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20" windowWidth="20490" windowHeight="7245" tabRatio="669" firstSheet="7" activeTab="11"/>
  </bookViews>
  <sheets>
    <sheet name="PORTADA" sheetId="2" r:id="rId1"/>
    <sheet name="GASTO" sheetId="3" r:id="rId2"/>
    <sheet name="EFICIENCIA" sheetId="4" r:id="rId3"/>
    <sheet name="PROVINCIA" sheetId="5" r:id="rId4"/>
    <sheet name="OSORNO" sheetId="6" r:id="rId5"/>
    <sheet name="LLANQUIHUE" sheetId="7" r:id="rId6"/>
    <sheet name="CHILOE" sheetId="8" r:id="rId7"/>
    <sheet name="PALENA" sheetId="9" r:id="rId8"/>
    <sheet name="PROVISION" sheetId="10" r:id="rId9"/>
    <sheet name="SECTOR" sheetId="11" r:id="rId10"/>
    <sheet name="SUBTITULO" sheetId="12" r:id="rId11"/>
    <sheet name="ESTADO SITUACION" sheetId="1" r:id="rId12"/>
    <sheet name="AC. SOC. COMPLEMENTARIO" sheetId="14" r:id="rId13"/>
    <sheet name="RESUMEN" sheetId="13" state="hidden" r:id="rId14"/>
    <sheet name="CONVENIOS 2021" sheetId="15" r:id="rId15"/>
    <sheet name="CONVENIOS 2020" sheetId="16" r:id="rId16"/>
    <sheet name="Hoja1" sheetId="17" r:id="rId17"/>
  </sheets>
  <externalReferences>
    <externalReference r:id="rId18"/>
  </externalReferences>
  <definedNames>
    <definedName name="__bookmark_1" localSheetId="12">#REF!</definedName>
    <definedName name="__bookmark_1" localSheetId="6">#REF!</definedName>
    <definedName name="__bookmark_1" localSheetId="2">#REF!</definedName>
    <definedName name="__bookmark_1" localSheetId="1">#REF!</definedName>
    <definedName name="__bookmark_1" localSheetId="5">#REF!</definedName>
    <definedName name="__bookmark_1" localSheetId="7">#REF!</definedName>
    <definedName name="__bookmark_1" localSheetId="0">#REF!</definedName>
    <definedName name="__bookmark_1" localSheetId="3">#REF!</definedName>
    <definedName name="__bookmark_1" localSheetId="8">#REF!</definedName>
    <definedName name="__bookmark_1" localSheetId="9">#REF!</definedName>
    <definedName name="__bookmark_1" localSheetId="10">#REF!</definedName>
    <definedName name="__bookmark_1">#REF!</definedName>
    <definedName name="_xlnm._FilterDatabase" localSheetId="12" hidden="1">'AC. SOC. COMPLEMENTARIO'!$A$2:$AL$53</definedName>
    <definedName name="_xlnm._FilterDatabase" localSheetId="11" hidden="1">'ESTADO SITUACION'!$A$1:$AP$819</definedName>
    <definedName name="_xlnm._FilterDatabase" localSheetId="8" hidden="1">PROVISION!$B$6:$L$19</definedName>
    <definedName name="_xlnm._FilterDatabase" localSheetId="10" hidden="1">SUBTITULO!$B$10:$K$17</definedName>
    <definedName name="AQ" localSheetId="11">'ESTADO SITUACION'!#REF!,'ESTADO SITUACION'!$A$729:$AK$811</definedName>
    <definedName name="_xlnm.Print_Area" localSheetId="12">'AC. SOC. COMPLEMENTARIO'!$A$1:$AL$65</definedName>
    <definedName name="_xlnm.Print_Area" localSheetId="6">CHILOE!$A$1:$N$30</definedName>
    <definedName name="_xlnm.Print_Area" localSheetId="2">EFICIENCIA!$A$1:$L$42</definedName>
    <definedName name="_xlnm.Print_Area" localSheetId="11">'ESTADO SITUACION'!$A$1:$AK$43,'ESTADO SITUACION'!$A$45:$AK$89,'ESTADO SITUACION'!$A$91:$AK$123,'ESTADO SITUACION'!$A$125:$AK$167,'ESTADO SITUACION'!$A$169:$AK$214,'ESTADO SITUACION'!$A$216:$AK$259,'ESTADO SITUACION'!$A$261:$AK$299,'ESTADO SITUACION'!$A$301:$AK$336,'ESTADO SITUACION'!$A$338:$AK$387,'ESTADO SITUACION'!$A$389:$AK$430,'ESTADO SITUACION'!$A$432:$AK$464,'ESTADO SITUACION'!$A$466:$AK$498,'ESTADO SITUACION'!$A$500:$AK$535,'ESTADO SITUACION'!$A$537:$AK$587,'ESTADO SITUACION'!$A$589:$AK$623,'ESTADO SITUACION'!$A$625:$AK$665,'ESTADO SITUACION'!$A$667:$AK$689,'ESTADO SITUACION'!$A$692:$AK$724,'ESTADO SITUACION'!$A$728:$AK$770,'ESTADO SITUACION'!$A$772:$AK$819</definedName>
    <definedName name="_xlnm.Print_Area" localSheetId="1">GASTO!$A$1:$K$33</definedName>
    <definedName name="_xlnm.Print_Area" localSheetId="5">LLANQUIHUE!$A$1:$N$30</definedName>
    <definedName name="_xlnm.Print_Area" localSheetId="4">OSORNO!$A$1:$N$28</definedName>
    <definedName name="_xlnm.Print_Area" localSheetId="7">PALENA!$A$1:$N$26</definedName>
    <definedName name="_xlnm.Print_Area" localSheetId="0">PORTADA!$A$1:$M$34</definedName>
    <definedName name="_xlnm.Print_Area" localSheetId="3">PROVINCIA!$A$1:$M$34</definedName>
    <definedName name="_xlnm.Print_Area" localSheetId="8">PROVISION!$A$1:$R$43</definedName>
    <definedName name="_xlnm.Print_Area" localSheetId="9">SECTOR!$A$2:$K$48</definedName>
    <definedName name="_xlnm.Print_Area" localSheetId="10">SUBTITULO!$A$1:$L$43</definedName>
    <definedName name="fg" localSheetId="11">'ESTADO SITUACION'!$A$9:$AK$25,'ESTADO SITUACION'!$A$28:$AK$43,'ESTADO SITUACION'!$A$45:$AK$69,'ESTADO SITUACION'!$A$72:$AK$89,'ESTADO SITUACION'!$A$91:$AK$109,'ESTADO SITUACION'!$A$112:$AK$123,'ESTADO SITUACION'!$A$125:$AK$138,'ESTADO SITUACION'!$A$141:$AK$167,'ESTADO SITUACION'!$A$169:$AK$191,'ESTADO SITUACION'!$A$194:$AK$214,'ESTADO SITUACION'!$A$216:$AK$236,'ESTADO SITUACION'!$A$239:$AK$259,'ESTADO SITUACION'!$A$261:$AK$281,'ESTADO SITUACION'!$A$284:$AK$299,'ESTADO SITUACION'!$A$301:$AK$323,'ESTADO SITUACION'!$A$326:$AK$336,'ESTADO SITUACION'!$A$338:$AK$360,'ESTADO SITUACION'!$A$363:$AK$387,'ESTADO SITUACION'!$A$389:$AK$410,'ESTADO SITUACION'!$A$413:$AK$430,'ESTADO SITUACION'!$A$432:$AK$448,'ESTADO SITUACION'!$A$451:$AK$464,'ESTADO SITUACION'!$A$466:$AK$485,'ESTADO SITUACION'!$A$488:$AK$498,'ESTADO SITUACION'!$A$500:$AK$512,'ESTADO SITUACION'!$A$515:$AK$535,'ESTADO SITUACION'!$A$537:$AK$556,'ESTADO SITUACION'!$A$558:$AK$572,'ESTADO SITUACION'!$A$574:$AK$587,'ESTADO SITUACION'!$A$589:$AK$603,'ESTADO SITUACION'!$A$606:$AK$623,'ESTADO SITUACION'!$A$625:$AK$645,'ESTADO SITUACION'!$A$647:$AK$665,'ESTADO SITUACION'!$A$667:$AK$690,'ESTADO SITUACION'!$A$692:$AK$724,'ESTADO SITUACION'!#REF!,'ESTADO SITUACION'!$A$729:$AK$811</definedName>
    <definedName name="Print_Area" localSheetId="11">'ESTADO SITUACION'!$A$1:$AK$25,'ESTADO SITUACION'!$A$28:$AK$43,'ESTADO SITUACION'!$A$45:$AK$69,'ESTADO SITUACION'!$A$72:$AK$89,'ESTADO SITUACION'!$A$91:$AK$109,'ESTADO SITUACION'!$A$112:$AK$123,'ESTADO SITUACION'!$A$125:$AK$138,'ESTADO SITUACION'!$A$141:$AK$167,'ESTADO SITUACION'!$A$169:$AK$191,'ESTADO SITUACION'!$A$194:$AK$214,'ESTADO SITUACION'!$A$216:$AK$236,'ESTADO SITUACION'!$A$239:$AK$259,'ESTADO SITUACION'!$A$261:$AK$281,'ESTADO SITUACION'!$A$284:$AK$299,'ESTADO SITUACION'!$A$301:$AK$323,'ESTADO SITUACION'!$A$326:$AK$336,'ESTADO SITUACION'!$A$338:$AK$360,'ESTADO SITUACION'!$A$363:$AK$387,'ESTADO SITUACION'!$A$389:$AK$410,'ESTADO SITUACION'!$A$413:$AK$430,'ESTADO SITUACION'!$A$432:$AK$448,'ESTADO SITUACION'!$A$451:$AK$464,'ESTADO SITUACION'!$A$466:$AK$485,'ESTADO SITUACION'!$A$488:$AK$498,'ESTADO SITUACION'!$A$500:$AK$512,'ESTADO SITUACION'!$A$515:$AK$535,'ESTADO SITUACION'!$A$537:$AK$556,'ESTADO SITUACION'!$A$558:$AK$572,'ESTADO SITUACION'!$A$574:$AK$587,'ESTADO SITUACION'!$A$589:$AK$603,'ESTADO SITUACION'!$A$606:$AK$623,'ESTADO SITUACION'!$A$625:$AK$645,'ESTADO SITUACION'!$A$647:$AK$665,'ESTADO SITUACION'!$A$667:$AK$690,'ESTADO SITUACION'!$A$692:$AK$724,'ESTADO SITUACION'!$A$728:$AK$770,'ESTADO SITUACION'!$A$772:$AK$819</definedName>
    <definedName name="Print_Titles" localSheetId="11">'ESTADO SITUACION'!$1:$1</definedName>
    <definedName name="proyectosconrecomendacion" localSheetId="12">#REF!</definedName>
    <definedName name="proyectosconrecomendacion" localSheetId="6">#REF!</definedName>
    <definedName name="proyectosconrecomendacion" localSheetId="2">#REF!</definedName>
    <definedName name="proyectosconrecomendacion" localSheetId="1">#REF!</definedName>
    <definedName name="proyectosconrecomendacion" localSheetId="5">#REF!</definedName>
    <definedName name="proyectosconrecomendacion" localSheetId="7">#REF!</definedName>
    <definedName name="proyectosconrecomendacion" localSheetId="0">#REF!</definedName>
    <definedName name="proyectosconrecomendacion" localSheetId="3">#REF!</definedName>
    <definedName name="proyectosconrecomendacion" localSheetId="8">#REF!</definedName>
    <definedName name="proyectosconrecomendacion" localSheetId="9">#REF!</definedName>
    <definedName name="proyectosconrecomendacion" localSheetId="10">#REF!</definedName>
    <definedName name="proyectosconrecomendacion">#REF!</definedName>
    <definedName name="_xlnm.Print_Titles" localSheetId="12">'AC. SOC. COMPLEMENTARIO'!$1:$2</definedName>
    <definedName name="_xlnm.Print_Titles" localSheetId="11">'ESTADO SITUACION'!$1:$1</definedName>
    <definedName name="VB" localSheetId="12">#REF!</definedName>
    <definedName name="VB" localSheetId="6">#REF!</definedName>
    <definedName name="VB" localSheetId="2">#REF!</definedName>
    <definedName name="VB" localSheetId="1">#REF!</definedName>
    <definedName name="VB" localSheetId="5">#REF!</definedName>
    <definedName name="VB" localSheetId="7">#REF!</definedName>
    <definedName name="VB" localSheetId="0">#REF!</definedName>
    <definedName name="VB" localSheetId="3">#REF!</definedName>
    <definedName name="VB" localSheetId="8">#REF!</definedName>
    <definedName name="VB" localSheetId="9">#REF!</definedName>
    <definedName name="VB" localSheetId="10">#REF!</definedName>
    <definedName name="VB">#REF!</definedName>
    <definedName name="VBG" localSheetId="11">'ESTADO SITUACION'!$A$1:$AK$25,'ESTADO SITUACION'!$A$28:$AK$43,'ESTADO SITUACION'!$A$45:$AK$69,'ESTADO SITUACION'!$A$72:$AK$89,'ESTADO SITUACION'!$A$91:$AK$109,'ESTADO SITUACION'!$A$112:$AK$123,'ESTADO SITUACION'!$A$125:$AK$138,'ESTADO SITUACION'!$A$141:$AK$167,'ESTADO SITUACION'!$A$169:$AK$191,'ESTADO SITUACION'!$A$194:$AK$214,'ESTADO SITUACION'!$A$216:$AK$236,'ESTADO SITUACION'!$A$239:$AK$259,'ESTADO SITUACION'!$A$261:$AK$281,'ESTADO SITUACION'!$A$284:$AK$299,'ESTADO SITUACION'!$A$301:$AK$323,'ESTADO SITUACION'!$A$326:$AK$336,'ESTADO SITUACION'!$A$338:$AK$360,'ESTADO SITUACION'!$A$363:$AK$387,'ESTADO SITUACION'!$A$389:$AK$410,'ESTADO SITUACION'!$A$413:$AK$430,'ESTADO SITUACION'!$A$432:$AK$448,'ESTADO SITUACION'!$A$451:$AK$464,'ESTADO SITUACION'!$A$466:$AK$485,'ESTADO SITUACION'!$A$488:$AK$498,'ESTADO SITUACION'!$A$500:$AK$512,'ESTADO SITUACION'!$A$515:$AK$535,'ESTADO SITUACION'!$A$537:$AK$556,'ESTADO SITUACION'!$A$558:$AK$572,'ESTADO SITUACION'!$A$574:$AK$587,'ESTADO SITUACION'!$A$589:$AK$603,'ESTADO SITUACION'!$A$606:$AK$623,'ESTADO SITUACION'!$A$625:$AK$645,'ESTADO SITUACION'!$A$647:$AK$665,'ESTADO SITUACION'!$A$667:$AK$690,'ESTADO SITUACION'!$A$692:$AK$724,'ESTADO SITUACION'!#REF!,'ESTADO SITUACION'!$A$729:$AK$811</definedName>
    <definedName name="XBBB" localSheetId="11">'ESTADO SITUACION'!$A$1:$AK$25,'ESTADO SITUACION'!$A$28:$AK$43,'ESTADO SITUACION'!$A$45:$AK$69,'ESTADO SITUACION'!$A$72:$AK$89,'ESTADO SITUACION'!$A$91:$AK$109,'ESTADO SITUACION'!$A$112:$AK$123,'ESTADO SITUACION'!$A$125:$AK$138,'ESTADO SITUACION'!$A$141:$AK$167,'ESTADO SITUACION'!$A$169:$AK$191,'ESTADO SITUACION'!$A$194:$AK$214,'ESTADO SITUACION'!$A$216:$AK$236,'ESTADO SITUACION'!$A$239:$AK$259,'ESTADO SITUACION'!$A$261:$AK$281,'ESTADO SITUACION'!$A$284:$AK$299,'ESTADO SITUACION'!$A$301:$AK$323,'ESTADO SITUACION'!$A$326:$AK$336,'ESTADO SITUACION'!$A$338:$AK$360,'ESTADO SITUACION'!$A$363:$AK$387,'ESTADO SITUACION'!$A$389:$AK$410,'ESTADO SITUACION'!$A$413:$AK$430,'ESTADO SITUACION'!$A$432:$AK$448,'ESTADO SITUACION'!$A$451:$AK$464,'ESTADO SITUACION'!$A$466:$AK$485,'ESTADO SITUACION'!$A$488:$AK$498,'ESTADO SITUACION'!$A$500:$AK$512,'ESTADO SITUACION'!$A$515:$AK$535,'ESTADO SITUACION'!$A$537:$AK$556,'ESTADO SITUACION'!$A$558:$AK$572,'ESTADO SITUACION'!$A$574:$AK$587,'ESTADO SITUACION'!$A$589:$AK$603,'ESTADO SITUACION'!$A$606:$AK$623,'ESTADO SITUACION'!$A$625:$AK$645,'ESTADO SITUACION'!$A$647:$AK$665,'ESTADO SITUACION'!$A$667:$AK$690,'ESTADO SITUACION'!$A$692:$AK$724,'ESTADO SITUACION'!#REF!,'ESTADO SITUACION'!$A$729:$AK$811</definedName>
  </definedNames>
  <calcPr calcId="144525"/>
  <pivotCaches>
    <pivotCache cacheId="0" r:id="rId19"/>
  </pivotCaches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656" i="1" l="1"/>
  <c r="AM636" i="1"/>
  <c r="AM635" i="1"/>
  <c r="AM634" i="1"/>
  <c r="AM615" i="1"/>
  <c r="AM568" i="1"/>
  <c r="AM564" i="1"/>
  <c r="AM546" i="1"/>
  <c r="AM529" i="1"/>
  <c r="AM528" i="1"/>
  <c r="AM507" i="1"/>
  <c r="AM480" i="1"/>
  <c r="AM425" i="1"/>
  <c r="AM401" i="1"/>
  <c r="AM400" i="1"/>
  <c r="AM399" i="1"/>
  <c r="AM398" i="1"/>
  <c r="AM371" i="1"/>
  <c r="AM328" i="1"/>
  <c r="AM291" i="1"/>
  <c r="AM273" i="1"/>
  <c r="AM269" i="1"/>
  <c r="AM227" i="1"/>
  <c r="AM210" i="1"/>
  <c r="AM203" i="1"/>
  <c r="AM202" i="1"/>
  <c r="AM201" i="1"/>
  <c r="AM182" i="1"/>
  <c r="AM179" i="1"/>
  <c r="AM158" i="1"/>
  <c r="AM153" i="1"/>
  <c r="AM99" i="1"/>
  <c r="AM56" i="1"/>
  <c r="AM18" i="1"/>
  <c r="AM14" i="1"/>
  <c r="AM13" i="1"/>
  <c r="AO226" i="1" l="1"/>
  <c r="AO225" i="1"/>
  <c r="AO210" i="1"/>
  <c r="AO182" i="1"/>
  <c r="AO181" i="1"/>
  <c r="AP721" i="1"/>
  <c r="AP720" i="1"/>
  <c r="AP719" i="1"/>
  <c r="AP718" i="1"/>
  <c r="AP713" i="1"/>
  <c r="AP711" i="1"/>
  <c r="AP707" i="1"/>
  <c r="AP684" i="1"/>
  <c r="AP682" i="1"/>
  <c r="AP661" i="1"/>
  <c r="AP660" i="1"/>
  <c r="AP656" i="1"/>
  <c r="AP636" i="1"/>
  <c r="AP635" i="1"/>
  <c r="AP634" i="1"/>
  <c r="AP615" i="1"/>
  <c r="AP582" i="1"/>
  <c r="AP568" i="1"/>
  <c r="AP564" i="1"/>
  <c r="AP552" i="1"/>
  <c r="AP550" i="1"/>
  <c r="AP546" i="1"/>
  <c r="AP529" i="1"/>
  <c r="AP528" i="1"/>
  <c r="AP507" i="1"/>
  <c r="AP481" i="1"/>
  <c r="AP480" i="1"/>
  <c r="AP425" i="1"/>
  <c r="AP424" i="1"/>
  <c r="AP406" i="1"/>
  <c r="AP401" i="1"/>
  <c r="AP400" i="1"/>
  <c r="AP399" i="1"/>
  <c r="AP398" i="1"/>
  <c r="AP374" i="1"/>
  <c r="AP371" i="1"/>
  <c r="AP355" i="1"/>
  <c r="AP354" i="1"/>
  <c r="AP328" i="1"/>
  <c r="AP319" i="1"/>
  <c r="AP318" i="1"/>
  <c r="AP291" i="1"/>
  <c r="AP277" i="1"/>
  <c r="AP273" i="1"/>
  <c r="AP272" i="1"/>
  <c r="AP270" i="1"/>
  <c r="AP269" i="1"/>
  <c r="AP255" i="1"/>
  <c r="AP250" i="1"/>
  <c r="AP249" i="1"/>
  <c r="AP248" i="1"/>
  <c r="AP227" i="1"/>
  <c r="AP226" i="1"/>
  <c r="AP225" i="1"/>
  <c r="AP210" i="1"/>
  <c r="AP208" i="1"/>
  <c r="AP207" i="1"/>
  <c r="AP203" i="1"/>
  <c r="AP202" i="1"/>
  <c r="AP201" i="1"/>
  <c r="AP182" i="1"/>
  <c r="AP181" i="1"/>
  <c r="AP179" i="1"/>
  <c r="AP161" i="1"/>
  <c r="AP160" i="1"/>
  <c r="AP159" i="1"/>
  <c r="AP158" i="1"/>
  <c r="AP153" i="1"/>
  <c r="AP119" i="1"/>
  <c r="AP105" i="1"/>
  <c r="AP103" i="1"/>
  <c r="AP99" i="1"/>
  <c r="AP82" i="1"/>
  <c r="AP65" i="1"/>
  <c r="AP61" i="1"/>
  <c r="AP60" i="1"/>
  <c r="AP56" i="1"/>
  <c r="AP55" i="1"/>
  <c r="AP19" i="1"/>
  <c r="AP18" i="1"/>
  <c r="AP14" i="1"/>
  <c r="AP13" i="1"/>
  <c r="AO721" i="1"/>
  <c r="AO720" i="1"/>
  <c r="AO719" i="1"/>
  <c r="AO718" i="1"/>
  <c r="AO713" i="1"/>
  <c r="AO712" i="1"/>
  <c r="AO711" i="1"/>
  <c r="AO707" i="1"/>
  <c r="AO684" i="1"/>
  <c r="AO682" i="1"/>
  <c r="AO677" i="1"/>
  <c r="AO661" i="1"/>
  <c r="AO660" i="1"/>
  <c r="AO656" i="1"/>
  <c r="AO636" i="1"/>
  <c r="AO635" i="1"/>
  <c r="AO634" i="1"/>
  <c r="AO615" i="1"/>
  <c r="AO582" i="1"/>
  <c r="AO568" i="1"/>
  <c r="AO564" i="1"/>
  <c r="AO552" i="1"/>
  <c r="AO550" i="1"/>
  <c r="AO546" i="1"/>
  <c r="AO529" i="1"/>
  <c r="AO528" i="1"/>
  <c r="AO507" i="1"/>
  <c r="AO481" i="1"/>
  <c r="AO480" i="1"/>
  <c r="AO476" i="1"/>
  <c r="AO444" i="1"/>
  <c r="AO425" i="1"/>
  <c r="AO424" i="1"/>
  <c r="AO406" i="1"/>
  <c r="AO405" i="1"/>
  <c r="AO401" i="1"/>
  <c r="AO400" i="1"/>
  <c r="AO399" i="1"/>
  <c r="AO398" i="1"/>
  <c r="AO380" i="1"/>
  <c r="AO374" i="1"/>
  <c r="AO371" i="1"/>
  <c r="AO356" i="1"/>
  <c r="AO355" i="1"/>
  <c r="AO354" i="1"/>
  <c r="AO332" i="1"/>
  <c r="AO331" i="1"/>
  <c r="AO330" i="1"/>
  <c r="AO328" i="1"/>
  <c r="AO319" i="1"/>
  <c r="AO318" i="1"/>
  <c r="AO291" i="1"/>
  <c r="AO277" i="1"/>
  <c r="AO273" i="1"/>
  <c r="AO272" i="1"/>
  <c r="AO270" i="1"/>
  <c r="AO269" i="1"/>
  <c r="AO255" i="1"/>
  <c r="AO250" i="1"/>
  <c r="AO249" i="1"/>
  <c r="AO248" i="1"/>
  <c r="AO232" i="1"/>
  <c r="AO231" i="1"/>
  <c r="AO227" i="1"/>
  <c r="AO209" i="1"/>
  <c r="AO208" i="1"/>
  <c r="AO207" i="1"/>
  <c r="AO203" i="1"/>
  <c r="AO202" i="1"/>
  <c r="AO201" i="1"/>
  <c r="AO187" i="1"/>
  <c r="AO179" i="1"/>
  <c r="AO161" i="1"/>
  <c r="AO160" i="1"/>
  <c r="AO159" i="1"/>
  <c r="AO158" i="1"/>
  <c r="AO153" i="1"/>
  <c r="AO119" i="1"/>
  <c r="AO105" i="1"/>
  <c r="AO103" i="1"/>
  <c r="AO99" i="1"/>
  <c r="AO85" i="1"/>
  <c r="AO82" i="1"/>
  <c r="AO65" i="1"/>
  <c r="AO62" i="1"/>
  <c r="AO61" i="1"/>
  <c r="AO60" i="1"/>
  <c r="AO56" i="1"/>
  <c r="AO55" i="1"/>
  <c r="AO21" i="1"/>
  <c r="AO19" i="1"/>
  <c r="AO18" i="1"/>
  <c r="AO14" i="1"/>
  <c r="AO13" i="1"/>
  <c r="V148" i="1" l="1"/>
  <c r="V147" i="1"/>
  <c r="V146" i="1"/>
  <c r="V145" i="1"/>
  <c r="V144" i="1"/>
  <c r="V143" i="1"/>
  <c r="V149" i="1" l="1"/>
  <c r="U202" i="1"/>
  <c r="S202" i="1"/>
  <c r="V202" i="1"/>
  <c r="AI202" i="1" l="1"/>
  <c r="AJ202" i="1" s="1"/>
  <c r="T34" i="14" l="1"/>
  <c r="S34" i="14"/>
  <c r="S50" i="14"/>
  <c r="S49" i="14"/>
  <c r="S48" i="14"/>
  <c r="S43" i="14"/>
  <c r="S42" i="14"/>
  <c r="S37" i="14"/>
  <c r="S38" i="14" s="1"/>
  <c r="S28" i="14"/>
  <c r="S27" i="14"/>
  <c r="S23" i="14"/>
  <c r="S24" i="14" s="1"/>
  <c r="S19" i="14"/>
  <c r="S20" i="14" s="1"/>
  <c r="S15" i="14"/>
  <c r="S16" i="14" s="1"/>
  <c r="U47" i="14"/>
  <c r="AI47" i="14" s="1"/>
  <c r="AG59" i="14"/>
  <c r="AF59" i="14"/>
  <c r="AB59" i="14"/>
  <c r="AA59" i="14"/>
  <c r="Z59" i="14"/>
  <c r="Y59" i="14"/>
  <c r="X59" i="14"/>
  <c r="W59" i="14"/>
  <c r="V59" i="14"/>
  <c r="S59" i="14"/>
  <c r="S62" i="14" s="1"/>
  <c r="Q59" i="14"/>
  <c r="Q62" i="14" s="1"/>
  <c r="U58" i="14"/>
  <c r="U59" i="14" s="1"/>
  <c r="U62" i="14" s="1"/>
  <c r="P58" i="14"/>
  <c r="P59" i="14" s="1"/>
  <c r="AG51" i="14"/>
  <c r="AF51" i="14"/>
  <c r="AB51" i="14"/>
  <c r="AA51" i="14"/>
  <c r="Z51" i="14"/>
  <c r="Y51" i="14"/>
  <c r="X51" i="14"/>
  <c r="W51" i="14"/>
  <c r="V51" i="14"/>
  <c r="Q51" i="14"/>
  <c r="P51" i="14"/>
  <c r="AG44" i="14"/>
  <c r="AF44" i="14"/>
  <c r="AB44" i="14"/>
  <c r="AA44" i="14"/>
  <c r="Z44" i="14"/>
  <c r="Y44" i="14"/>
  <c r="X44" i="14"/>
  <c r="W44" i="14"/>
  <c r="V44" i="14"/>
  <c r="Q44" i="14"/>
  <c r="P44" i="14"/>
  <c r="AG38" i="14"/>
  <c r="AG62" i="14" s="1"/>
  <c r="AG64" i="14" s="1"/>
  <c r="AF38" i="14"/>
  <c r="AF62" i="14" s="1"/>
  <c r="AF64" i="14" s="1"/>
  <c r="AB38" i="14"/>
  <c r="AB62" i="14" s="1"/>
  <c r="AB64" i="14" s="1"/>
  <c r="AA38" i="14"/>
  <c r="AA62" i="14" s="1"/>
  <c r="AA64" i="14" s="1"/>
  <c r="Z38" i="14"/>
  <c r="Z62" i="14" s="1"/>
  <c r="Z64" i="14" s="1"/>
  <c r="Y38" i="14"/>
  <c r="Y62" i="14" s="1"/>
  <c r="Y64" i="14" s="1"/>
  <c r="X38" i="14"/>
  <c r="X62" i="14" s="1"/>
  <c r="X64" i="14" s="1"/>
  <c r="W38" i="14"/>
  <c r="W62" i="14" s="1"/>
  <c r="W64" i="14" s="1"/>
  <c r="V38" i="14"/>
  <c r="V62" i="14" s="1"/>
  <c r="V64" i="14" s="1"/>
  <c r="Q38" i="14"/>
  <c r="P38" i="14"/>
  <c r="AG34" i="14"/>
  <c r="AF34" i="14"/>
  <c r="AB34" i="14"/>
  <c r="AA34" i="14"/>
  <c r="Z34" i="14"/>
  <c r="Y34" i="14"/>
  <c r="X34" i="14"/>
  <c r="W34" i="14"/>
  <c r="V34" i="14"/>
  <c r="Q34" i="14"/>
  <c r="P34" i="14"/>
  <c r="U33" i="14"/>
  <c r="U34" i="14" s="1"/>
  <c r="AG30" i="14"/>
  <c r="AF30" i="14"/>
  <c r="AB30" i="14"/>
  <c r="AA30" i="14"/>
  <c r="Z30" i="14"/>
  <c r="Y30" i="14"/>
  <c r="X30" i="14"/>
  <c r="W30" i="14"/>
  <c r="V30" i="14"/>
  <c r="Q30" i="14"/>
  <c r="P30" i="14"/>
  <c r="AG24" i="14"/>
  <c r="AF24" i="14"/>
  <c r="AB24" i="14"/>
  <c r="AA24" i="14"/>
  <c r="Z24" i="14"/>
  <c r="Y24" i="14"/>
  <c r="X24" i="14"/>
  <c r="W24" i="14"/>
  <c r="V24" i="14"/>
  <c r="Q24" i="14"/>
  <c r="P24" i="14"/>
  <c r="AG20" i="14"/>
  <c r="AF20" i="14"/>
  <c r="AB20" i="14"/>
  <c r="AA20" i="14"/>
  <c r="Z20" i="14"/>
  <c r="Y20" i="14"/>
  <c r="X20" i="14"/>
  <c r="W20" i="14"/>
  <c r="V20" i="14"/>
  <c r="Q20" i="14"/>
  <c r="P20" i="14"/>
  <c r="AG16" i="14"/>
  <c r="AF16" i="14"/>
  <c r="AB16" i="14"/>
  <c r="AA16" i="14"/>
  <c r="Z16" i="14"/>
  <c r="Y16" i="14"/>
  <c r="X16" i="14"/>
  <c r="W16" i="14"/>
  <c r="V16" i="14"/>
  <c r="Q16" i="14"/>
  <c r="P16" i="14"/>
  <c r="AG12" i="14"/>
  <c r="AF12" i="14"/>
  <c r="AB12" i="14"/>
  <c r="AA12" i="14"/>
  <c r="Z12" i="14"/>
  <c r="Y12" i="14"/>
  <c r="X12" i="14"/>
  <c r="W12" i="14"/>
  <c r="V12" i="14"/>
  <c r="Q12" i="14"/>
  <c r="P12" i="14"/>
  <c r="AG8" i="14"/>
  <c r="AF8" i="14"/>
  <c r="AB8" i="14"/>
  <c r="AA8" i="14"/>
  <c r="Z8" i="14"/>
  <c r="Y8" i="14"/>
  <c r="X8" i="14"/>
  <c r="W8" i="14"/>
  <c r="V8" i="14"/>
  <c r="Q8" i="14"/>
  <c r="P8" i="14"/>
  <c r="S51" i="14" l="1"/>
  <c r="S30" i="14"/>
  <c r="Y53" i="14"/>
  <c r="AF53" i="14"/>
  <c r="X53" i="14"/>
  <c r="AB53" i="14"/>
  <c r="Z53" i="14"/>
  <c r="Q53" i="14"/>
  <c r="Q64" i="14" s="1"/>
  <c r="V53" i="14"/>
  <c r="AG53" i="14"/>
  <c r="W53" i="14"/>
  <c r="AA53" i="14"/>
  <c r="U29" i="14"/>
  <c r="AI29" i="14" s="1"/>
  <c r="AI33" i="14"/>
  <c r="AI34" i="14"/>
  <c r="AI59" i="14"/>
  <c r="AI62" i="14" s="1"/>
  <c r="P62" i="14"/>
  <c r="P53" i="14"/>
  <c r="AI58" i="14"/>
  <c r="P64" i="14" l="1"/>
  <c r="D10" i="10" l="1"/>
  <c r="U152" i="1" l="1"/>
  <c r="S672" i="1"/>
  <c r="AG149" i="1" l="1"/>
  <c r="AF149" i="1"/>
  <c r="AE149" i="1"/>
  <c r="AD149" i="1"/>
  <c r="AC149" i="1"/>
  <c r="AB149" i="1"/>
  <c r="AA149" i="1"/>
  <c r="Z149" i="1"/>
  <c r="Y149" i="1"/>
  <c r="X149" i="1"/>
  <c r="W149" i="1"/>
  <c r="T149" i="1"/>
  <c r="S149" i="1"/>
  <c r="U291" i="1"/>
  <c r="AG288" i="1"/>
  <c r="AF288" i="1"/>
  <c r="AE288" i="1"/>
  <c r="AD288" i="1"/>
  <c r="AC288" i="1"/>
  <c r="AB288" i="1"/>
  <c r="AA288" i="1"/>
  <c r="Z288" i="1"/>
  <c r="Y288" i="1"/>
  <c r="X288" i="1"/>
  <c r="W288" i="1"/>
  <c r="T288" i="1"/>
  <c r="U707" i="1"/>
  <c r="S41" i="14" s="1"/>
  <c r="S44" i="14" s="1"/>
  <c r="AG198" i="1"/>
  <c r="AF198" i="1"/>
  <c r="AE198" i="1"/>
  <c r="AD198" i="1"/>
  <c r="AC198" i="1"/>
  <c r="AB198" i="1"/>
  <c r="AA198" i="1"/>
  <c r="Z198" i="1"/>
  <c r="Y198" i="1"/>
  <c r="X198" i="1"/>
  <c r="W198" i="1"/>
  <c r="T198" i="1"/>
  <c r="S198" i="1"/>
  <c r="U241" i="1"/>
  <c r="V242" i="1"/>
  <c r="AG245" i="1"/>
  <c r="AF245" i="1"/>
  <c r="AE245" i="1"/>
  <c r="AD245" i="1"/>
  <c r="AC245" i="1"/>
  <c r="AB245" i="1"/>
  <c r="AA245" i="1"/>
  <c r="Z245" i="1"/>
  <c r="Y245" i="1"/>
  <c r="X245" i="1"/>
  <c r="W245" i="1"/>
  <c r="T245" i="1"/>
  <c r="S245" i="1"/>
  <c r="U244" i="1"/>
  <c r="U245" i="1" s="1"/>
  <c r="V243" i="1"/>
  <c r="U197" i="1"/>
  <c r="U198" i="1" s="1"/>
  <c r="V196" i="1"/>
  <c r="S697" i="1"/>
  <c r="V697" i="1"/>
  <c r="S286" i="1"/>
  <c r="S288" i="1" s="1"/>
  <c r="V286" i="1"/>
  <c r="AI286" i="1" s="1"/>
  <c r="AI146" i="1"/>
  <c r="U144" i="1"/>
  <c r="AI242" i="1" l="1"/>
  <c r="AJ242" i="1" s="1"/>
  <c r="AI243" i="1"/>
  <c r="AJ243" i="1" s="1"/>
  <c r="AI196" i="1"/>
  <c r="AI697" i="1"/>
  <c r="AJ697" i="1" s="1"/>
  <c r="AJ286" i="1"/>
  <c r="AJ146" i="1"/>
  <c r="AJ196" i="1" l="1"/>
  <c r="B22" i="11" l="1"/>
  <c r="I22" i="11" s="1"/>
  <c r="B21" i="11"/>
  <c r="I21" i="11" s="1"/>
  <c r="B20" i="11"/>
  <c r="I20" i="11" s="1"/>
  <c r="B19" i="11"/>
  <c r="I19" i="11" s="1"/>
  <c r="B18" i="11"/>
  <c r="I18" i="11" s="1"/>
  <c r="B17" i="11"/>
  <c r="I17" i="11" s="1"/>
  <c r="B16" i="11"/>
  <c r="I16" i="11" s="1"/>
  <c r="B15" i="11"/>
  <c r="I15" i="11" s="1"/>
  <c r="B14" i="11"/>
  <c r="I14" i="11" s="1"/>
  <c r="B13" i="11"/>
  <c r="I13" i="11" s="1"/>
  <c r="B12" i="11"/>
  <c r="I12" i="11" s="1"/>
  <c r="B11" i="11"/>
  <c r="I11" i="11" s="1"/>
  <c r="B10" i="11"/>
  <c r="I10" i="11" s="1"/>
  <c r="P17" i="10"/>
  <c r="P16" i="10"/>
  <c r="P15" i="10"/>
  <c r="P14" i="10"/>
  <c r="P13" i="10"/>
  <c r="P12" i="10"/>
  <c r="P11" i="10"/>
  <c r="P10" i="10"/>
  <c r="P9" i="10"/>
  <c r="P8" i="10"/>
  <c r="P7" i="10"/>
  <c r="J17" i="10"/>
  <c r="J16" i="10"/>
  <c r="J15" i="10"/>
  <c r="J14" i="10"/>
  <c r="J13" i="10"/>
  <c r="J12" i="10"/>
  <c r="J11" i="10"/>
  <c r="J10" i="10"/>
  <c r="J9" i="10"/>
  <c r="J8" i="10"/>
  <c r="J7" i="10"/>
  <c r="I17" i="10"/>
  <c r="I16" i="10"/>
  <c r="I15" i="10"/>
  <c r="I14" i="10"/>
  <c r="I13" i="10"/>
  <c r="I12" i="10"/>
  <c r="I11" i="10"/>
  <c r="I10" i="10"/>
  <c r="I9" i="10"/>
  <c r="I8" i="10"/>
  <c r="I7" i="10"/>
  <c r="E15" i="10"/>
  <c r="E17" i="10"/>
  <c r="E16" i="10"/>
  <c r="E14" i="10"/>
  <c r="E13" i="10"/>
  <c r="E12" i="10"/>
  <c r="E11" i="10"/>
  <c r="E10" i="10"/>
  <c r="E9" i="10"/>
  <c r="E8" i="10"/>
  <c r="E7" i="10"/>
  <c r="M10" i="9"/>
  <c r="M9" i="9"/>
  <c r="M8" i="9"/>
  <c r="M7" i="9"/>
  <c r="M6" i="9"/>
  <c r="K10" i="9"/>
  <c r="K9" i="9"/>
  <c r="K8" i="9"/>
  <c r="K7" i="9"/>
  <c r="K6" i="9"/>
  <c r="I10" i="9"/>
  <c r="I9" i="9"/>
  <c r="I8" i="9"/>
  <c r="I7" i="9"/>
  <c r="I6" i="9"/>
  <c r="G10" i="9"/>
  <c r="G9" i="9"/>
  <c r="G8" i="9"/>
  <c r="G7" i="9"/>
  <c r="G6" i="9"/>
  <c r="F10" i="9"/>
  <c r="F9" i="9"/>
  <c r="F8" i="9"/>
  <c r="F7" i="9"/>
  <c r="F6" i="9"/>
  <c r="D10" i="9"/>
  <c r="D9" i="9"/>
  <c r="D8" i="9"/>
  <c r="D7" i="9"/>
  <c r="D6" i="9"/>
  <c r="C10" i="9"/>
  <c r="C9" i="9"/>
  <c r="C8" i="9"/>
  <c r="C7" i="9"/>
  <c r="C6" i="9"/>
  <c r="M15" i="8"/>
  <c r="M14" i="8"/>
  <c r="M13" i="8"/>
  <c r="M12" i="8"/>
  <c r="M11" i="8"/>
  <c r="M10" i="8"/>
  <c r="M9" i="8"/>
  <c r="M8" i="8"/>
  <c r="M7" i="8"/>
  <c r="M6" i="8"/>
  <c r="M5" i="8"/>
  <c r="K15" i="8"/>
  <c r="K14" i="8"/>
  <c r="K13" i="8"/>
  <c r="K12" i="8"/>
  <c r="K11" i="8"/>
  <c r="K10" i="8"/>
  <c r="K9" i="8"/>
  <c r="K8" i="8"/>
  <c r="K7" i="8"/>
  <c r="K6" i="8"/>
  <c r="K5" i="8"/>
  <c r="I15" i="8"/>
  <c r="I14" i="8"/>
  <c r="I13" i="8"/>
  <c r="I12" i="8"/>
  <c r="I11" i="8"/>
  <c r="I10" i="8"/>
  <c r="I9" i="8"/>
  <c r="I8" i="8"/>
  <c r="I7" i="8"/>
  <c r="I6" i="8"/>
  <c r="I5" i="8"/>
  <c r="G15" i="8"/>
  <c r="G14" i="8"/>
  <c r="G13" i="8"/>
  <c r="G12" i="8"/>
  <c r="G11" i="8"/>
  <c r="G10" i="8"/>
  <c r="G9" i="8"/>
  <c r="G8" i="8"/>
  <c r="G7" i="8"/>
  <c r="G6" i="8"/>
  <c r="G5" i="8"/>
  <c r="F15" i="8"/>
  <c r="F14" i="8"/>
  <c r="F13" i="8"/>
  <c r="F12" i="8"/>
  <c r="F11" i="8"/>
  <c r="F10" i="8"/>
  <c r="F9" i="8"/>
  <c r="F8" i="8"/>
  <c r="F7" i="8"/>
  <c r="F6" i="8"/>
  <c r="F5" i="8"/>
  <c r="D15" i="8"/>
  <c r="D14" i="8"/>
  <c r="D13" i="8"/>
  <c r="D12" i="8"/>
  <c r="D11" i="8"/>
  <c r="D10" i="8"/>
  <c r="D9" i="8"/>
  <c r="D8" i="8"/>
  <c r="D7" i="8"/>
  <c r="D6" i="8"/>
  <c r="D5" i="8"/>
  <c r="C15" i="8"/>
  <c r="C14" i="8"/>
  <c r="C13" i="8"/>
  <c r="C12" i="8"/>
  <c r="C11" i="8"/>
  <c r="C10" i="8"/>
  <c r="C9" i="8"/>
  <c r="C8" i="8"/>
  <c r="C7" i="8"/>
  <c r="C6" i="8"/>
  <c r="C5" i="8"/>
  <c r="M14" i="7"/>
  <c r="M13" i="7"/>
  <c r="M12" i="7"/>
  <c r="M11" i="7"/>
  <c r="M10" i="7"/>
  <c r="M9" i="7"/>
  <c r="M8" i="7"/>
  <c r="M7" i="7"/>
  <c r="M6" i="7"/>
  <c r="M5" i="7"/>
  <c r="K14" i="7"/>
  <c r="K13" i="7"/>
  <c r="K12" i="7"/>
  <c r="K11" i="7"/>
  <c r="K10" i="7"/>
  <c r="K9" i="7"/>
  <c r="K8" i="7"/>
  <c r="K7" i="7"/>
  <c r="K6" i="7"/>
  <c r="K5" i="7"/>
  <c r="I14" i="7"/>
  <c r="I13" i="7"/>
  <c r="I12" i="7"/>
  <c r="I11" i="7"/>
  <c r="I10" i="7"/>
  <c r="I9" i="7"/>
  <c r="I8" i="7"/>
  <c r="I7" i="7"/>
  <c r="I6" i="7"/>
  <c r="I5" i="7"/>
  <c r="G14" i="7"/>
  <c r="G13" i="7"/>
  <c r="G12" i="7"/>
  <c r="G11" i="7"/>
  <c r="G10" i="7"/>
  <c r="G9" i="7"/>
  <c r="G8" i="7"/>
  <c r="G7" i="7"/>
  <c r="G6" i="7"/>
  <c r="G5" i="7"/>
  <c r="F14" i="7"/>
  <c r="F13" i="7"/>
  <c r="F12" i="7"/>
  <c r="F11" i="7"/>
  <c r="F10" i="7"/>
  <c r="F9" i="7"/>
  <c r="F8" i="7"/>
  <c r="F7" i="7"/>
  <c r="F6" i="7"/>
  <c r="F5" i="7"/>
  <c r="D14" i="7"/>
  <c r="D13" i="7"/>
  <c r="D12" i="7"/>
  <c r="D11" i="7"/>
  <c r="D10" i="7"/>
  <c r="D9" i="7"/>
  <c r="D8" i="7"/>
  <c r="D7" i="7"/>
  <c r="D6" i="7"/>
  <c r="D5" i="7"/>
  <c r="C14" i="7"/>
  <c r="C13" i="7"/>
  <c r="C12" i="7"/>
  <c r="C11" i="7"/>
  <c r="C10" i="7"/>
  <c r="C9" i="7"/>
  <c r="C8" i="7"/>
  <c r="C7" i="7"/>
  <c r="C6" i="7"/>
  <c r="C5" i="7"/>
  <c r="M12" i="6"/>
  <c r="M11" i="6"/>
  <c r="M10" i="6"/>
  <c r="M9" i="6"/>
  <c r="M8" i="6"/>
  <c r="M7" i="6"/>
  <c r="M6" i="6"/>
  <c r="M5" i="6"/>
  <c r="K12" i="6"/>
  <c r="K11" i="6"/>
  <c r="K10" i="6"/>
  <c r="K9" i="6"/>
  <c r="K8" i="6"/>
  <c r="K7" i="6"/>
  <c r="K6" i="6"/>
  <c r="K5" i="6"/>
  <c r="I12" i="6"/>
  <c r="I11" i="6"/>
  <c r="I10" i="6"/>
  <c r="I9" i="6"/>
  <c r="I8" i="6"/>
  <c r="I7" i="6"/>
  <c r="I6" i="6"/>
  <c r="I5" i="6"/>
  <c r="G12" i="6"/>
  <c r="G11" i="6"/>
  <c r="G10" i="6"/>
  <c r="G9" i="6"/>
  <c r="G8" i="6"/>
  <c r="G7" i="6"/>
  <c r="G6" i="6"/>
  <c r="G5" i="6"/>
  <c r="F12" i="6"/>
  <c r="F11" i="6"/>
  <c r="F10" i="6"/>
  <c r="F9" i="6"/>
  <c r="F8" i="6"/>
  <c r="F7" i="6"/>
  <c r="F6" i="6"/>
  <c r="F5" i="6"/>
  <c r="D12" i="6"/>
  <c r="D11" i="6"/>
  <c r="D10" i="6"/>
  <c r="D9" i="6"/>
  <c r="D8" i="6"/>
  <c r="D7" i="6"/>
  <c r="D6" i="6"/>
  <c r="D5" i="6"/>
  <c r="C12" i="6"/>
  <c r="C11" i="6"/>
  <c r="C10" i="6"/>
  <c r="C9" i="6"/>
  <c r="C8" i="6"/>
  <c r="C7" i="6"/>
  <c r="C6" i="6"/>
  <c r="C5" i="6"/>
  <c r="L12" i="5"/>
  <c r="L11" i="5"/>
  <c r="L10" i="5"/>
  <c r="L9" i="5"/>
  <c r="L8" i="5"/>
  <c r="L7" i="5"/>
  <c r="J12" i="5"/>
  <c r="J11" i="5"/>
  <c r="J10" i="5"/>
  <c r="J9" i="5"/>
  <c r="J8" i="5"/>
  <c r="J7" i="5"/>
  <c r="H12" i="5"/>
  <c r="H11" i="5"/>
  <c r="H10" i="5"/>
  <c r="H9" i="5"/>
  <c r="H8" i="5"/>
  <c r="H7" i="5"/>
  <c r="F12" i="5"/>
  <c r="F11" i="5"/>
  <c r="F10" i="5"/>
  <c r="F9" i="5"/>
  <c r="F8" i="5"/>
  <c r="F7" i="5"/>
  <c r="E7" i="5"/>
  <c r="E12" i="5"/>
  <c r="E11" i="5"/>
  <c r="E10" i="5"/>
  <c r="E9" i="5"/>
  <c r="E8" i="5"/>
  <c r="C12" i="5"/>
  <c r="C11" i="5"/>
  <c r="C10" i="5"/>
  <c r="C9" i="5"/>
  <c r="C8" i="5"/>
  <c r="C7" i="5"/>
  <c r="C11" i="11" l="1"/>
  <c r="E14" i="11"/>
  <c r="J11" i="11"/>
  <c r="J17" i="11"/>
  <c r="J22" i="11"/>
  <c r="C15" i="11"/>
  <c r="E18" i="11"/>
  <c r="J13" i="11"/>
  <c r="J18" i="11"/>
  <c r="C19" i="11"/>
  <c r="E22" i="11"/>
  <c r="J14" i="11"/>
  <c r="J19" i="11"/>
  <c r="E10" i="11"/>
  <c r="J10" i="11"/>
  <c r="J15" i="11"/>
  <c r="J21" i="11"/>
  <c r="J12" i="11"/>
  <c r="J16" i="11"/>
  <c r="J20" i="11"/>
  <c r="C12" i="11"/>
  <c r="C16" i="11"/>
  <c r="C20" i="11"/>
  <c r="E11" i="11"/>
  <c r="E15" i="11"/>
  <c r="E1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C13" i="11"/>
  <c r="C17" i="11"/>
  <c r="C21" i="11"/>
  <c r="E12" i="11"/>
  <c r="E16" i="11"/>
  <c r="E20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C10" i="11"/>
  <c r="C14" i="11"/>
  <c r="C18" i="11"/>
  <c r="C22" i="11"/>
  <c r="E13" i="11"/>
  <c r="E17" i="11"/>
  <c r="E21" i="11"/>
  <c r="K7" i="5"/>
  <c r="L5" i="6"/>
  <c r="F17" i="12"/>
  <c r="B16" i="12"/>
  <c r="B15" i="12"/>
  <c r="B13" i="12"/>
  <c r="B12" i="12"/>
  <c r="B11" i="12"/>
  <c r="L18" i="10"/>
  <c r="G18" i="10"/>
  <c r="L17" i="10"/>
  <c r="G17" i="10"/>
  <c r="G16" i="10"/>
  <c r="L15" i="10"/>
  <c r="G15" i="10"/>
  <c r="L14" i="10"/>
  <c r="G14" i="10"/>
  <c r="L13" i="10"/>
  <c r="G13" i="10"/>
  <c r="L12" i="10"/>
  <c r="G12" i="10"/>
  <c r="L11" i="10"/>
  <c r="G11" i="10"/>
  <c r="L10" i="10"/>
  <c r="G10" i="10"/>
  <c r="L9" i="10"/>
  <c r="G9" i="10"/>
  <c r="L8" i="10"/>
  <c r="L7" i="10"/>
  <c r="J19" i="10"/>
  <c r="J10" i="9"/>
  <c r="J8" i="9"/>
  <c r="I11" i="9"/>
  <c r="J15" i="8"/>
  <c r="L13" i="8"/>
  <c r="L11" i="8"/>
  <c r="J11" i="8"/>
  <c r="L7" i="8"/>
  <c r="L6" i="8"/>
  <c r="M16" i="8"/>
  <c r="L11" i="7"/>
  <c r="L8" i="7"/>
  <c r="J8" i="7"/>
  <c r="L6" i="7"/>
  <c r="C15" i="7"/>
  <c r="L12" i="6"/>
  <c r="J10" i="6"/>
  <c r="L8" i="6"/>
  <c r="J6" i="6"/>
  <c r="K12" i="5"/>
  <c r="K11" i="5"/>
  <c r="I11" i="5"/>
  <c r="I9" i="5"/>
  <c r="I7" i="5"/>
  <c r="U6" i="1"/>
  <c r="U767" i="1"/>
  <c r="U769" i="1"/>
  <c r="U766" i="1"/>
  <c r="U764" i="1"/>
  <c r="U763" i="1"/>
  <c r="U762" i="1"/>
  <c r="U760" i="1"/>
  <c r="U805" i="1"/>
  <c r="U790" i="1"/>
  <c r="U792" i="1"/>
  <c r="U788" i="1"/>
  <c r="U787" i="1"/>
  <c r="U784" i="1"/>
  <c r="U783" i="1"/>
  <c r="U782" i="1"/>
  <c r="U778" i="1"/>
  <c r="U777" i="1"/>
  <c r="U749" i="1"/>
  <c r="U743" i="1"/>
  <c r="U671" i="1"/>
  <c r="U670" i="1"/>
  <c r="U661" i="1"/>
  <c r="U627" i="1"/>
  <c r="U669" i="1"/>
  <c r="U365" i="1"/>
  <c r="U507" i="1"/>
  <c r="U502" i="1"/>
  <c r="U468" i="1"/>
  <c r="U474" i="1"/>
  <c r="U469" i="1"/>
  <c r="U424" i="1"/>
  <c r="U418" i="1"/>
  <c r="U398" i="1"/>
  <c r="U393" i="1"/>
  <c r="U392" i="1"/>
  <c r="U391" i="1"/>
  <c r="U349" i="1"/>
  <c r="U343" i="1"/>
  <c r="U265" i="1"/>
  <c r="U263" i="1"/>
  <c r="U248" i="1"/>
  <c r="U220" i="1"/>
  <c r="U218" i="1"/>
  <c r="U154" i="1"/>
  <c r="U85" i="1"/>
  <c r="U78" i="1"/>
  <c r="U82" i="1"/>
  <c r="S7" i="14" s="1"/>
  <c r="S8" i="14" s="1"/>
  <c r="U74" i="1"/>
  <c r="U49" i="1"/>
  <c r="U48" i="1"/>
  <c r="U5" i="1"/>
  <c r="U476" i="1"/>
  <c r="U517" i="1"/>
  <c r="U475" i="1"/>
  <c r="U31" i="1"/>
  <c r="U32" i="1" s="1"/>
  <c r="U578" i="1"/>
  <c r="U629" i="1"/>
  <c r="U420" i="1"/>
  <c r="U655" i="1"/>
  <c r="U491" i="1"/>
  <c r="U183" i="1"/>
  <c r="U342" i="1"/>
  <c r="U354" i="1"/>
  <c r="U344" i="1"/>
  <c r="U341" i="1"/>
  <c r="U255" i="1"/>
  <c r="U313" i="1"/>
  <c r="U272" i="1"/>
  <c r="S11" i="14" s="1"/>
  <c r="S12" i="14" s="1"/>
  <c r="U312" i="1"/>
  <c r="U306" i="1"/>
  <c r="U287" i="1"/>
  <c r="U288" i="1" s="1"/>
  <c r="U264" i="1"/>
  <c r="U131" i="1"/>
  <c r="U147" i="1"/>
  <c r="U149" i="1" s="1"/>
  <c r="U4" i="1"/>
  <c r="U47" i="1"/>
  <c r="T807" i="1"/>
  <c r="T796" i="1"/>
  <c r="T770" i="1"/>
  <c r="T755" i="1"/>
  <c r="T750" i="1"/>
  <c r="T736" i="1"/>
  <c r="T722" i="1"/>
  <c r="T708" i="1"/>
  <c r="T704" i="1"/>
  <c r="T686" i="1"/>
  <c r="T678" i="1"/>
  <c r="T674" i="1"/>
  <c r="T663" i="1"/>
  <c r="T657" i="1"/>
  <c r="T652" i="1"/>
  <c r="T643" i="1"/>
  <c r="T637" i="1"/>
  <c r="T631" i="1"/>
  <c r="T621" i="1"/>
  <c r="T616" i="1"/>
  <c r="T612" i="1"/>
  <c r="T601" i="1"/>
  <c r="T596" i="1"/>
  <c r="T592" i="1"/>
  <c r="T583" i="1"/>
  <c r="T579" i="1"/>
  <c r="T570" i="1"/>
  <c r="T565" i="1"/>
  <c r="T561" i="1"/>
  <c r="T554" i="1"/>
  <c r="T547" i="1"/>
  <c r="T543" i="1"/>
  <c r="T533" i="1"/>
  <c r="T524" i="1"/>
  <c r="T520" i="1"/>
  <c r="T510" i="1"/>
  <c r="T504" i="1"/>
  <c r="T496" i="1"/>
  <c r="T492" i="1"/>
  <c r="T483" i="1"/>
  <c r="T477" i="1"/>
  <c r="T470" i="1"/>
  <c r="T462" i="1"/>
  <c r="T458" i="1"/>
  <c r="T454" i="1"/>
  <c r="T446" i="1"/>
  <c r="T440" i="1"/>
  <c r="T428" i="1"/>
  <c r="T421" i="1"/>
  <c r="T408" i="1"/>
  <c r="T402" i="1"/>
  <c r="T394" i="1"/>
  <c r="T383" i="1"/>
  <c r="T375" i="1"/>
  <c r="T368" i="1"/>
  <c r="T358" i="1"/>
  <c r="T351" i="1"/>
  <c r="T346" i="1"/>
  <c r="T334" i="1"/>
  <c r="T336" i="1" s="1"/>
  <c r="T321" i="1"/>
  <c r="T315" i="1"/>
  <c r="T309" i="1"/>
  <c r="T297" i="1"/>
  <c r="T292" i="1"/>
  <c r="T279" i="1"/>
  <c r="T274" i="1"/>
  <c r="T266" i="1"/>
  <c r="T257" i="1"/>
  <c r="T252" i="1"/>
  <c r="T234" i="1"/>
  <c r="T228" i="1"/>
  <c r="T221" i="1"/>
  <c r="T212" i="1"/>
  <c r="T204" i="1"/>
  <c r="T189" i="1"/>
  <c r="T184" i="1"/>
  <c r="T173" i="1"/>
  <c r="T163" i="1"/>
  <c r="T155" i="1"/>
  <c r="T136" i="1"/>
  <c r="T132" i="1"/>
  <c r="T128" i="1"/>
  <c r="T121" i="1"/>
  <c r="T116" i="1"/>
  <c r="T107" i="1"/>
  <c r="T100" i="1"/>
  <c r="T96" i="1"/>
  <c r="T87" i="1"/>
  <c r="T79" i="1"/>
  <c r="T75" i="1"/>
  <c r="T67" i="1"/>
  <c r="T57" i="1"/>
  <c r="T52" i="1"/>
  <c r="T41" i="1"/>
  <c r="T36" i="1"/>
  <c r="T32" i="1"/>
  <c r="T23" i="1"/>
  <c r="T15" i="1"/>
  <c r="T10" i="1"/>
  <c r="AG807" i="1"/>
  <c r="AF807" i="1"/>
  <c r="AE807" i="1"/>
  <c r="AD807" i="1"/>
  <c r="AC807" i="1"/>
  <c r="AB807" i="1"/>
  <c r="AA807" i="1"/>
  <c r="Z807" i="1"/>
  <c r="Y807" i="1"/>
  <c r="X807" i="1"/>
  <c r="W807" i="1"/>
  <c r="AG796" i="1"/>
  <c r="AF796" i="1"/>
  <c r="AE796" i="1"/>
  <c r="AD796" i="1"/>
  <c r="AC796" i="1"/>
  <c r="AB796" i="1"/>
  <c r="AA796" i="1"/>
  <c r="Z796" i="1"/>
  <c r="Y796" i="1"/>
  <c r="X796" i="1"/>
  <c r="W796" i="1"/>
  <c r="AG770" i="1"/>
  <c r="AF770" i="1"/>
  <c r="AE770" i="1"/>
  <c r="AD770" i="1"/>
  <c r="AC770" i="1"/>
  <c r="AB770" i="1"/>
  <c r="AA770" i="1"/>
  <c r="Z770" i="1"/>
  <c r="Y770" i="1"/>
  <c r="X770" i="1"/>
  <c r="W770" i="1"/>
  <c r="AG755" i="1"/>
  <c r="AF755" i="1"/>
  <c r="AE755" i="1"/>
  <c r="AD755" i="1"/>
  <c r="AC755" i="1"/>
  <c r="AB755" i="1"/>
  <c r="AA755" i="1"/>
  <c r="Z755" i="1"/>
  <c r="Y755" i="1"/>
  <c r="X755" i="1"/>
  <c r="W755" i="1"/>
  <c r="AG750" i="1"/>
  <c r="AF750" i="1"/>
  <c r="AE750" i="1"/>
  <c r="AD750" i="1"/>
  <c r="AC750" i="1"/>
  <c r="AB750" i="1"/>
  <c r="AA750" i="1"/>
  <c r="Z750" i="1"/>
  <c r="Y750" i="1"/>
  <c r="X750" i="1"/>
  <c r="W750" i="1"/>
  <c r="AG736" i="1"/>
  <c r="AF736" i="1"/>
  <c r="AE736" i="1"/>
  <c r="AD736" i="1"/>
  <c r="AC736" i="1"/>
  <c r="AB736" i="1"/>
  <c r="AA736" i="1"/>
  <c r="Z736" i="1"/>
  <c r="Y736" i="1"/>
  <c r="X736" i="1"/>
  <c r="W736" i="1"/>
  <c r="AG722" i="1"/>
  <c r="AF722" i="1"/>
  <c r="AE722" i="1"/>
  <c r="AD722" i="1"/>
  <c r="AC722" i="1"/>
  <c r="AB722" i="1"/>
  <c r="AA722" i="1"/>
  <c r="Z722" i="1"/>
  <c r="Y722" i="1"/>
  <c r="X722" i="1"/>
  <c r="W722" i="1"/>
  <c r="AG708" i="1"/>
  <c r="AF708" i="1"/>
  <c r="AE708" i="1"/>
  <c r="AD708" i="1"/>
  <c r="AC708" i="1"/>
  <c r="AB708" i="1"/>
  <c r="AA708" i="1"/>
  <c r="Z708" i="1"/>
  <c r="Y708" i="1"/>
  <c r="X708" i="1"/>
  <c r="W708" i="1"/>
  <c r="AG704" i="1"/>
  <c r="AF704" i="1"/>
  <c r="AE704" i="1"/>
  <c r="AD704" i="1"/>
  <c r="AC704" i="1"/>
  <c r="AB704" i="1"/>
  <c r="AA704" i="1"/>
  <c r="Z704" i="1"/>
  <c r="Y704" i="1"/>
  <c r="X704" i="1"/>
  <c r="W704" i="1"/>
  <c r="AG686" i="1"/>
  <c r="AF686" i="1"/>
  <c r="AE686" i="1"/>
  <c r="AD686" i="1"/>
  <c r="AC686" i="1"/>
  <c r="AB686" i="1"/>
  <c r="AA686" i="1"/>
  <c r="Z686" i="1"/>
  <c r="Y686" i="1"/>
  <c r="X686" i="1"/>
  <c r="W686" i="1"/>
  <c r="AG678" i="1"/>
  <c r="AF678" i="1"/>
  <c r="AE678" i="1"/>
  <c r="AD678" i="1"/>
  <c r="AC678" i="1"/>
  <c r="AB678" i="1"/>
  <c r="AA678" i="1"/>
  <c r="Z678" i="1"/>
  <c r="Y678" i="1"/>
  <c r="X678" i="1"/>
  <c r="W678" i="1"/>
  <c r="AG674" i="1"/>
  <c r="AF674" i="1"/>
  <c r="AE674" i="1"/>
  <c r="AD674" i="1"/>
  <c r="AC674" i="1"/>
  <c r="AB674" i="1"/>
  <c r="AA674" i="1"/>
  <c r="Z674" i="1"/>
  <c r="Y674" i="1"/>
  <c r="X674" i="1"/>
  <c r="W674" i="1"/>
  <c r="AG663" i="1"/>
  <c r="AF663" i="1"/>
  <c r="AE663" i="1"/>
  <c r="AD663" i="1"/>
  <c r="AC663" i="1"/>
  <c r="AB663" i="1"/>
  <c r="AA663" i="1"/>
  <c r="Z663" i="1"/>
  <c r="Y663" i="1"/>
  <c r="X663" i="1"/>
  <c r="W663" i="1"/>
  <c r="AG657" i="1"/>
  <c r="AF657" i="1"/>
  <c r="AE657" i="1"/>
  <c r="AD657" i="1"/>
  <c r="AC657" i="1"/>
  <c r="AB657" i="1"/>
  <c r="AA657" i="1"/>
  <c r="Z657" i="1"/>
  <c r="Y657" i="1"/>
  <c r="X657" i="1"/>
  <c r="W657" i="1"/>
  <c r="AG652" i="1"/>
  <c r="AF652" i="1"/>
  <c r="AE652" i="1"/>
  <c r="AD652" i="1"/>
  <c r="AC652" i="1"/>
  <c r="AB652" i="1"/>
  <c r="AA652" i="1"/>
  <c r="Z652" i="1"/>
  <c r="Y652" i="1"/>
  <c r="X652" i="1"/>
  <c r="W652" i="1"/>
  <c r="AG643" i="1"/>
  <c r="AF643" i="1"/>
  <c r="AE643" i="1"/>
  <c r="AD643" i="1"/>
  <c r="AC643" i="1"/>
  <c r="AB643" i="1"/>
  <c r="AA643" i="1"/>
  <c r="Z643" i="1"/>
  <c r="Y643" i="1"/>
  <c r="X643" i="1"/>
  <c r="W643" i="1"/>
  <c r="AG637" i="1"/>
  <c r="AF637" i="1"/>
  <c r="AE637" i="1"/>
  <c r="AD637" i="1"/>
  <c r="AC637" i="1"/>
  <c r="AB637" i="1"/>
  <c r="AA637" i="1"/>
  <c r="Z637" i="1"/>
  <c r="Y637" i="1"/>
  <c r="X637" i="1"/>
  <c r="W637" i="1"/>
  <c r="AG631" i="1"/>
  <c r="AF631" i="1"/>
  <c r="AE631" i="1"/>
  <c r="AD631" i="1"/>
  <c r="AC631" i="1"/>
  <c r="AB631" i="1"/>
  <c r="AA631" i="1"/>
  <c r="Z631" i="1"/>
  <c r="Y631" i="1"/>
  <c r="X631" i="1"/>
  <c r="W631" i="1"/>
  <c r="AG621" i="1"/>
  <c r="AF621" i="1"/>
  <c r="AE621" i="1"/>
  <c r="AD621" i="1"/>
  <c r="AC621" i="1"/>
  <c r="AB621" i="1"/>
  <c r="AA621" i="1"/>
  <c r="Z621" i="1"/>
  <c r="Y621" i="1"/>
  <c r="X621" i="1"/>
  <c r="W621" i="1"/>
  <c r="AG616" i="1"/>
  <c r="AF616" i="1"/>
  <c r="AE616" i="1"/>
  <c r="AD616" i="1"/>
  <c r="AC616" i="1"/>
  <c r="AB616" i="1"/>
  <c r="AA616" i="1"/>
  <c r="Z616" i="1"/>
  <c r="Y616" i="1"/>
  <c r="X616" i="1"/>
  <c r="W616" i="1"/>
  <c r="AG612" i="1"/>
  <c r="AF612" i="1"/>
  <c r="AE612" i="1"/>
  <c r="AD612" i="1"/>
  <c r="AC612" i="1"/>
  <c r="AB612" i="1"/>
  <c r="AA612" i="1"/>
  <c r="Z612" i="1"/>
  <c r="Y612" i="1"/>
  <c r="X612" i="1"/>
  <c r="W612" i="1"/>
  <c r="AG601" i="1"/>
  <c r="AF601" i="1"/>
  <c r="AE601" i="1"/>
  <c r="AD601" i="1"/>
  <c r="AC601" i="1"/>
  <c r="AB601" i="1"/>
  <c r="AA601" i="1"/>
  <c r="Z601" i="1"/>
  <c r="Y601" i="1"/>
  <c r="X601" i="1"/>
  <c r="W601" i="1"/>
  <c r="AG596" i="1"/>
  <c r="AF596" i="1"/>
  <c r="AE596" i="1"/>
  <c r="AD596" i="1"/>
  <c r="AC596" i="1"/>
  <c r="AB596" i="1"/>
  <c r="AA596" i="1"/>
  <c r="Z596" i="1"/>
  <c r="Y596" i="1"/>
  <c r="X596" i="1"/>
  <c r="W596" i="1"/>
  <c r="AG592" i="1"/>
  <c r="AF592" i="1"/>
  <c r="AE592" i="1"/>
  <c r="AD592" i="1"/>
  <c r="AC592" i="1"/>
  <c r="AB592" i="1"/>
  <c r="AA592" i="1"/>
  <c r="Z592" i="1"/>
  <c r="Y592" i="1"/>
  <c r="X592" i="1"/>
  <c r="W592" i="1"/>
  <c r="AG583" i="1"/>
  <c r="AF583" i="1"/>
  <c r="AE583" i="1"/>
  <c r="AD583" i="1"/>
  <c r="AC583" i="1"/>
  <c r="AB583" i="1"/>
  <c r="AA583" i="1"/>
  <c r="Z583" i="1"/>
  <c r="Y583" i="1"/>
  <c r="X583" i="1"/>
  <c r="W583" i="1"/>
  <c r="AG579" i="1"/>
  <c r="AF579" i="1"/>
  <c r="AE579" i="1"/>
  <c r="AD579" i="1"/>
  <c r="AC579" i="1"/>
  <c r="AB579" i="1"/>
  <c r="AA579" i="1"/>
  <c r="Z579" i="1"/>
  <c r="Y579" i="1"/>
  <c r="X579" i="1"/>
  <c r="W579" i="1"/>
  <c r="AG570" i="1"/>
  <c r="AF570" i="1"/>
  <c r="AE570" i="1"/>
  <c r="AD570" i="1"/>
  <c r="AC570" i="1"/>
  <c r="AB570" i="1"/>
  <c r="AA570" i="1"/>
  <c r="Z570" i="1"/>
  <c r="Y570" i="1"/>
  <c r="X570" i="1"/>
  <c r="W570" i="1"/>
  <c r="AG565" i="1"/>
  <c r="AF565" i="1"/>
  <c r="AE565" i="1"/>
  <c r="AD565" i="1"/>
  <c r="AC565" i="1"/>
  <c r="AB565" i="1"/>
  <c r="AA565" i="1"/>
  <c r="Z565" i="1"/>
  <c r="Y565" i="1"/>
  <c r="X565" i="1"/>
  <c r="W565" i="1"/>
  <c r="AG561" i="1"/>
  <c r="AF561" i="1"/>
  <c r="AE561" i="1"/>
  <c r="AD561" i="1"/>
  <c r="AC561" i="1"/>
  <c r="AB561" i="1"/>
  <c r="AA561" i="1"/>
  <c r="Z561" i="1"/>
  <c r="Y561" i="1"/>
  <c r="X561" i="1"/>
  <c r="W561" i="1"/>
  <c r="AG554" i="1"/>
  <c r="AF554" i="1"/>
  <c r="AE554" i="1"/>
  <c r="AD554" i="1"/>
  <c r="AC554" i="1"/>
  <c r="AB554" i="1"/>
  <c r="AA554" i="1"/>
  <c r="Z554" i="1"/>
  <c r="Y554" i="1"/>
  <c r="X554" i="1"/>
  <c r="W554" i="1"/>
  <c r="AG547" i="1"/>
  <c r="AF547" i="1"/>
  <c r="AE547" i="1"/>
  <c r="AD547" i="1"/>
  <c r="AC547" i="1"/>
  <c r="AB547" i="1"/>
  <c r="AA547" i="1"/>
  <c r="Z547" i="1"/>
  <c r="Y547" i="1"/>
  <c r="X547" i="1"/>
  <c r="W547" i="1"/>
  <c r="AG543" i="1"/>
  <c r="AF543" i="1"/>
  <c r="AE543" i="1"/>
  <c r="AD543" i="1"/>
  <c r="AC543" i="1"/>
  <c r="AB543" i="1"/>
  <c r="AA543" i="1"/>
  <c r="Z543" i="1"/>
  <c r="Y543" i="1"/>
  <c r="X543" i="1"/>
  <c r="W543" i="1"/>
  <c r="AG533" i="1"/>
  <c r="AF533" i="1"/>
  <c r="AE533" i="1"/>
  <c r="AD533" i="1"/>
  <c r="AC533" i="1"/>
  <c r="AB533" i="1"/>
  <c r="AA533" i="1"/>
  <c r="Z533" i="1"/>
  <c r="Y533" i="1"/>
  <c r="X533" i="1"/>
  <c r="W533" i="1"/>
  <c r="AG524" i="1"/>
  <c r="AF524" i="1"/>
  <c r="AE524" i="1"/>
  <c r="AD524" i="1"/>
  <c r="AC524" i="1"/>
  <c r="AB524" i="1"/>
  <c r="AA524" i="1"/>
  <c r="Z524" i="1"/>
  <c r="Y524" i="1"/>
  <c r="X524" i="1"/>
  <c r="W524" i="1"/>
  <c r="AG520" i="1"/>
  <c r="AF520" i="1"/>
  <c r="AE520" i="1"/>
  <c r="AD520" i="1"/>
  <c r="AC520" i="1"/>
  <c r="AB520" i="1"/>
  <c r="AA520" i="1"/>
  <c r="Z520" i="1"/>
  <c r="Y520" i="1"/>
  <c r="X520" i="1"/>
  <c r="W520" i="1"/>
  <c r="AG510" i="1"/>
  <c r="AF510" i="1"/>
  <c r="AE510" i="1"/>
  <c r="AD510" i="1"/>
  <c r="AC510" i="1"/>
  <c r="AB510" i="1"/>
  <c r="AA510" i="1"/>
  <c r="Z510" i="1"/>
  <c r="Y510" i="1"/>
  <c r="X510" i="1"/>
  <c r="W510" i="1"/>
  <c r="AG504" i="1"/>
  <c r="AF504" i="1"/>
  <c r="AE504" i="1"/>
  <c r="AD504" i="1"/>
  <c r="AC504" i="1"/>
  <c r="AB504" i="1"/>
  <c r="AA504" i="1"/>
  <c r="Z504" i="1"/>
  <c r="Y504" i="1"/>
  <c r="X504" i="1"/>
  <c r="W504" i="1"/>
  <c r="AG496" i="1"/>
  <c r="AF496" i="1"/>
  <c r="AE496" i="1"/>
  <c r="AD496" i="1"/>
  <c r="AC496" i="1"/>
  <c r="AB496" i="1"/>
  <c r="AA496" i="1"/>
  <c r="Z496" i="1"/>
  <c r="Y496" i="1"/>
  <c r="X496" i="1"/>
  <c r="W496" i="1"/>
  <c r="AG492" i="1"/>
  <c r="AF492" i="1"/>
  <c r="AE492" i="1"/>
  <c r="AD492" i="1"/>
  <c r="AC492" i="1"/>
  <c r="AB492" i="1"/>
  <c r="AA492" i="1"/>
  <c r="Z492" i="1"/>
  <c r="Y492" i="1"/>
  <c r="X492" i="1"/>
  <c r="W492" i="1"/>
  <c r="AG483" i="1"/>
  <c r="AF483" i="1"/>
  <c r="AE483" i="1"/>
  <c r="AD483" i="1"/>
  <c r="AC483" i="1"/>
  <c r="AB483" i="1"/>
  <c r="AA483" i="1"/>
  <c r="Z483" i="1"/>
  <c r="Y483" i="1"/>
  <c r="X483" i="1"/>
  <c r="W483" i="1"/>
  <c r="AG477" i="1"/>
  <c r="AF477" i="1"/>
  <c r="AE477" i="1"/>
  <c r="AD477" i="1"/>
  <c r="AC477" i="1"/>
  <c r="AB477" i="1"/>
  <c r="AA477" i="1"/>
  <c r="Z477" i="1"/>
  <c r="Y477" i="1"/>
  <c r="X477" i="1"/>
  <c r="W477" i="1"/>
  <c r="AG470" i="1"/>
  <c r="AF470" i="1"/>
  <c r="AE470" i="1"/>
  <c r="AD470" i="1"/>
  <c r="AC470" i="1"/>
  <c r="AB470" i="1"/>
  <c r="AA470" i="1"/>
  <c r="Z470" i="1"/>
  <c r="Y470" i="1"/>
  <c r="X470" i="1"/>
  <c r="W470" i="1"/>
  <c r="AG462" i="1"/>
  <c r="AF462" i="1"/>
  <c r="AE462" i="1"/>
  <c r="AD462" i="1"/>
  <c r="AC462" i="1"/>
  <c r="AB462" i="1"/>
  <c r="AA462" i="1"/>
  <c r="Z462" i="1"/>
  <c r="Y462" i="1"/>
  <c r="X462" i="1"/>
  <c r="W462" i="1"/>
  <c r="AG458" i="1"/>
  <c r="AF458" i="1"/>
  <c r="AE458" i="1"/>
  <c r="AD458" i="1"/>
  <c r="AC458" i="1"/>
  <c r="AB458" i="1"/>
  <c r="AA458" i="1"/>
  <c r="Z458" i="1"/>
  <c r="Y458" i="1"/>
  <c r="X458" i="1"/>
  <c r="W458" i="1"/>
  <c r="AG454" i="1"/>
  <c r="AF454" i="1"/>
  <c r="AE454" i="1"/>
  <c r="AD454" i="1"/>
  <c r="AC454" i="1"/>
  <c r="AB454" i="1"/>
  <c r="AA454" i="1"/>
  <c r="Z454" i="1"/>
  <c r="Y454" i="1"/>
  <c r="X454" i="1"/>
  <c r="W454" i="1"/>
  <c r="AG446" i="1"/>
  <c r="AF446" i="1"/>
  <c r="AE446" i="1"/>
  <c r="AD446" i="1"/>
  <c r="AC446" i="1"/>
  <c r="AB446" i="1"/>
  <c r="AA446" i="1"/>
  <c r="Z446" i="1"/>
  <c r="Y446" i="1"/>
  <c r="X446" i="1"/>
  <c r="W446" i="1"/>
  <c r="AG440" i="1"/>
  <c r="AF440" i="1"/>
  <c r="AE440" i="1"/>
  <c r="AD440" i="1"/>
  <c r="AC440" i="1"/>
  <c r="AB440" i="1"/>
  <c r="AA440" i="1"/>
  <c r="Z440" i="1"/>
  <c r="Y440" i="1"/>
  <c r="X440" i="1"/>
  <c r="W440" i="1"/>
  <c r="AG428" i="1"/>
  <c r="AF428" i="1"/>
  <c r="AE428" i="1"/>
  <c r="AD428" i="1"/>
  <c r="AC428" i="1"/>
  <c r="AB428" i="1"/>
  <c r="AA428" i="1"/>
  <c r="Z428" i="1"/>
  <c r="Y428" i="1"/>
  <c r="X428" i="1"/>
  <c r="W428" i="1"/>
  <c r="AG421" i="1"/>
  <c r="AF421" i="1"/>
  <c r="AE421" i="1"/>
  <c r="AD421" i="1"/>
  <c r="AC421" i="1"/>
  <c r="AB421" i="1"/>
  <c r="AA421" i="1"/>
  <c r="Z421" i="1"/>
  <c r="Y421" i="1"/>
  <c r="X421" i="1"/>
  <c r="W421" i="1"/>
  <c r="AG408" i="1"/>
  <c r="AF408" i="1"/>
  <c r="AE408" i="1"/>
  <c r="AD408" i="1"/>
  <c r="AC408" i="1"/>
  <c r="AB408" i="1"/>
  <c r="AA408" i="1"/>
  <c r="Z408" i="1"/>
  <c r="Y408" i="1"/>
  <c r="X408" i="1"/>
  <c r="W408" i="1"/>
  <c r="AG402" i="1"/>
  <c r="AF402" i="1"/>
  <c r="AE402" i="1"/>
  <c r="AD402" i="1"/>
  <c r="AC402" i="1"/>
  <c r="AB402" i="1"/>
  <c r="AA402" i="1"/>
  <c r="Z402" i="1"/>
  <c r="Y402" i="1"/>
  <c r="X402" i="1"/>
  <c r="W402" i="1"/>
  <c r="AG394" i="1"/>
  <c r="AF394" i="1"/>
  <c r="AE394" i="1"/>
  <c r="AD394" i="1"/>
  <c r="AC394" i="1"/>
  <c r="AB394" i="1"/>
  <c r="AA394" i="1"/>
  <c r="Z394" i="1"/>
  <c r="Y394" i="1"/>
  <c r="X394" i="1"/>
  <c r="W394" i="1"/>
  <c r="AG383" i="1"/>
  <c r="AF383" i="1"/>
  <c r="AE383" i="1"/>
  <c r="AD383" i="1"/>
  <c r="AC383" i="1"/>
  <c r="AB383" i="1"/>
  <c r="AA383" i="1"/>
  <c r="Z383" i="1"/>
  <c r="Y383" i="1"/>
  <c r="X383" i="1"/>
  <c r="W383" i="1"/>
  <c r="AG375" i="1"/>
  <c r="AF375" i="1"/>
  <c r="AE375" i="1"/>
  <c r="AD375" i="1"/>
  <c r="AC375" i="1"/>
  <c r="AB375" i="1"/>
  <c r="AA375" i="1"/>
  <c r="Z375" i="1"/>
  <c r="Y375" i="1"/>
  <c r="X375" i="1"/>
  <c r="W375" i="1"/>
  <c r="AG368" i="1"/>
  <c r="AF368" i="1"/>
  <c r="AE368" i="1"/>
  <c r="AD368" i="1"/>
  <c r="AC368" i="1"/>
  <c r="AB368" i="1"/>
  <c r="AA368" i="1"/>
  <c r="Z368" i="1"/>
  <c r="Y368" i="1"/>
  <c r="X368" i="1"/>
  <c r="W368" i="1"/>
  <c r="AG358" i="1"/>
  <c r="AF358" i="1"/>
  <c r="AE358" i="1"/>
  <c r="AD358" i="1"/>
  <c r="AC358" i="1"/>
  <c r="AB358" i="1"/>
  <c r="AA358" i="1"/>
  <c r="Z358" i="1"/>
  <c r="Y358" i="1"/>
  <c r="X358" i="1"/>
  <c r="W358" i="1"/>
  <c r="AG351" i="1"/>
  <c r="AF351" i="1"/>
  <c r="AE351" i="1"/>
  <c r="AD351" i="1"/>
  <c r="AC351" i="1"/>
  <c r="AB351" i="1"/>
  <c r="AA351" i="1"/>
  <c r="Z351" i="1"/>
  <c r="Y351" i="1"/>
  <c r="X351" i="1"/>
  <c r="W351" i="1"/>
  <c r="AG346" i="1"/>
  <c r="AF346" i="1"/>
  <c r="AE346" i="1"/>
  <c r="AD346" i="1"/>
  <c r="AC346" i="1"/>
  <c r="AB346" i="1"/>
  <c r="AA346" i="1"/>
  <c r="Z346" i="1"/>
  <c r="Y346" i="1"/>
  <c r="X346" i="1"/>
  <c r="W346" i="1"/>
  <c r="AG334" i="1"/>
  <c r="AG336" i="1" s="1"/>
  <c r="AF334" i="1"/>
  <c r="AF336" i="1" s="1"/>
  <c r="AE334" i="1"/>
  <c r="AE336" i="1" s="1"/>
  <c r="AD334" i="1"/>
  <c r="AD336" i="1" s="1"/>
  <c r="AC334" i="1"/>
  <c r="AC336" i="1" s="1"/>
  <c r="AB334" i="1"/>
  <c r="AB336" i="1" s="1"/>
  <c r="AA334" i="1"/>
  <c r="AA336" i="1" s="1"/>
  <c r="Z334" i="1"/>
  <c r="Z336" i="1" s="1"/>
  <c r="Y334" i="1"/>
  <c r="Y336" i="1" s="1"/>
  <c r="X334" i="1"/>
  <c r="X336" i="1" s="1"/>
  <c r="W334" i="1"/>
  <c r="W336" i="1" s="1"/>
  <c r="AG321" i="1"/>
  <c r="AF321" i="1"/>
  <c r="AE321" i="1"/>
  <c r="AD321" i="1"/>
  <c r="AC321" i="1"/>
  <c r="AB321" i="1"/>
  <c r="AA321" i="1"/>
  <c r="Z321" i="1"/>
  <c r="Y321" i="1"/>
  <c r="X321" i="1"/>
  <c r="W321" i="1"/>
  <c r="AG315" i="1"/>
  <c r="AF315" i="1"/>
  <c r="AE315" i="1"/>
  <c r="AD315" i="1"/>
  <c r="AC315" i="1"/>
  <c r="AB315" i="1"/>
  <c r="AA315" i="1"/>
  <c r="Z315" i="1"/>
  <c r="Y315" i="1"/>
  <c r="X315" i="1"/>
  <c r="W315" i="1"/>
  <c r="AG309" i="1"/>
  <c r="AF309" i="1"/>
  <c r="AE309" i="1"/>
  <c r="AD309" i="1"/>
  <c r="AC309" i="1"/>
  <c r="AB309" i="1"/>
  <c r="AA309" i="1"/>
  <c r="Z309" i="1"/>
  <c r="Y309" i="1"/>
  <c r="X309" i="1"/>
  <c r="W309" i="1"/>
  <c r="AG297" i="1"/>
  <c r="AF297" i="1"/>
  <c r="AE297" i="1"/>
  <c r="AD297" i="1"/>
  <c r="AC297" i="1"/>
  <c r="AB297" i="1"/>
  <c r="AA297" i="1"/>
  <c r="Z297" i="1"/>
  <c r="Y297" i="1"/>
  <c r="X297" i="1"/>
  <c r="W297" i="1"/>
  <c r="AG292" i="1"/>
  <c r="AF292" i="1"/>
  <c r="AE292" i="1"/>
  <c r="AD292" i="1"/>
  <c r="AC292" i="1"/>
  <c r="AB292" i="1"/>
  <c r="AA292" i="1"/>
  <c r="Z292" i="1"/>
  <c r="Y292" i="1"/>
  <c r="X292" i="1"/>
  <c r="W292" i="1"/>
  <c r="AG279" i="1"/>
  <c r="AF279" i="1"/>
  <c r="AE279" i="1"/>
  <c r="AD279" i="1"/>
  <c r="AC279" i="1"/>
  <c r="AB279" i="1"/>
  <c r="AA279" i="1"/>
  <c r="Z279" i="1"/>
  <c r="Y279" i="1"/>
  <c r="X279" i="1"/>
  <c r="W279" i="1"/>
  <c r="AG274" i="1"/>
  <c r="AF274" i="1"/>
  <c r="AE274" i="1"/>
  <c r="AD274" i="1"/>
  <c r="AC274" i="1"/>
  <c r="AB274" i="1"/>
  <c r="AA274" i="1"/>
  <c r="Z274" i="1"/>
  <c r="Y274" i="1"/>
  <c r="X274" i="1"/>
  <c r="W274" i="1"/>
  <c r="AG266" i="1"/>
  <c r="AF266" i="1"/>
  <c r="AE266" i="1"/>
  <c r="AD266" i="1"/>
  <c r="AC266" i="1"/>
  <c r="AB266" i="1"/>
  <c r="AA266" i="1"/>
  <c r="Z266" i="1"/>
  <c r="Y266" i="1"/>
  <c r="X266" i="1"/>
  <c r="W266" i="1"/>
  <c r="AG257" i="1"/>
  <c r="AF257" i="1"/>
  <c r="AE257" i="1"/>
  <c r="AD257" i="1"/>
  <c r="AC257" i="1"/>
  <c r="AB257" i="1"/>
  <c r="AA257" i="1"/>
  <c r="Z257" i="1"/>
  <c r="Y257" i="1"/>
  <c r="X257" i="1"/>
  <c r="W257" i="1"/>
  <c r="AG252" i="1"/>
  <c r="AF252" i="1"/>
  <c r="AE252" i="1"/>
  <c r="AD252" i="1"/>
  <c r="AC252" i="1"/>
  <c r="AB252" i="1"/>
  <c r="AA252" i="1"/>
  <c r="Z252" i="1"/>
  <c r="Y252" i="1"/>
  <c r="X252" i="1"/>
  <c r="W252" i="1"/>
  <c r="AG234" i="1"/>
  <c r="AF234" i="1"/>
  <c r="AE234" i="1"/>
  <c r="AD234" i="1"/>
  <c r="AC234" i="1"/>
  <c r="AB234" i="1"/>
  <c r="AA234" i="1"/>
  <c r="Z234" i="1"/>
  <c r="Y234" i="1"/>
  <c r="X234" i="1"/>
  <c r="W234" i="1"/>
  <c r="AG228" i="1"/>
  <c r="AF228" i="1"/>
  <c r="AE228" i="1"/>
  <c r="AD228" i="1"/>
  <c r="AC228" i="1"/>
  <c r="AB228" i="1"/>
  <c r="AA228" i="1"/>
  <c r="Z228" i="1"/>
  <c r="Y228" i="1"/>
  <c r="X228" i="1"/>
  <c r="W228" i="1"/>
  <c r="AG221" i="1"/>
  <c r="AF221" i="1"/>
  <c r="AE221" i="1"/>
  <c r="AD221" i="1"/>
  <c r="AC221" i="1"/>
  <c r="AB221" i="1"/>
  <c r="AA221" i="1"/>
  <c r="Z221" i="1"/>
  <c r="Y221" i="1"/>
  <c r="X221" i="1"/>
  <c r="W221" i="1"/>
  <c r="AG212" i="1"/>
  <c r="AF212" i="1"/>
  <c r="AE212" i="1"/>
  <c r="AD212" i="1"/>
  <c r="AC212" i="1"/>
  <c r="AB212" i="1"/>
  <c r="AA212" i="1"/>
  <c r="Z212" i="1"/>
  <c r="Y212" i="1"/>
  <c r="X212" i="1"/>
  <c r="W212" i="1"/>
  <c r="AG204" i="1"/>
  <c r="AF204" i="1"/>
  <c r="AE204" i="1"/>
  <c r="AD204" i="1"/>
  <c r="AC204" i="1"/>
  <c r="AB204" i="1"/>
  <c r="AA204" i="1"/>
  <c r="Z204" i="1"/>
  <c r="Y204" i="1"/>
  <c r="X204" i="1"/>
  <c r="W204" i="1"/>
  <c r="AG189" i="1"/>
  <c r="AF189" i="1"/>
  <c r="AE189" i="1"/>
  <c r="AD189" i="1"/>
  <c r="AC189" i="1"/>
  <c r="AB189" i="1"/>
  <c r="AA189" i="1"/>
  <c r="Z189" i="1"/>
  <c r="Y189" i="1"/>
  <c r="X189" i="1"/>
  <c r="W189" i="1"/>
  <c r="AG184" i="1"/>
  <c r="AF184" i="1"/>
  <c r="AE184" i="1"/>
  <c r="AD184" i="1"/>
  <c r="AC184" i="1"/>
  <c r="AB184" i="1"/>
  <c r="AA184" i="1"/>
  <c r="Z184" i="1"/>
  <c r="Y184" i="1"/>
  <c r="X184" i="1"/>
  <c r="W184" i="1"/>
  <c r="AG163" i="1"/>
  <c r="AF163" i="1"/>
  <c r="AE163" i="1"/>
  <c r="AD163" i="1"/>
  <c r="AC163" i="1"/>
  <c r="AB163" i="1"/>
  <c r="AA163" i="1"/>
  <c r="Z163" i="1"/>
  <c r="Y163" i="1"/>
  <c r="X163" i="1"/>
  <c r="W163" i="1"/>
  <c r="AG155" i="1"/>
  <c r="AF155" i="1"/>
  <c r="AE155" i="1"/>
  <c r="AD155" i="1"/>
  <c r="AC155" i="1"/>
  <c r="AB155" i="1"/>
  <c r="AA155" i="1"/>
  <c r="Z155" i="1"/>
  <c r="Y155" i="1"/>
  <c r="X155" i="1"/>
  <c r="W155" i="1"/>
  <c r="AG136" i="1"/>
  <c r="AF136" i="1"/>
  <c r="AE136" i="1"/>
  <c r="AD136" i="1"/>
  <c r="AC136" i="1"/>
  <c r="AB136" i="1"/>
  <c r="AA136" i="1"/>
  <c r="Z136" i="1"/>
  <c r="Y136" i="1"/>
  <c r="X136" i="1"/>
  <c r="W136" i="1"/>
  <c r="AG132" i="1"/>
  <c r="AF132" i="1"/>
  <c r="AE132" i="1"/>
  <c r="AD132" i="1"/>
  <c r="AC132" i="1"/>
  <c r="AB132" i="1"/>
  <c r="AA132" i="1"/>
  <c r="Z132" i="1"/>
  <c r="Y132" i="1"/>
  <c r="X132" i="1"/>
  <c r="W132" i="1"/>
  <c r="AG128" i="1"/>
  <c r="AF128" i="1"/>
  <c r="AE128" i="1"/>
  <c r="AD128" i="1"/>
  <c r="AC128" i="1"/>
  <c r="AB128" i="1"/>
  <c r="AA128" i="1"/>
  <c r="Z128" i="1"/>
  <c r="Y128" i="1"/>
  <c r="X128" i="1"/>
  <c r="W128" i="1"/>
  <c r="AG121" i="1"/>
  <c r="AF121" i="1"/>
  <c r="AE121" i="1"/>
  <c r="AD121" i="1"/>
  <c r="AC121" i="1"/>
  <c r="AB121" i="1"/>
  <c r="AA121" i="1"/>
  <c r="Z121" i="1"/>
  <c r="Y121" i="1"/>
  <c r="X121" i="1"/>
  <c r="W121" i="1"/>
  <c r="AG116" i="1"/>
  <c r="AF116" i="1"/>
  <c r="AE116" i="1"/>
  <c r="AD116" i="1"/>
  <c r="AC116" i="1"/>
  <c r="AB116" i="1"/>
  <c r="AA116" i="1"/>
  <c r="Z116" i="1"/>
  <c r="Y116" i="1"/>
  <c r="X116" i="1"/>
  <c r="W116" i="1"/>
  <c r="AG107" i="1"/>
  <c r="AF107" i="1"/>
  <c r="AE107" i="1"/>
  <c r="AD107" i="1"/>
  <c r="AC107" i="1"/>
  <c r="AB107" i="1"/>
  <c r="AA107" i="1"/>
  <c r="Z107" i="1"/>
  <c r="Y107" i="1"/>
  <c r="X107" i="1"/>
  <c r="W107" i="1"/>
  <c r="AG100" i="1"/>
  <c r="AF100" i="1"/>
  <c r="AE100" i="1"/>
  <c r="AD100" i="1"/>
  <c r="AC100" i="1"/>
  <c r="AB100" i="1"/>
  <c r="AA100" i="1"/>
  <c r="Z100" i="1"/>
  <c r="Y100" i="1"/>
  <c r="X100" i="1"/>
  <c r="W100" i="1"/>
  <c r="AG96" i="1"/>
  <c r="AF96" i="1"/>
  <c r="AE96" i="1"/>
  <c r="AD96" i="1"/>
  <c r="AC96" i="1"/>
  <c r="AB96" i="1"/>
  <c r="AA96" i="1"/>
  <c r="Z96" i="1"/>
  <c r="Y96" i="1"/>
  <c r="X96" i="1"/>
  <c r="W96" i="1"/>
  <c r="AG87" i="1"/>
  <c r="AF87" i="1"/>
  <c r="AE87" i="1"/>
  <c r="AD87" i="1"/>
  <c r="AC87" i="1"/>
  <c r="AB87" i="1"/>
  <c r="AA87" i="1"/>
  <c r="Z87" i="1"/>
  <c r="Y87" i="1"/>
  <c r="X87" i="1"/>
  <c r="W87" i="1"/>
  <c r="AG79" i="1"/>
  <c r="AF79" i="1"/>
  <c r="AE79" i="1"/>
  <c r="AD79" i="1"/>
  <c r="AC79" i="1"/>
  <c r="AB79" i="1"/>
  <c r="AA79" i="1"/>
  <c r="Z79" i="1"/>
  <c r="Y79" i="1"/>
  <c r="X79" i="1"/>
  <c r="W79" i="1"/>
  <c r="AG75" i="1"/>
  <c r="AF75" i="1"/>
  <c r="AE75" i="1"/>
  <c r="AD75" i="1"/>
  <c r="AC75" i="1"/>
  <c r="AB75" i="1"/>
  <c r="AA75" i="1"/>
  <c r="Z75" i="1"/>
  <c r="Y75" i="1"/>
  <c r="X75" i="1"/>
  <c r="W75" i="1"/>
  <c r="AG67" i="1"/>
  <c r="AF67" i="1"/>
  <c r="AE67" i="1"/>
  <c r="AD67" i="1"/>
  <c r="AC67" i="1"/>
  <c r="AB67" i="1"/>
  <c r="AA67" i="1"/>
  <c r="Z67" i="1"/>
  <c r="Y67" i="1"/>
  <c r="X67" i="1"/>
  <c r="W67" i="1"/>
  <c r="AG57" i="1"/>
  <c r="AF57" i="1"/>
  <c r="AE57" i="1"/>
  <c r="AD57" i="1"/>
  <c r="AC57" i="1"/>
  <c r="AB57" i="1"/>
  <c r="AA57" i="1"/>
  <c r="Z57" i="1"/>
  <c r="Y57" i="1"/>
  <c r="X57" i="1"/>
  <c r="W57" i="1"/>
  <c r="AG52" i="1"/>
  <c r="AF52" i="1"/>
  <c r="AE52" i="1"/>
  <c r="AD52" i="1"/>
  <c r="AC52" i="1"/>
  <c r="AB52" i="1"/>
  <c r="AA52" i="1"/>
  <c r="Z52" i="1"/>
  <c r="Y52" i="1"/>
  <c r="X52" i="1"/>
  <c r="W52" i="1"/>
  <c r="AG41" i="1"/>
  <c r="AF41" i="1"/>
  <c r="AE41" i="1"/>
  <c r="AD41" i="1"/>
  <c r="AC41" i="1"/>
  <c r="AB41" i="1"/>
  <c r="AA41" i="1"/>
  <c r="Z41" i="1"/>
  <c r="Y41" i="1"/>
  <c r="X41" i="1"/>
  <c r="W41" i="1"/>
  <c r="AG36" i="1"/>
  <c r="AF36" i="1"/>
  <c r="AE36" i="1"/>
  <c r="AD36" i="1"/>
  <c r="AC36" i="1"/>
  <c r="AB36" i="1"/>
  <c r="AA36" i="1"/>
  <c r="Z36" i="1"/>
  <c r="Y36" i="1"/>
  <c r="X36" i="1"/>
  <c r="W36" i="1"/>
  <c r="AG32" i="1"/>
  <c r="AF32" i="1"/>
  <c r="AE32" i="1"/>
  <c r="AD32" i="1"/>
  <c r="AC32" i="1"/>
  <c r="AB32" i="1"/>
  <c r="AA32" i="1"/>
  <c r="Z32" i="1"/>
  <c r="Y32" i="1"/>
  <c r="X32" i="1"/>
  <c r="W32" i="1"/>
  <c r="S32" i="1"/>
  <c r="AG23" i="1"/>
  <c r="AF23" i="1"/>
  <c r="AE23" i="1"/>
  <c r="AD23" i="1"/>
  <c r="AC23" i="1"/>
  <c r="AB23" i="1"/>
  <c r="AA23" i="1"/>
  <c r="Z23" i="1"/>
  <c r="Y23" i="1"/>
  <c r="X23" i="1"/>
  <c r="W23" i="1"/>
  <c r="U23" i="1"/>
  <c r="S23" i="1"/>
  <c r="AG10" i="1"/>
  <c r="AF10" i="1"/>
  <c r="AE10" i="1"/>
  <c r="AD10" i="1"/>
  <c r="AC10" i="1"/>
  <c r="AB10" i="1"/>
  <c r="AA10" i="1"/>
  <c r="Z10" i="1"/>
  <c r="Y10" i="1"/>
  <c r="X10" i="1"/>
  <c r="W10" i="1"/>
  <c r="S10" i="1"/>
  <c r="U15" i="1"/>
  <c r="S53" i="14" l="1"/>
  <c r="S64" i="14" s="1"/>
  <c r="U10" i="1"/>
  <c r="U25" i="1" s="1"/>
  <c r="Z410" i="1"/>
  <c r="AD410" i="1"/>
  <c r="AC512" i="1"/>
  <c r="AG512" i="1"/>
  <c r="W535" i="1"/>
  <c r="AA535" i="1"/>
  <c r="AE535" i="1"/>
  <c r="AC572" i="1"/>
  <c r="AG572" i="1"/>
  <c r="Y623" i="1"/>
  <c r="AC623" i="1"/>
  <c r="AG623" i="1"/>
  <c r="Y360" i="1"/>
  <c r="AC360" i="1"/>
  <c r="AG360" i="1"/>
  <c r="Z430" i="1"/>
  <c r="Z464" i="1"/>
  <c r="AD464" i="1"/>
  <c r="Y485" i="1"/>
  <c r="AC485" i="1"/>
  <c r="AG485" i="1"/>
  <c r="Z623" i="1"/>
  <c r="AD623" i="1"/>
  <c r="Y724" i="1"/>
  <c r="AG724" i="1"/>
  <c r="Y585" i="1"/>
  <c r="AC585" i="1"/>
  <c r="AG585" i="1"/>
  <c r="G13" i="12"/>
  <c r="K13" i="12"/>
  <c r="E13" i="12"/>
  <c r="J13" i="12"/>
  <c r="C13" i="12"/>
  <c r="I13" i="12"/>
  <c r="J11" i="12"/>
  <c r="C11" i="12"/>
  <c r="I11" i="12"/>
  <c r="G11" i="12"/>
  <c r="K11" i="12"/>
  <c r="E11" i="12"/>
  <c r="K15" i="12"/>
  <c r="E15" i="12"/>
  <c r="J15" i="12"/>
  <c r="C15" i="12"/>
  <c r="I15" i="12"/>
  <c r="G15" i="12"/>
  <c r="J16" i="12"/>
  <c r="C16" i="12"/>
  <c r="I16" i="12"/>
  <c r="G16" i="12"/>
  <c r="K16" i="12"/>
  <c r="E16" i="12"/>
  <c r="I12" i="12"/>
  <c r="G12" i="12"/>
  <c r="K12" i="12"/>
  <c r="E12" i="12"/>
  <c r="J12" i="12"/>
  <c r="C12" i="12"/>
  <c r="C11" i="9"/>
  <c r="F13" i="6"/>
  <c r="J7" i="6"/>
  <c r="J11" i="6"/>
  <c r="J12" i="6"/>
  <c r="M15" i="7"/>
  <c r="L10" i="7"/>
  <c r="J11" i="7"/>
  <c r="J13" i="8"/>
  <c r="L15" i="8"/>
  <c r="J6" i="9"/>
  <c r="K11" i="9"/>
  <c r="L8" i="9"/>
  <c r="L19" i="10"/>
  <c r="H13" i="5"/>
  <c r="F15" i="7"/>
  <c r="J6" i="8"/>
  <c r="F11" i="9"/>
  <c r="L10" i="9"/>
  <c r="P19" i="10"/>
  <c r="K8" i="10"/>
  <c r="K10" i="10"/>
  <c r="K12" i="10"/>
  <c r="K14" i="10"/>
  <c r="L13" i="5"/>
  <c r="J13" i="5"/>
  <c r="K8" i="5"/>
  <c r="K10" i="5"/>
  <c r="C13" i="6"/>
  <c r="J6" i="7"/>
  <c r="L14" i="7"/>
  <c r="K16" i="8"/>
  <c r="K9" i="5"/>
  <c r="G15" i="7"/>
  <c r="H5" i="7" s="1"/>
  <c r="J5" i="7"/>
  <c r="L5" i="7"/>
  <c r="J9" i="7"/>
  <c r="L9" i="7"/>
  <c r="L6" i="6"/>
  <c r="L10" i="6"/>
  <c r="L8" i="8"/>
  <c r="J8" i="8"/>
  <c r="M11" i="9"/>
  <c r="J7" i="9"/>
  <c r="L7" i="9"/>
  <c r="G11" i="9"/>
  <c r="H6" i="9" s="1"/>
  <c r="E19" i="10"/>
  <c r="F13" i="10" s="1"/>
  <c r="K13" i="6"/>
  <c r="G13" i="6"/>
  <c r="H8" i="6" s="1"/>
  <c r="I37" i="3"/>
  <c r="C13" i="5"/>
  <c r="D7" i="5" s="1"/>
  <c r="I13" i="6"/>
  <c r="L9" i="6"/>
  <c r="K15" i="7"/>
  <c r="L7" i="7"/>
  <c r="J7" i="7"/>
  <c r="J12" i="7"/>
  <c r="M13" i="6"/>
  <c r="E13" i="5"/>
  <c r="I8" i="5"/>
  <c r="I10" i="5"/>
  <c r="I12" i="5"/>
  <c r="F13" i="5"/>
  <c r="G8" i="5" s="1"/>
  <c r="J5" i="6"/>
  <c r="L7" i="6"/>
  <c r="J8" i="6"/>
  <c r="J9" i="6"/>
  <c r="L11" i="6"/>
  <c r="J13" i="7"/>
  <c r="L13" i="7"/>
  <c r="F16" i="8"/>
  <c r="J7" i="8"/>
  <c r="K18" i="10"/>
  <c r="K17" i="10"/>
  <c r="K16" i="10"/>
  <c r="L12" i="7"/>
  <c r="C16" i="8"/>
  <c r="K15" i="10"/>
  <c r="D15" i="7"/>
  <c r="E5" i="7" s="1"/>
  <c r="I15" i="7"/>
  <c r="J10" i="8"/>
  <c r="L10" i="8"/>
  <c r="D13" i="6"/>
  <c r="E10" i="6" s="1"/>
  <c r="D16" i="8"/>
  <c r="E10" i="8" s="1"/>
  <c r="L5" i="8"/>
  <c r="L9" i="8"/>
  <c r="D11" i="9"/>
  <c r="E8" i="9" s="1"/>
  <c r="L9" i="9"/>
  <c r="J9" i="9"/>
  <c r="K7" i="10"/>
  <c r="K9" i="10"/>
  <c r="K11" i="10"/>
  <c r="K13" i="10"/>
  <c r="G16" i="8"/>
  <c r="H13" i="8" s="1"/>
  <c r="J14" i="8"/>
  <c r="L14" i="8"/>
  <c r="I19" i="10"/>
  <c r="G8" i="10"/>
  <c r="D7" i="10"/>
  <c r="D19" i="10" s="1"/>
  <c r="J10" i="7"/>
  <c r="J14" i="7"/>
  <c r="J5" i="8"/>
  <c r="J9" i="8"/>
  <c r="L12" i="8"/>
  <c r="J12" i="8"/>
  <c r="I16" i="8"/>
  <c r="J23" i="11"/>
  <c r="L6" i="9"/>
  <c r="AD430" i="1"/>
  <c r="T585" i="1"/>
  <c r="T89" i="1"/>
  <c r="T138" i="1"/>
  <c r="T485" i="1"/>
  <c r="T512" i="1"/>
  <c r="T645" i="1"/>
  <c r="T214" i="1"/>
  <c r="T498" i="1"/>
  <c r="T259" i="1"/>
  <c r="T385" i="1"/>
  <c r="T535" i="1"/>
  <c r="T665" i="1"/>
  <c r="T43" i="1"/>
  <c r="T572" i="1"/>
  <c r="T623" i="1"/>
  <c r="T724" i="1"/>
  <c r="T556" i="1"/>
  <c r="T603" i="1"/>
  <c r="T688" i="1"/>
  <c r="T809" i="1"/>
  <c r="T69" i="1"/>
  <c r="T123" i="1"/>
  <c r="T236" i="1"/>
  <c r="T323" i="1"/>
  <c r="T360" i="1"/>
  <c r="T430" i="1"/>
  <c r="T25" i="1"/>
  <c r="T191" i="1"/>
  <c r="T299" i="1"/>
  <c r="T464" i="1"/>
  <c r="T109" i="1"/>
  <c r="T165" i="1"/>
  <c r="T281" i="1"/>
  <c r="T410" i="1"/>
  <c r="T448" i="1"/>
  <c r="AG109" i="1"/>
  <c r="AD535" i="1"/>
  <c r="W360" i="1"/>
  <c r="AA360" i="1"/>
  <c r="AE360" i="1"/>
  <c r="AG89" i="1"/>
  <c r="W138" i="1"/>
  <c r="AA138" i="1"/>
  <c r="Y69" i="1"/>
  <c r="AC69" i="1"/>
  <c r="AG69" i="1"/>
  <c r="Z123" i="1"/>
  <c r="AD123" i="1"/>
  <c r="AC299" i="1"/>
  <c r="Z299" i="1"/>
  <c r="AD299" i="1"/>
  <c r="Y323" i="1"/>
  <c r="AC448" i="1"/>
  <c r="AG448" i="1"/>
  <c r="W464" i="1"/>
  <c r="AE464" i="1"/>
  <c r="X645" i="1"/>
  <c r="AB645" i="1"/>
  <c r="AF645" i="1"/>
  <c r="Y665" i="1"/>
  <c r="AC665" i="1"/>
  <c r="AG665" i="1"/>
  <c r="W665" i="1"/>
  <c r="AA665" i="1"/>
  <c r="AE665" i="1"/>
  <c r="Z69" i="1"/>
  <c r="X109" i="1"/>
  <c r="AD214" i="1"/>
  <c r="Y281" i="1"/>
  <c r="AC281" i="1"/>
  <c r="AG281" i="1"/>
  <c r="AC430" i="1"/>
  <c r="AB464" i="1"/>
  <c r="AD556" i="1"/>
  <c r="W69" i="1"/>
  <c r="AA69" i="1"/>
  <c r="Z89" i="1"/>
  <c r="AD89" i="1"/>
  <c r="X123" i="1"/>
  <c r="X236" i="1"/>
  <c r="AB236" i="1"/>
  <c r="AF236" i="1"/>
  <c r="AE69" i="1"/>
  <c r="X89" i="1"/>
  <c r="AC89" i="1"/>
  <c r="W109" i="1"/>
  <c r="AA109" i="1"/>
  <c r="AE109" i="1"/>
  <c r="AB109" i="1"/>
  <c r="AF109" i="1"/>
  <c r="AB123" i="1"/>
  <c r="AF123" i="1"/>
  <c r="X138" i="1"/>
  <c r="AB138" i="1"/>
  <c r="AF138" i="1"/>
  <c r="Y214" i="1"/>
  <c r="AC214" i="1"/>
  <c r="AG214" i="1"/>
  <c r="Y236" i="1"/>
  <c r="Z281" i="1"/>
  <c r="AD281" i="1"/>
  <c r="AC323" i="1"/>
  <c r="Z323" i="1"/>
  <c r="AD323" i="1"/>
  <c r="AC410" i="1"/>
  <c r="Y430" i="1"/>
  <c r="AG430" i="1"/>
  <c r="W448" i="1"/>
  <c r="AA448" i="1"/>
  <c r="AE448" i="1"/>
  <c r="X464" i="1"/>
  <c r="AF464" i="1"/>
  <c r="Y498" i="1"/>
  <c r="AC498" i="1"/>
  <c r="AG498" i="1"/>
  <c r="Z498" i="1"/>
  <c r="AD498" i="1"/>
  <c r="X512" i="1"/>
  <c r="AB512" i="1"/>
  <c r="AF512" i="1"/>
  <c r="Z556" i="1"/>
  <c r="Y572" i="1"/>
  <c r="Y603" i="1"/>
  <c r="AC603" i="1"/>
  <c r="AG603" i="1"/>
  <c r="W623" i="1"/>
  <c r="AA623" i="1"/>
  <c r="AE623" i="1"/>
  <c r="X724" i="1"/>
  <c r="AB724" i="1"/>
  <c r="AF724" i="1"/>
  <c r="X69" i="1"/>
  <c r="AB69" i="1"/>
  <c r="AF69" i="1"/>
  <c r="Y89" i="1"/>
  <c r="Z138" i="1"/>
  <c r="AD138" i="1"/>
  <c r="AE138" i="1"/>
  <c r="Y165" i="1"/>
  <c r="AC165" i="1"/>
  <c r="AG165" i="1"/>
  <c r="AC236" i="1"/>
  <c r="Z385" i="1"/>
  <c r="AD385" i="1"/>
  <c r="Y464" i="1"/>
  <c r="AC464" i="1"/>
  <c r="AG464" i="1"/>
  <c r="AA464" i="1"/>
  <c r="Y512" i="1"/>
  <c r="Z535" i="1"/>
  <c r="AC556" i="1"/>
  <c r="X585" i="1"/>
  <c r="AB585" i="1"/>
  <c r="AF585" i="1"/>
  <c r="X623" i="1"/>
  <c r="AB623" i="1"/>
  <c r="AF623" i="1"/>
  <c r="Y688" i="1"/>
  <c r="AC688" i="1"/>
  <c r="AG688" i="1"/>
  <c r="Z688" i="1"/>
  <c r="AD688" i="1"/>
  <c r="W688" i="1"/>
  <c r="AA688" i="1"/>
  <c r="AE688" i="1"/>
  <c r="X809" i="1"/>
  <c r="AF809" i="1"/>
  <c r="W89" i="1"/>
  <c r="AA89" i="1"/>
  <c r="AE89" i="1"/>
  <c r="AB89" i="1"/>
  <c r="AF89" i="1"/>
  <c r="Y109" i="1"/>
  <c r="AC109" i="1"/>
  <c r="W123" i="1"/>
  <c r="AA123" i="1"/>
  <c r="AE123" i="1"/>
  <c r="Z165" i="1"/>
  <c r="AD165" i="1"/>
  <c r="Y259" i="1"/>
  <c r="AG259" i="1"/>
  <c r="AD259" i="1"/>
  <c r="Y299" i="1"/>
  <c r="AC385" i="1"/>
  <c r="X430" i="1"/>
  <c r="AB430" i="1"/>
  <c r="AF430" i="1"/>
  <c r="AD485" i="1"/>
  <c r="W485" i="1"/>
  <c r="Y535" i="1"/>
  <c r="AC535" i="1"/>
  <c r="AG535" i="1"/>
  <c r="X603" i="1"/>
  <c r="AB603" i="1"/>
  <c r="AF603" i="1"/>
  <c r="AC724" i="1"/>
  <c r="AC138" i="1"/>
  <c r="AC259" i="1"/>
  <c r="W165" i="1"/>
  <c r="AA165" i="1"/>
  <c r="AE165" i="1"/>
  <c r="Z214" i="1"/>
  <c r="X214" i="1"/>
  <c r="AB214" i="1"/>
  <c r="AF214" i="1"/>
  <c r="Z236" i="1"/>
  <c r="AD236" i="1"/>
  <c r="Y138" i="1"/>
  <c r="AG138" i="1"/>
  <c r="AD69" i="1"/>
  <c r="Z109" i="1"/>
  <c r="AD109" i="1"/>
  <c r="Y123" i="1"/>
  <c r="AC123" i="1"/>
  <c r="AG123" i="1"/>
  <c r="AG236" i="1"/>
  <c r="Z259" i="1"/>
  <c r="AG299" i="1"/>
  <c r="AG323" i="1"/>
  <c r="X360" i="1"/>
  <c r="AB360" i="1"/>
  <c r="AF360" i="1"/>
  <c r="Z485" i="1"/>
  <c r="X535" i="1"/>
  <c r="AB535" i="1"/>
  <c r="AF535" i="1"/>
  <c r="W809" i="1"/>
  <c r="AA809" i="1"/>
  <c r="AE809" i="1"/>
  <c r="X165" i="1"/>
  <c r="AB165" i="1"/>
  <c r="AF165" i="1"/>
  <c r="W214" i="1"/>
  <c r="AA214" i="1"/>
  <c r="AE214" i="1"/>
  <c r="W236" i="1"/>
  <c r="AA236" i="1"/>
  <c r="AE236" i="1"/>
  <c r="W259" i="1"/>
  <c r="AA259" i="1"/>
  <c r="AE259" i="1"/>
  <c r="W281" i="1"/>
  <c r="AA281" i="1"/>
  <c r="AE281" i="1"/>
  <c r="W299" i="1"/>
  <c r="AA299" i="1"/>
  <c r="AE299" i="1"/>
  <c r="W323" i="1"/>
  <c r="AA323" i="1"/>
  <c r="AE323" i="1"/>
  <c r="Y385" i="1"/>
  <c r="AG385" i="1"/>
  <c r="Y410" i="1"/>
  <c r="AG410" i="1"/>
  <c r="Y448" i="1"/>
  <c r="AA485" i="1"/>
  <c r="AE485" i="1"/>
  <c r="Y556" i="1"/>
  <c r="AG556" i="1"/>
  <c r="AB809" i="1"/>
  <c r="X259" i="1"/>
  <c r="AB259" i="1"/>
  <c r="AF259" i="1"/>
  <c r="X281" i="1"/>
  <c r="AB281" i="1"/>
  <c r="AF281" i="1"/>
  <c r="X299" i="1"/>
  <c r="AB299" i="1"/>
  <c r="AF299" i="1"/>
  <c r="X323" i="1"/>
  <c r="AB323" i="1"/>
  <c r="AF323" i="1"/>
  <c r="Z360" i="1"/>
  <c r="X385" i="1"/>
  <c r="AB385" i="1"/>
  <c r="AF385" i="1"/>
  <c r="X410" i="1"/>
  <c r="AB410" i="1"/>
  <c r="AF410" i="1"/>
  <c r="W430" i="1"/>
  <c r="AA430" i="1"/>
  <c r="AE430" i="1"/>
  <c r="Z448" i="1"/>
  <c r="AD448" i="1"/>
  <c r="W385" i="1"/>
  <c r="AA385" i="1"/>
  <c r="AE385" i="1"/>
  <c r="W410" i="1"/>
  <c r="AA410" i="1"/>
  <c r="AE410" i="1"/>
  <c r="X498" i="1"/>
  <c r="AB498" i="1"/>
  <c r="AF498" i="1"/>
  <c r="W512" i="1"/>
  <c r="AA512" i="1"/>
  <c r="AE512" i="1"/>
  <c r="W556" i="1"/>
  <c r="AA556" i="1"/>
  <c r="AE556" i="1"/>
  <c r="W572" i="1"/>
  <c r="AA572" i="1"/>
  <c r="AE572" i="1"/>
  <c r="Z585" i="1"/>
  <c r="AD585" i="1"/>
  <c r="Z603" i="1"/>
  <c r="AD603" i="1"/>
  <c r="Z645" i="1"/>
  <c r="AD645" i="1"/>
  <c r="Z724" i="1"/>
  <c r="AD724" i="1"/>
  <c r="Y809" i="1"/>
  <c r="AC809" i="1"/>
  <c r="AG809" i="1"/>
  <c r="X556" i="1"/>
  <c r="AB556" i="1"/>
  <c r="AF556" i="1"/>
  <c r="X572" i="1"/>
  <c r="AB572" i="1"/>
  <c r="AF572" i="1"/>
  <c r="W585" i="1"/>
  <c r="AA585" i="1"/>
  <c r="AE585" i="1"/>
  <c r="W603" i="1"/>
  <c r="AA603" i="1"/>
  <c r="AE603" i="1"/>
  <c r="W645" i="1"/>
  <c r="AA645" i="1"/>
  <c r="AE645" i="1"/>
  <c r="Z665" i="1"/>
  <c r="AD665" i="1"/>
  <c r="W724" i="1"/>
  <c r="AA724" i="1"/>
  <c r="AE724" i="1"/>
  <c r="Z809" i="1"/>
  <c r="AD809" i="1"/>
  <c r="AD360" i="1"/>
  <c r="X448" i="1"/>
  <c r="AB448" i="1"/>
  <c r="AF448" i="1"/>
  <c r="X485" i="1"/>
  <c r="AB485" i="1"/>
  <c r="AF485" i="1"/>
  <c r="W498" i="1"/>
  <c r="AA498" i="1"/>
  <c r="AE498" i="1"/>
  <c r="Z512" i="1"/>
  <c r="AD512" i="1"/>
  <c r="Z572" i="1"/>
  <c r="AD572" i="1"/>
  <c r="Y645" i="1"/>
  <c r="AC645" i="1"/>
  <c r="AG645" i="1"/>
  <c r="X665" i="1"/>
  <c r="AB665" i="1"/>
  <c r="AF665" i="1"/>
  <c r="X688" i="1"/>
  <c r="AB688" i="1"/>
  <c r="AF688" i="1"/>
  <c r="K17" i="12" l="1"/>
  <c r="E17" i="12"/>
  <c r="L13" i="6"/>
  <c r="H13" i="7"/>
  <c r="C17" i="12"/>
  <c r="F8" i="10"/>
  <c r="F9" i="10"/>
  <c r="F12" i="10"/>
  <c r="J11" i="9"/>
  <c r="L11" i="9"/>
  <c r="E7" i="9"/>
  <c r="E11" i="8"/>
  <c r="L15" i="7"/>
  <c r="H8" i="7"/>
  <c r="H12" i="7"/>
  <c r="H7" i="7"/>
  <c r="H6" i="6"/>
  <c r="G7" i="5"/>
  <c r="D11" i="5"/>
  <c r="D9" i="5"/>
  <c r="H14" i="8"/>
  <c r="H9" i="8"/>
  <c r="H10" i="8"/>
  <c r="E5" i="6"/>
  <c r="H10" i="9"/>
  <c r="L16" i="8"/>
  <c r="J16" i="8"/>
  <c r="H5" i="8"/>
  <c r="G12" i="5"/>
  <c r="E23" i="11"/>
  <c r="G10" i="5"/>
  <c r="H7" i="9"/>
  <c r="H9" i="7"/>
  <c r="E9" i="7"/>
  <c r="F15" i="10"/>
  <c r="H12" i="8"/>
  <c r="H8" i="8"/>
  <c r="H15" i="8"/>
  <c r="H11" i="8"/>
  <c r="K19" i="10"/>
  <c r="E13" i="7"/>
  <c r="I23" i="11"/>
  <c r="F10" i="10"/>
  <c r="E8" i="7"/>
  <c r="H5" i="6"/>
  <c r="G7" i="10"/>
  <c r="G19" i="10" s="1"/>
  <c r="H9" i="6"/>
  <c r="G11" i="5"/>
  <c r="F23" i="11"/>
  <c r="E13" i="8"/>
  <c r="E9" i="8"/>
  <c r="E5" i="8"/>
  <c r="E8" i="8"/>
  <c r="E12" i="8"/>
  <c r="E12" i="7"/>
  <c r="E7" i="7"/>
  <c r="E14" i="7"/>
  <c r="G17" i="12"/>
  <c r="H12" i="12" s="1"/>
  <c r="E14" i="8"/>
  <c r="E10" i="9"/>
  <c r="E6" i="9"/>
  <c r="E9" i="9"/>
  <c r="H6" i="8"/>
  <c r="E12" i="6"/>
  <c r="E8" i="6"/>
  <c r="C23" i="11"/>
  <c r="H7" i="8"/>
  <c r="E6" i="6"/>
  <c r="H10" i="6"/>
  <c r="D12" i="5"/>
  <c r="D10" i="5"/>
  <c r="D8" i="5"/>
  <c r="H9" i="9"/>
  <c r="H8" i="9"/>
  <c r="E7" i="8"/>
  <c r="E6" i="7"/>
  <c r="G9" i="5"/>
  <c r="J15" i="7"/>
  <c r="E7" i="6"/>
  <c r="F16" i="10"/>
  <c r="F17" i="10"/>
  <c r="F18" i="10"/>
  <c r="E10" i="7"/>
  <c r="J17" i="12"/>
  <c r="I17" i="12"/>
  <c r="F11" i="10"/>
  <c r="E6" i="8"/>
  <c r="E15" i="8"/>
  <c r="H23" i="11"/>
  <c r="F14" i="10"/>
  <c r="E9" i="6"/>
  <c r="J13" i="6"/>
  <c r="H11" i="6"/>
  <c r="H7" i="6"/>
  <c r="F7" i="10"/>
  <c r="E11" i="7"/>
  <c r="H12" i="6"/>
  <c r="H11" i="7"/>
  <c r="H14" i="7"/>
  <c r="H10" i="7"/>
  <c r="H6" i="7"/>
  <c r="E11" i="6"/>
  <c r="T587" i="1"/>
  <c r="T690" i="1"/>
  <c r="T387" i="1"/>
  <c r="T167" i="1"/>
  <c r="AG690" i="1"/>
  <c r="AF690" i="1"/>
  <c r="Y690" i="1"/>
  <c r="X690" i="1"/>
  <c r="AA690" i="1"/>
  <c r="W690" i="1"/>
  <c r="AG587" i="1"/>
  <c r="AB690" i="1"/>
  <c r="AD690" i="1"/>
  <c r="AE690" i="1"/>
  <c r="AE587" i="1"/>
  <c r="AF587" i="1"/>
  <c r="Z587" i="1"/>
  <c r="AB587" i="1"/>
  <c r="Y587" i="1"/>
  <c r="Z690" i="1"/>
  <c r="AC587" i="1"/>
  <c r="X587" i="1"/>
  <c r="AC690" i="1"/>
  <c r="AA587" i="1"/>
  <c r="W587" i="1"/>
  <c r="AD587" i="1"/>
  <c r="D21" i="11" l="1"/>
  <c r="D13" i="11"/>
  <c r="D20" i="11"/>
  <c r="D16" i="11"/>
  <c r="D12" i="11"/>
  <c r="D19" i="11"/>
  <c r="D15" i="11"/>
  <c r="D22" i="11"/>
  <c r="D18" i="11"/>
  <c r="D14" i="11"/>
  <c r="D11" i="11"/>
  <c r="D17" i="11"/>
  <c r="D10" i="11"/>
  <c r="D14" i="12"/>
  <c r="D15" i="12"/>
  <c r="D16" i="12"/>
  <c r="D11" i="12"/>
  <c r="D13" i="12"/>
  <c r="D12" i="12"/>
  <c r="G10" i="11"/>
  <c r="G13" i="11"/>
  <c r="G18" i="11"/>
  <c r="G22" i="11"/>
  <c r="G15" i="11"/>
  <c r="G19" i="11"/>
  <c r="G11" i="11"/>
  <c r="G16" i="11"/>
  <c r="G20" i="11"/>
  <c r="G14" i="11"/>
  <c r="G17" i="11"/>
  <c r="G21" i="11"/>
  <c r="G12" i="11"/>
  <c r="D13" i="5"/>
  <c r="E13" i="6"/>
  <c r="H11" i="9"/>
  <c r="G13" i="5"/>
  <c r="E15" i="7"/>
  <c r="H15" i="7"/>
  <c r="H16" i="8"/>
  <c r="H13" i="12"/>
  <c r="H15" i="12"/>
  <c r="H11" i="12"/>
  <c r="H14" i="12"/>
  <c r="E16" i="8"/>
  <c r="H13" i="6"/>
  <c r="H16" i="12"/>
  <c r="E11" i="9"/>
  <c r="T811" i="1"/>
  <c r="D17" i="12" l="1"/>
  <c r="D23" i="11"/>
  <c r="H17" i="12"/>
  <c r="G23" i="11"/>
  <c r="V806" i="1" l="1"/>
  <c r="V805" i="1"/>
  <c r="V804" i="1"/>
  <c r="V803" i="1"/>
  <c r="V802" i="1"/>
  <c r="V801" i="1"/>
  <c r="V800" i="1"/>
  <c r="V799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AI778" i="1" s="1"/>
  <c r="V777" i="1"/>
  <c r="V776" i="1"/>
  <c r="V775" i="1"/>
  <c r="V774" i="1"/>
  <c r="V769" i="1"/>
  <c r="V768" i="1"/>
  <c r="V767" i="1"/>
  <c r="V766" i="1"/>
  <c r="V765" i="1"/>
  <c r="V764" i="1"/>
  <c r="V763" i="1"/>
  <c r="V762" i="1"/>
  <c r="V761" i="1"/>
  <c r="V760" i="1"/>
  <c r="V759" i="1"/>
  <c r="V754" i="1"/>
  <c r="V753" i="1"/>
  <c r="T48" i="14" s="1"/>
  <c r="V749" i="1"/>
  <c r="V748" i="1"/>
  <c r="V747" i="1"/>
  <c r="V746" i="1"/>
  <c r="V745" i="1"/>
  <c r="V744" i="1"/>
  <c r="V743" i="1"/>
  <c r="V742" i="1"/>
  <c r="V741" i="1"/>
  <c r="V740" i="1"/>
  <c r="V739" i="1"/>
  <c r="V735" i="1"/>
  <c r="T49" i="14" s="1"/>
  <c r="U49" i="14" s="1"/>
  <c r="AI49" i="14" s="1"/>
  <c r="V734" i="1"/>
  <c r="T50" i="14" s="1"/>
  <c r="U50" i="14" s="1"/>
  <c r="AI50" i="14" s="1"/>
  <c r="V733" i="1"/>
  <c r="V732" i="1"/>
  <c r="V731" i="1"/>
  <c r="V730" i="1"/>
  <c r="V721" i="1"/>
  <c r="V720" i="1"/>
  <c r="V719" i="1"/>
  <c r="V718" i="1"/>
  <c r="V717" i="1"/>
  <c r="V716" i="1"/>
  <c r="AI716" i="1" s="1"/>
  <c r="V715" i="1"/>
  <c r="V714" i="1"/>
  <c r="V713" i="1"/>
  <c r="V712" i="1"/>
  <c r="T42" i="14" s="1"/>
  <c r="U42" i="14" s="1"/>
  <c r="AI42" i="14" s="1"/>
  <c r="V711" i="1"/>
  <c r="V707" i="1"/>
  <c r="V703" i="1"/>
  <c r="V702" i="1"/>
  <c r="V701" i="1"/>
  <c r="V700" i="1"/>
  <c r="V699" i="1"/>
  <c r="V698" i="1"/>
  <c r="V696" i="1"/>
  <c r="V695" i="1"/>
  <c r="V694" i="1"/>
  <c r="V685" i="1"/>
  <c r="V684" i="1"/>
  <c r="V683" i="1"/>
  <c r="V682" i="1"/>
  <c r="V681" i="1"/>
  <c r="V677" i="1"/>
  <c r="V678" i="1" s="1"/>
  <c r="V673" i="1"/>
  <c r="V672" i="1"/>
  <c r="V671" i="1"/>
  <c r="V670" i="1"/>
  <c r="V669" i="1"/>
  <c r="V662" i="1"/>
  <c r="V661" i="1"/>
  <c r="V660" i="1"/>
  <c r="T37" i="14" s="1"/>
  <c r="T38" i="14" s="1"/>
  <c r="V656" i="1"/>
  <c r="V655" i="1"/>
  <c r="V651" i="1"/>
  <c r="V650" i="1"/>
  <c r="V649" i="1"/>
  <c r="V642" i="1"/>
  <c r="V641" i="1"/>
  <c r="V640" i="1"/>
  <c r="V636" i="1"/>
  <c r="V635" i="1"/>
  <c r="V634" i="1"/>
  <c r="V630" i="1"/>
  <c r="V629" i="1"/>
  <c r="V628" i="1"/>
  <c r="V627" i="1"/>
  <c r="V620" i="1"/>
  <c r="V619" i="1"/>
  <c r="V615" i="1"/>
  <c r="V616" i="1" s="1"/>
  <c r="V611" i="1"/>
  <c r="V610" i="1"/>
  <c r="V609" i="1"/>
  <c r="V608" i="1"/>
  <c r="V600" i="1"/>
  <c r="V599" i="1"/>
  <c r="V595" i="1"/>
  <c r="V596" i="1" s="1"/>
  <c r="V591" i="1"/>
  <c r="V592" i="1" s="1"/>
  <c r="V582" i="1"/>
  <c r="V583" i="1" s="1"/>
  <c r="V578" i="1"/>
  <c r="V577" i="1"/>
  <c r="V576" i="1"/>
  <c r="V574" i="1"/>
  <c r="V569" i="1"/>
  <c r="V568" i="1"/>
  <c r="V564" i="1"/>
  <c r="V565" i="1" s="1"/>
  <c r="V560" i="1"/>
  <c r="V561" i="1" s="1"/>
  <c r="V553" i="1"/>
  <c r="V552" i="1"/>
  <c r="V551" i="1"/>
  <c r="V550" i="1"/>
  <c r="V546" i="1"/>
  <c r="V547" i="1" s="1"/>
  <c r="V542" i="1"/>
  <c r="V541" i="1"/>
  <c r="V540" i="1"/>
  <c r="V539" i="1"/>
  <c r="V532" i="1"/>
  <c r="V531" i="1"/>
  <c r="V530" i="1"/>
  <c r="V529" i="1"/>
  <c r="V528" i="1"/>
  <c r="V527" i="1"/>
  <c r="V523" i="1"/>
  <c r="V524" i="1" s="1"/>
  <c r="V519" i="1"/>
  <c r="V518" i="1"/>
  <c r="V517" i="1"/>
  <c r="V509" i="1"/>
  <c r="V508" i="1"/>
  <c r="V507" i="1"/>
  <c r="V503" i="1"/>
  <c r="V502" i="1"/>
  <c r="V495" i="1"/>
  <c r="V496" i="1" s="1"/>
  <c r="V491" i="1"/>
  <c r="V490" i="1"/>
  <c r="V482" i="1"/>
  <c r="V481" i="1"/>
  <c r="V480" i="1"/>
  <c r="V476" i="1"/>
  <c r="V475" i="1"/>
  <c r="V474" i="1"/>
  <c r="V473" i="1"/>
  <c r="V469" i="1"/>
  <c r="V468" i="1"/>
  <c r="V461" i="1"/>
  <c r="V462" i="1" s="1"/>
  <c r="V457" i="1"/>
  <c r="V458" i="1" s="1"/>
  <c r="V453" i="1"/>
  <c r="V454" i="1" s="1"/>
  <c r="V445" i="1"/>
  <c r="V444" i="1"/>
  <c r="V443" i="1"/>
  <c r="V439" i="1"/>
  <c r="V438" i="1"/>
  <c r="V437" i="1"/>
  <c r="V436" i="1"/>
  <c r="V435" i="1"/>
  <c r="V434" i="1"/>
  <c r="V427" i="1"/>
  <c r="V426" i="1"/>
  <c r="V425" i="1"/>
  <c r="V424" i="1"/>
  <c r="V420" i="1"/>
  <c r="V419" i="1"/>
  <c r="V418" i="1"/>
  <c r="V417" i="1"/>
  <c r="V416" i="1"/>
  <c r="V415" i="1"/>
  <c r="V407" i="1"/>
  <c r="V406" i="1"/>
  <c r="T28" i="14" s="1"/>
  <c r="U28" i="14" s="1"/>
  <c r="AI28" i="14" s="1"/>
  <c r="V405" i="1"/>
  <c r="V401" i="1"/>
  <c r="V400" i="1"/>
  <c r="T27" i="14" s="1"/>
  <c r="V399" i="1"/>
  <c r="V398" i="1"/>
  <c r="V397" i="1"/>
  <c r="V393" i="1"/>
  <c r="V392" i="1"/>
  <c r="V391" i="1"/>
  <c r="V382" i="1"/>
  <c r="V381" i="1"/>
  <c r="V380" i="1"/>
  <c r="T43" i="14" s="1"/>
  <c r="U43" i="14" s="1"/>
  <c r="AI43" i="14" s="1"/>
  <c r="V379" i="1"/>
  <c r="V378" i="1"/>
  <c r="V374" i="1"/>
  <c r="V373" i="1"/>
  <c r="V372" i="1"/>
  <c r="V371" i="1"/>
  <c r="V367" i="1"/>
  <c r="V366" i="1"/>
  <c r="V365" i="1"/>
  <c r="V363" i="1"/>
  <c r="V357" i="1"/>
  <c r="V356" i="1"/>
  <c r="V355" i="1"/>
  <c r="V354" i="1"/>
  <c r="V350" i="1"/>
  <c r="V349" i="1"/>
  <c r="V345" i="1"/>
  <c r="V344" i="1"/>
  <c r="V343" i="1"/>
  <c r="V342" i="1"/>
  <c r="V341" i="1"/>
  <c r="V340" i="1"/>
  <c r="V333" i="1"/>
  <c r="V332" i="1"/>
  <c r="V331" i="1"/>
  <c r="V330" i="1"/>
  <c r="V329" i="1"/>
  <c r="V328" i="1"/>
  <c r="T23" i="14" s="1"/>
  <c r="T24" i="14" s="1"/>
  <c r="V320" i="1"/>
  <c r="V319" i="1"/>
  <c r="V318" i="1"/>
  <c r="V314" i="1"/>
  <c r="V313" i="1"/>
  <c r="V312" i="1"/>
  <c r="V308" i="1"/>
  <c r="V307" i="1"/>
  <c r="V306" i="1"/>
  <c r="V305" i="1"/>
  <c r="V304" i="1"/>
  <c r="V303" i="1"/>
  <c r="V296" i="1"/>
  <c r="V295" i="1"/>
  <c r="V291" i="1"/>
  <c r="V292" i="1" s="1"/>
  <c r="V287" i="1"/>
  <c r="V288" i="1" s="1"/>
  <c r="V278" i="1"/>
  <c r="V277" i="1"/>
  <c r="V273" i="1"/>
  <c r="V272" i="1"/>
  <c r="T11" i="14" s="1"/>
  <c r="T12" i="14" s="1"/>
  <c r="V271" i="1"/>
  <c r="V270" i="1"/>
  <c r="V269" i="1"/>
  <c r="V265" i="1"/>
  <c r="V264" i="1"/>
  <c r="V263" i="1"/>
  <c r="V256" i="1"/>
  <c r="V255" i="1"/>
  <c r="V251" i="1"/>
  <c r="V250" i="1"/>
  <c r="V249" i="1"/>
  <c r="V248" i="1"/>
  <c r="V244" i="1"/>
  <c r="V241" i="1"/>
  <c r="V233" i="1"/>
  <c r="V232" i="1"/>
  <c r="V231" i="1"/>
  <c r="V227" i="1"/>
  <c r="T19" i="14" s="1"/>
  <c r="T20" i="14" s="1"/>
  <c r="V226" i="1"/>
  <c r="V225" i="1"/>
  <c r="V224" i="1"/>
  <c r="V220" i="1"/>
  <c r="V219" i="1"/>
  <c r="V218" i="1"/>
  <c r="V211" i="1"/>
  <c r="V210" i="1"/>
  <c r="V209" i="1"/>
  <c r="T15" i="14" s="1"/>
  <c r="T16" i="14" s="1"/>
  <c r="V208" i="1"/>
  <c r="V207" i="1"/>
  <c r="V203" i="1"/>
  <c r="V201" i="1"/>
  <c r="V197" i="1"/>
  <c r="V198" i="1" s="1"/>
  <c r="V188" i="1"/>
  <c r="V187" i="1"/>
  <c r="V183" i="1"/>
  <c r="V182" i="1"/>
  <c r="V181" i="1"/>
  <c r="V180" i="1"/>
  <c r="V179" i="1"/>
  <c r="V178" i="1"/>
  <c r="V177" i="1"/>
  <c r="V176" i="1"/>
  <c r="V172" i="1"/>
  <c r="V171" i="1"/>
  <c r="V162" i="1"/>
  <c r="V161" i="1"/>
  <c r="V160" i="1"/>
  <c r="V159" i="1"/>
  <c r="V158" i="1"/>
  <c r="V154" i="1"/>
  <c r="V153" i="1"/>
  <c r="V152" i="1"/>
  <c r="V135" i="1"/>
  <c r="V136" i="1" s="1"/>
  <c r="V131" i="1"/>
  <c r="V132" i="1" s="1"/>
  <c r="V127" i="1"/>
  <c r="V128" i="1" s="1"/>
  <c r="V120" i="1"/>
  <c r="V119" i="1"/>
  <c r="V115" i="1"/>
  <c r="V114" i="1"/>
  <c r="V106" i="1"/>
  <c r="V105" i="1"/>
  <c r="V104" i="1"/>
  <c r="V103" i="1"/>
  <c r="V99" i="1"/>
  <c r="V100" i="1" s="1"/>
  <c r="V95" i="1"/>
  <c r="V94" i="1"/>
  <c r="V93" i="1"/>
  <c r="V86" i="1"/>
  <c r="V85" i="1"/>
  <c r="V84" i="1"/>
  <c r="V83" i="1"/>
  <c r="V82" i="1"/>
  <c r="T7" i="14" s="1"/>
  <c r="T8" i="14" s="1"/>
  <c r="V78" i="1"/>
  <c r="V79" i="1" s="1"/>
  <c r="V74" i="1"/>
  <c r="V75" i="1" s="1"/>
  <c r="V66" i="1"/>
  <c r="V65" i="1"/>
  <c r="V64" i="1"/>
  <c r="V63" i="1"/>
  <c r="V62" i="1"/>
  <c r="V61" i="1"/>
  <c r="V60" i="1"/>
  <c r="V56" i="1"/>
  <c r="V55" i="1"/>
  <c r="V51" i="1"/>
  <c r="V50" i="1"/>
  <c r="V49" i="1"/>
  <c r="V48" i="1"/>
  <c r="V47" i="1"/>
  <c r="V40" i="1"/>
  <c r="V39" i="1"/>
  <c r="V35" i="1"/>
  <c r="V36" i="1" s="1"/>
  <c r="V31" i="1"/>
  <c r="AI31" i="1" s="1"/>
  <c r="V30" i="1"/>
  <c r="V22" i="1"/>
  <c r="V21" i="1"/>
  <c r="V20" i="1"/>
  <c r="V19" i="1"/>
  <c r="V18" i="1"/>
  <c r="V14" i="1"/>
  <c r="V13" i="1"/>
  <c r="V9" i="1"/>
  <c r="V8" i="1"/>
  <c r="AI8" i="1" s="1"/>
  <c r="V7" i="1"/>
  <c r="V6" i="1"/>
  <c r="V5" i="1"/>
  <c r="V4" i="1"/>
  <c r="U48" i="14" l="1"/>
  <c r="U51" i="14" s="1"/>
  <c r="T51" i="14"/>
  <c r="T30" i="14"/>
  <c r="U7" i="14"/>
  <c r="U8" i="14" s="1"/>
  <c r="U19" i="14"/>
  <c r="U20" i="14" s="1"/>
  <c r="V708" i="1"/>
  <c r="T41" i="14"/>
  <c r="T44" i="14" s="1"/>
  <c r="U37" i="14"/>
  <c r="U38" i="14" s="1"/>
  <c r="AI48" i="14"/>
  <c r="AI51" i="14" s="1"/>
  <c r="U11" i="14"/>
  <c r="U12" i="14" s="1"/>
  <c r="U23" i="14"/>
  <c r="U24" i="14" s="1"/>
  <c r="U15" i="14"/>
  <c r="U16" i="14" s="1"/>
  <c r="U27" i="14"/>
  <c r="U30" i="14" s="1"/>
  <c r="V245" i="1"/>
  <c r="V189" i="1"/>
  <c r="V297" i="1"/>
  <c r="V299" i="1" s="1"/>
  <c r="V257" i="1"/>
  <c r="V173" i="1"/>
  <c r="V41" i="1"/>
  <c r="V755" i="1"/>
  <c r="V504" i="1"/>
  <c r="V52" i="1"/>
  <c r="V402" i="1"/>
  <c r="V750" i="1"/>
  <c r="V652" i="1"/>
  <c r="V57" i="1"/>
  <c r="V228" i="1"/>
  <c r="V368" i="1"/>
  <c r="V394" i="1"/>
  <c r="V543" i="1"/>
  <c r="V601" i="1"/>
  <c r="V603" i="1" s="1"/>
  <c r="V221" i="1"/>
  <c r="V309" i="1"/>
  <c r="V637" i="1"/>
  <c r="V722" i="1"/>
  <c r="V121" i="1"/>
  <c r="V533" i="1"/>
  <c r="V138" i="1"/>
  <c r="V279" i="1"/>
  <c r="V375" i="1"/>
  <c r="V464" i="1"/>
  <c r="V612" i="1"/>
  <c r="V704" i="1"/>
  <c r="V334" i="1"/>
  <c r="V336" i="1" s="1"/>
  <c r="V346" i="1"/>
  <c r="V440" i="1"/>
  <c r="V510" i="1"/>
  <c r="V663" i="1"/>
  <c r="V204" i="1"/>
  <c r="V492" i="1"/>
  <c r="V498" i="1" s="1"/>
  <c r="V570" i="1"/>
  <c r="V572" i="1" s="1"/>
  <c r="V643" i="1"/>
  <c r="V15" i="1"/>
  <c r="V67" i="1"/>
  <c r="V96" i="1"/>
  <c r="V116" i="1"/>
  <c r="V123" i="1" s="1"/>
  <c r="V155" i="1"/>
  <c r="V163" i="1"/>
  <c r="V212" i="1"/>
  <c r="V234" i="1"/>
  <c r="V252" i="1"/>
  <c r="V383" i="1"/>
  <c r="AI576" i="1"/>
  <c r="AJ576" i="1" s="1"/>
  <c r="V579" i="1"/>
  <c r="V585" i="1" s="1"/>
  <c r="V657" i="1"/>
  <c r="V674" i="1"/>
  <c r="V686" i="1"/>
  <c r="V736" i="1"/>
  <c r="V87" i="1"/>
  <c r="V89" i="1" s="1"/>
  <c r="V266" i="1"/>
  <c r="V274" i="1"/>
  <c r="V358" i="1"/>
  <c r="V408" i="1"/>
  <c r="V428" i="1"/>
  <c r="V477" i="1"/>
  <c r="V520" i="1"/>
  <c r="V807" i="1"/>
  <c r="AI197" i="1"/>
  <c r="AI198" i="1" s="1"/>
  <c r="AI4" i="1"/>
  <c r="V10" i="1"/>
  <c r="V23" i="1"/>
  <c r="V32" i="1"/>
  <c r="V107" i="1"/>
  <c r="V184" i="1"/>
  <c r="V315" i="1"/>
  <c r="V321" i="1"/>
  <c r="V351" i="1"/>
  <c r="V421" i="1"/>
  <c r="V446" i="1"/>
  <c r="V470" i="1"/>
  <c r="V483" i="1"/>
  <c r="V554" i="1"/>
  <c r="V621" i="1"/>
  <c r="V631" i="1"/>
  <c r="V770" i="1"/>
  <c r="V796" i="1"/>
  <c r="AI119" i="1"/>
  <c r="AI147" i="1"/>
  <c r="AJ147" i="1" s="1"/>
  <c r="AI418" i="1"/>
  <c r="AJ418" i="1" s="1"/>
  <c r="AI542" i="1"/>
  <c r="AJ542" i="1" s="1"/>
  <c r="AI6" i="1"/>
  <c r="AJ6" i="1" s="1"/>
  <c r="AI14" i="1"/>
  <c r="AJ14" i="1" s="1"/>
  <c r="AI115" i="1"/>
  <c r="AJ115" i="1" s="1"/>
  <c r="AI178" i="1"/>
  <c r="AJ178" i="1" s="1"/>
  <c r="AI182" i="1"/>
  <c r="AJ182" i="1" s="1"/>
  <c r="AI208" i="1"/>
  <c r="AJ208" i="1" s="1"/>
  <c r="AI320" i="1"/>
  <c r="AJ320" i="1" s="1"/>
  <c r="AI355" i="1"/>
  <c r="AJ355" i="1" s="1"/>
  <c r="AI406" i="1"/>
  <c r="AJ406" i="1" s="1"/>
  <c r="AI445" i="1"/>
  <c r="AJ445" i="1" s="1"/>
  <c r="AI461" i="1"/>
  <c r="AI480" i="1"/>
  <c r="AI527" i="1"/>
  <c r="AI531" i="1"/>
  <c r="AJ531" i="1" s="1"/>
  <c r="AI18" i="1"/>
  <c r="AI219" i="1"/>
  <c r="AJ219" i="1" s="1"/>
  <c r="AI249" i="1"/>
  <c r="AJ249" i="1" s="1"/>
  <c r="AI60" i="1"/>
  <c r="AI231" i="1"/>
  <c r="AI264" i="1"/>
  <c r="AJ264" i="1" s="1"/>
  <c r="AI312" i="1"/>
  <c r="AI343" i="1"/>
  <c r="AJ343" i="1" s="1"/>
  <c r="AI371" i="1"/>
  <c r="AI379" i="1"/>
  <c r="AJ379" i="1" s="1"/>
  <c r="AI437" i="1"/>
  <c r="AJ437" i="1" s="1"/>
  <c r="AI457" i="1"/>
  <c r="AI476" i="1"/>
  <c r="AJ476" i="1" s="1"/>
  <c r="AI523" i="1"/>
  <c r="AI22" i="1"/>
  <c r="AJ22" i="1" s="1"/>
  <c r="AI95" i="1"/>
  <c r="AJ95" i="1" s="1"/>
  <c r="AI64" i="1"/>
  <c r="AJ64" i="1" s="1"/>
  <c r="AI84" i="1"/>
  <c r="AJ84" i="1" s="1"/>
  <c r="AI103" i="1"/>
  <c r="AI48" i="1"/>
  <c r="AJ48" i="1" s="1"/>
  <c r="AI56" i="1"/>
  <c r="AJ56" i="1" s="1"/>
  <c r="AI99" i="1"/>
  <c r="AI159" i="1"/>
  <c r="AJ159" i="1" s="1"/>
  <c r="AI227" i="1"/>
  <c r="AJ227" i="1" s="1"/>
  <c r="AI304" i="1"/>
  <c r="AJ304" i="1" s="1"/>
  <c r="AI308" i="1"/>
  <c r="AJ308" i="1" s="1"/>
  <c r="AI328" i="1"/>
  <c r="AI332" i="1"/>
  <c r="AJ332" i="1" s="1"/>
  <c r="AI363" i="1"/>
  <c r="AJ363" i="1" s="1"/>
  <c r="AI367" i="1"/>
  <c r="AJ367" i="1" s="1"/>
  <c r="AI426" i="1"/>
  <c r="AJ426" i="1" s="1"/>
  <c r="AI453" i="1"/>
  <c r="AI468" i="1"/>
  <c r="AI519" i="1"/>
  <c r="AJ519" i="1" s="1"/>
  <c r="AI630" i="1"/>
  <c r="AJ630" i="1" s="1"/>
  <c r="AI642" i="1"/>
  <c r="AJ642" i="1" s="1"/>
  <c r="AI767" i="1"/>
  <c r="AJ767" i="1" s="1"/>
  <c r="AI546" i="1"/>
  <c r="AI569" i="1"/>
  <c r="AJ569" i="1" s="1"/>
  <c r="AI599" i="1"/>
  <c r="AI7" i="1"/>
  <c r="AJ7" i="1" s="1"/>
  <c r="AI19" i="1"/>
  <c r="AJ19" i="1" s="1"/>
  <c r="AI30" i="1"/>
  <c r="AI49" i="1"/>
  <c r="AJ49" i="1" s="1"/>
  <c r="AI61" i="1"/>
  <c r="AJ61" i="1" s="1"/>
  <c r="AI65" i="1"/>
  <c r="AJ65" i="1" s="1"/>
  <c r="AI85" i="1"/>
  <c r="AJ85" i="1" s="1"/>
  <c r="AI104" i="1"/>
  <c r="AJ104" i="1" s="1"/>
  <c r="AI120" i="1"/>
  <c r="AJ120" i="1" s="1"/>
  <c r="AI131" i="1"/>
  <c r="AI135" i="1"/>
  <c r="AI143" i="1"/>
  <c r="AI148" i="1"/>
  <c r="AJ148" i="1" s="1"/>
  <c r="AI152" i="1"/>
  <c r="AI160" i="1"/>
  <c r="AJ160" i="1" s="1"/>
  <c r="AI171" i="1"/>
  <c r="AI179" i="1"/>
  <c r="AJ179" i="1" s="1"/>
  <c r="AI183" i="1"/>
  <c r="AJ183" i="1" s="1"/>
  <c r="AI187" i="1"/>
  <c r="AI209" i="1"/>
  <c r="AJ209" i="1" s="1"/>
  <c r="AI220" i="1"/>
  <c r="AJ220" i="1" s="1"/>
  <c r="AI224" i="1"/>
  <c r="AI232" i="1"/>
  <c r="AJ232" i="1" s="1"/>
  <c r="AI250" i="1"/>
  <c r="AJ250" i="1" s="1"/>
  <c r="AI265" i="1"/>
  <c r="AJ265" i="1" s="1"/>
  <c r="AI269" i="1"/>
  <c r="AI273" i="1"/>
  <c r="AJ273" i="1" s="1"/>
  <c r="AI277" i="1"/>
  <c r="AI305" i="1"/>
  <c r="AJ305" i="1" s="1"/>
  <c r="AI313" i="1"/>
  <c r="AJ313" i="1" s="1"/>
  <c r="AI329" i="1"/>
  <c r="AJ329" i="1" s="1"/>
  <c r="AI333" i="1"/>
  <c r="AJ333" i="1" s="1"/>
  <c r="AI340" i="1"/>
  <c r="AI344" i="1"/>
  <c r="AJ344" i="1" s="1"/>
  <c r="AI356" i="1"/>
  <c r="AJ356" i="1" s="1"/>
  <c r="AI372" i="1"/>
  <c r="AJ372" i="1" s="1"/>
  <c r="AI380" i="1"/>
  <c r="AJ380" i="1" s="1"/>
  <c r="AI391" i="1"/>
  <c r="AI399" i="1"/>
  <c r="AJ399" i="1" s="1"/>
  <c r="AI407" i="1"/>
  <c r="AJ407" i="1" s="1"/>
  <c r="AI415" i="1"/>
  <c r="AI419" i="1"/>
  <c r="AJ419" i="1" s="1"/>
  <c r="AI427" i="1"/>
  <c r="AJ427" i="1" s="1"/>
  <c r="AI434" i="1"/>
  <c r="AI438" i="1"/>
  <c r="AJ438" i="1" s="1"/>
  <c r="AI469" i="1"/>
  <c r="AJ469" i="1" s="1"/>
  <c r="AI473" i="1"/>
  <c r="AI481" i="1"/>
  <c r="AJ481" i="1" s="1"/>
  <c r="AI508" i="1"/>
  <c r="AJ508" i="1" s="1"/>
  <c r="AI528" i="1"/>
  <c r="AJ528" i="1" s="1"/>
  <c r="AI532" i="1"/>
  <c r="AJ532" i="1" s="1"/>
  <c r="AI539" i="1"/>
  <c r="AI551" i="1"/>
  <c r="AJ551" i="1" s="1"/>
  <c r="AI577" i="1"/>
  <c r="AJ577" i="1" s="1"/>
  <c r="AI600" i="1"/>
  <c r="AJ600" i="1" s="1"/>
  <c r="AI608" i="1"/>
  <c r="AI620" i="1"/>
  <c r="AJ620" i="1" s="1"/>
  <c r="AI627" i="1"/>
  <c r="AI635" i="1"/>
  <c r="AJ635" i="1" s="1"/>
  <c r="AI650" i="1"/>
  <c r="AJ650" i="1" s="1"/>
  <c r="AI662" i="1"/>
  <c r="AJ662" i="1" s="1"/>
  <c r="AI669" i="1"/>
  <c r="AI673" i="1"/>
  <c r="AJ673" i="1" s="1"/>
  <c r="AI677" i="1"/>
  <c r="AI685" i="1"/>
  <c r="AJ685" i="1" s="1"/>
  <c r="AI696" i="1"/>
  <c r="AJ696" i="1" s="1"/>
  <c r="AI701" i="1"/>
  <c r="AJ701" i="1" s="1"/>
  <c r="AI713" i="1"/>
  <c r="AJ713" i="1" s="1"/>
  <c r="AI717" i="1"/>
  <c r="AJ717" i="1" s="1"/>
  <c r="AI721" i="1"/>
  <c r="AJ721" i="1" s="1"/>
  <c r="AI732" i="1"/>
  <c r="AJ732" i="1" s="1"/>
  <c r="AI740" i="1"/>
  <c r="AJ740" i="1" s="1"/>
  <c r="AI744" i="1"/>
  <c r="AJ744" i="1" s="1"/>
  <c r="AI748" i="1"/>
  <c r="AJ748" i="1" s="1"/>
  <c r="AI776" i="1"/>
  <c r="AJ776" i="1" s="1"/>
  <c r="AI780" i="1"/>
  <c r="AJ780" i="1" s="1"/>
  <c r="AI784" i="1"/>
  <c r="AJ784" i="1" s="1"/>
  <c r="AI788" i="1"/>
  <c r="AJ788" i="1" s="1"/>
  <c r="AI792" i="1"/>
  <c r="AJ792" i="1" s="1"/>
  <c r="AI800" i="1"/>
  <c r="AJ800" i="1" s="1"/>
  <c r="AI804" i="1"/>
  <c r="AJ804" i="1" s="1"/>
  <c r="AI550" i="1"/>
  <c r="AI634" i="1"/>
  <c r="AI661" i="1"/>
  <c r="AJ661" i="1" s="1"/>
  <c r="AI672" i="1"/>
  <c r="AJ672" i="1" s="1"/>
  <c r="AI695" i="1"/>
  <c r="AJ695" i="1" s="1"/>
  <c r="AJ716" i="1"/>
  <c r="AI739" i="1"/>
  <c r="AI759" i="1"/>
  <c r="AI700" i="1"/>
  <c r="AJ700" i="1" s="1"/>
  <c r="AJ8" i="1"/>
  <c r="AI35" i="1"/>
  <c r="AI74" i="1"/>
  <c r="AI82" i="1"/>
  <c r="AI93" i="1"/>
  <c r="AI105" i="1"/>
  <c r="AJ105" i="1" s="1"/>
  <c r="AI144" i="1"/>
  <c r="AJ144" i="1" s="1"/>
  <c r="AI153" i="1"/>
  <c r="AJ153" i="1" s="1"/>
  <c r="AI161" i="1"/>
  <c r="AJ161" i="1" s="1"/>
  <c r="AI172" i="1"/>
  <c r="AJ172" i="1" s="1"/>
  <c r="AI176" i="1"/>
  <c r="AI180" i="1"/>
  <c r="AJ180" i="1" s="1"/>
  <c r="AI188" i="1"/>
  <c r="AJ188" i="1" s="1"/>
  <c r="AI201" i="1"/>
  <c r="AI210" i="1"/>
  <c r="AJ210" i="1" s="1"/>
  <c r="AI225" i="1"/>
  <c r="AJ225" i="1" s="1"/>
  <c r="AI233" i="1"/>
  <c r="AJ233" i="1" s="1"/>
  <c r="AI241" i="1"/>
  <c r="AI251" i="1"/>
  <c r="AJ251" i="1" s="1"/>
  <c r="AI255" i="1"/>
  <c r="AI270" i="1"/>
  <c r="AJ270" i="1" s="1"/>
  <c r="AI278" i="1"/>
  <c r="AJ278" i="1" s="1"/>
  <c r="AI287" i="1"/>
  <c r="AI288" i="1" s="1"/>
  <c r="AI291" i="1"/>
  <c r="AI295" i="1"/>
  <c r="AI306" i="1"/>
  <c r="AJ306" i="1" s="1"/>
  <c r="AI314" i="1"/>
  <c r="AJ314" i="1" s="1"/>
  <c r="AI318" i="1"/>
  <c r="AI330" i="1"/>
  <c r="AJ330" i="1" s="1"/>
  <c r="AI341" i="1"/>
  <c r="AJ341" i="1" s="1"/>
  <c r="AI345" i="1"/>
  <c r="AJ345" i="1" s="1"/>
  <c r="AI349" i="1"/>
  <c r="AI357" i="1"/>
  <c r="AJ357" i="1" s="1"/>
  <c r="AI365" i="1"/>
  <c r="AI373" i="1"/>
  <c r="AJ373" i="1" s="1"/>
  <c r="AI381" i="1"/>
  <c r="AJ381" i="1" s="1"/>
  <c r="AI392" i="1"/>
  <c r="AJ392" i="1" s="1"/>
  <c r="AI400" i="1"/>
  <c r="AJ400" i="1" s="1"/>
  <c r="AI416" i="1"/>
  <c r="AJ416" i="1" s="1"/>
  <c r="AI420" i="1"/>
  <c r="AJ420" i="1" s="1"/>
  <c r="AI424" i="1"/>
  <c r="AI439" i="1"/>
  <c r="AJ439" i="1" s="1"/>
  <c r="AI443" i="1"/>
  <c r="AI474" i="1"/>
  <c r="AJ474" i="1" s="1"/>
  <c r="AI482" i="1"/>
  <c r="AJ482" i="1" s="1"/>
  <c r="AI490" i="1"/>
  <c r="AI509" i="1"/>
  <c r="AJ509" i="1" s="1"/>
  <c r="AI517" i="1"/>
  <c r="AI529" i="1"/>
  <c r="AJ529" i="1" s="1"/>
  <c r="AI540" i="1"/>
  <c r="AJ540" i="1" s="1"/>
  <c r="AI552" i="1"/>
  <c r="AJ552" i="1" s="1"/>
  <c r="AI574" i="1"/>
  <c r="AJ574" i="1" s="1"/>
  <c r="AI578" i="1"/>
  <c r="AJ578" i="1" s="1"/>
  <c r="AI609" i="1"/>
  <c r="AJ609" i="1" s="1"/>
  <c r="AI628" i="1"/>
  <c r="AJ628" i="1" s="1"/>
  <c r="AI636" i="1"/>
  <c r="AJ636" i="1" s="1"/>
  <c r="AI640" i="1"/>
  <c r="AI651" i="1"/>
  <c r="AJ651" i="1" s="1"/>
  <c r="AI655" i="1"/>
  <c r="AI670" i="1"/>
  <c r="AJ670" i="1" s="1"/>
  <c r="AI682" i="1"/>
  <c r="AJ682" i="1" s="1"/>
  <c r="AI698" i="1"/>
  <c r="AJ698" i="1" s="1"/>
  <c r="AI702" i="1"/>
  <c r="AJ702" i="1" s="1"/>
  <c r="AI714" i="1"/>
  <c r="AJ714" i="1" s="1"/>
  <c r="AI718" i="1"/>
  <c r="AJ718" i="1" s="1"/>
  <c r="AI733" i="1"/>
  <c r="AJ733" i="1" s="1"/>
  <c r="AI741" i="1"/>
  <c r="AJ741" i="1" s="1"/>
  <c r="AI745" i="1"/>
  <c r="AJ745" i="1" s="1"/>
  <c r="AI753" i="1"/>
  <c r="AI761" i="1"/>
  <c r="AJ761" i="1" s="1"/>
  <c r="AI765" i="1"/>
  <c r="AJ765" i="1" s="1"/>
  <c r="AI615" i="1"/>
  <c r="AI731" i="1"/>
  <c r="AJ731" i="1" s="1"/>
  <c r="AI595" i="1"/>
  <c r="AI611" i="1"/>
  <c r="AJ611" i="1" s="1"/>
  <c r="AI619" i="1"/>
  <c r="AI649" i="1"/>
  <c r="AI712" i="1"/>
  <c r="AJ712" i="1" s="1"/>
  <c r="AI720" i="1"/>
  <c r="AJ720" i="1" s="1"/>
  <c r="AI735" i="1"/>
  <c r="AJ735" i="1" s="1"/>
  <c r="AI743" i="1"/>
  <c r="AJ743" i="1" s="1"/>
  <c r="AI763" i="1"/>
  <c r="AJ763" i="1" s="1"/>
  <c r="AJ31" i="1"/>
  <c r="AI39" i="1"/>
  <c r="AI50" i="1"/>
  <c r="AJ50" i="1" s="1"/>
  <c r="AI62" i="1"/>
  <c r="AJ62" i="1" s="1"/>
  <c r="AI66" i="1"/>
  <c r="AJ66" i="1" s="1"/>
  <c r="AI78" i="1"/>
  <c r="AI86" i="1"/>
  <c r="AJ86" i="1" s="1"/>
  <c r="AI5" i="1"/>
  <c r="AI9" i="1"/>
  <c r="AJ9" i="1" s="1"/>
  <c r="AI13" i="1"/>
  <c r="AI21" i="1"/>
  <c r="AJ21" i="1" s="1"/>
  <c r="AI40" i="1"/>
  <c r="AJ40" i="1" s="1"/>
  <c r="AI47" i="1"/>
  <c r="AI51" i="1"/>
  <c r="AJ51" i="1" s="1"/>
  <c r="AI55" i="1"/>
  <c r="AI63" i="1"/>
  <c r="AJ63" i="1" s="1"/>
  <c r="AI83" i="1"/>
  <c r="AJ83" i="1" s="1"/>
  <c r="AI94" i="1"/>
  <c r="AI106" i="1"/>
  <c r="AJ106" i="1" s="1"/>
  <c r="AI145" i="1"/>
  <c r="AJ145" i="1" s="1"/>
  <c r="AI154" i="1"/>
  <c r="AJ154" i="1" s="1"/>
  <c r="AI158" i="1"/>
  <c r="AI162" i="1"/>
  <c r="AJ162" i="1" s="1"/>
  <c r="AI177" i="1"/>
  <c r="AJ177" i="1" s="1"/>
  <c r="AI181" i="1"/>
  <c r="AJ181" i="1" s="1"/>
  <c r="AI203" i="1"/>
  <c r="AJ203" i="1" s="1"/>
  <c r="AI207" i="1"/>
  <c r="AI211" i="1"/>
  <c r="AJ211" i="1" s="1"/>
  <c r="AI218" i="1"/>
  <c r="AI226" i="1"/>
  <c r="AJ226" i="1" s="1"/>
  <c r="AI244" i="1"/>
  <c r="AJ244" i="1" s="1"/>
  <c r="AI248" i="1"/>
  <c r="AI256" i="1"/>
  <c r="AJ256" i="1" s="1"/>
  <c r="AI263" i="1"/>
  <c r="AI271" i="1"/>
  <c r="AJ271" i="1" s="1"/>
  <c r="AI296" i="1"/>
  <c r="AJ296" i="1" s="1"/>
  <c r="AI303" i="1"/>
  <c r="AI307" i="1"/>
  <c r="AJ307" i="1" s="1"/>
  <c r="AI319" i="1"/>
  <c r="AJ319" i="1" s="1"/>
  <c r="AI331" i="1"/>
  <c r="AJ331" i="1" s="1"/>
  <c r="AI342" i="1"/>
  <c r="AJ342" i="1" s="1"/>
  <c r="AI350" i="1"/>
  <c r="AJ350" i="1" s="1"/>
  <c r="AI354" i="1"/>
  <c r="AI366" i="1"/>
  <c r="AJ366" i="1" s="1"/>
  <c r="AI374" i="1"/>
  <c r="AJ374" i="1" s="1"/>
  <c r="AI378" i="1"/>
  <c r="AI382" i="1"/>
  <c r="AJ382" i="1" s="1"/>
  <c r="AI393" i="1"/>
  <c r="AJ393" i="1" s="1"/>
  <c r="AI405" i="1"/>
  <c r="AI417" i="1"/>
  <c r="AJ417" i="1" s="1"/>
  <c r="AI425" i="1"/>
  <c r="AJ425" i="1" s="1"/>
  <c r="AI436" i="1"/>
  <c r="AJ436" i="1" s="1"/>
  <c r="AI444" i="1"/>
  <c r="AJ444" i="1" s="1"/>
  <c r="AI475" i="1"/>
  <c r="AJ475" i="1" s="1"/>
  <c r="AI491" i="1"/>
  <c r="AJ491" i="1" s="1"/>
  <c r="AI495" i="1"/>
  <c r="AI502" i="1"/>
  <c r="AI518" i="1"/>
  <c r="AJ518" i="1" s="1"/>
  <c r="AI530" i="1"/>
  <c r="AJ530" i="1" s="1"/>
  <c r="AI541" i="1"/>
  <c r="AJ541" i="1" s="1"/>
  <c r="AI553" i="1"/>
  <c r="AJ553" i="1" s="1"/>
  <c r="AI560" i="1"/>
  <c r="AI564" i="1"/>
  <c r="AI568" i="1"/>
  <c r="AI610" i="1"/>
  <c r="AJ610" i="1" s="1"/>
  <c r="AI629" i="1"/>
  <c r="AJ629" i="1" s="1"/>
  <c r="AI641" i="1"/>
  <c r="AJ641" i="1" s="1"/>
  <c r="AI656" i="1"/>
  <c r="AJ656" i="1" s="1"/>
  <c r="AI660" i="1"/>
  <c r="AI671" i="1"/>
  <c r="AJ671" i="1" s="1"/>
  <c r="AI683" i="1"/>
  <c r="AJ683" i="1" s="1"/>
  <c r="AI694" i="1"/>
  <c r="AI699" i="1"/>
  <c r="AJ699" i="1" s="1"/>
  <c r="AI703" i="1"/>
  <c r="AJ703" i="1" s="1"/>
  <c r="AI707" i="1"/>
  <c r="AI711" i="1"/>
  <c r="AI715" i="1"/>
  <c r="AJ715" i="1" s="1"/>
  <c r="AI719" i="1"/>
  <c r="AJ719" i="1" s="1"/>
  <c r="AI730" i="1"/>
  <c r="AI734" i="1"/>
  <c r="AJ734" i="1" s="1"/>
  <c r="AI742" i="1"/>
  <c r="AJ742" i="1" s="1"/>
  <c r="AI746" i="1"/>
  <c r="AJ746" i="1" s="1"/>
  <c r="AI774" i="1"/>
  <c r="AJ778" i="1"/>
  <c r="AI782" i="1"/>
  <c r="AJ782" i="1" s="1"/>
  <c r="AI786" i="1"/>
  <c r="AJ786" i="1" s="1"/>
  <c r="AI790" i="1"/>
  <c r="AJ790" i="1" s="1"/>
  <c r="AI794" i="1"/>
  <c r="AJ794" i="1" s="1"/>
  <c r="AI802" i="1"/>
  <c r="AJ802" i="1" s="1"/>
  <c r="AI806" i="1"/>
  <c r="AJ806" i="1" s="1"/>
  <c r="AI20" i="1"/>
  <c r="AJ20" i="1" s="1"/>
  <c r="AI591" i="1"/>
  <c r="AI684" i="1"/>
  <c r="AJ684" i="1" s="1"/>
  <c r="AI747" i="1"/>
  <c r="AJ747" i="1" s="1"/>
  <c r="AI762" i="1"/>
  <c r="AJ762" i="1" s="1"/>
  <c r="AI766" i="1"/>
  <c r="AJ766" i="1" s="1"/>
  <c r="AI777" i="1"/>
  <c r="AJ777" i="1" s="1"/>
  <c r="AI781" i="1"/>
  <c r="AJ781" i="1" s="1"/>
  <c r="AI785" i="1"/>
  <c r="AJ785" i="1" s="1"/>
  <c r="AI789" i="1"/>
  <c r="AJ789" i="1" s="1"/>
  <c r="AI793" i="1"/>
  <c r="AJ793" i="1" s="1"/>
  <c r="AI801" i="1"/>
  <c r="AJ801" i="1" s="1"/>
  <c r="AI805" i="1"/>
  <c r="AJ805" i="1" s="1"/>
  <c r="AI760" i="1"/>
  <c r="AJ760" i="1" s="1"/>
  <c r="AI764" i="1"/>
  <c r="AJ764" i="1" s="1"/>
  <c r="AI768" i="1"/>
  <c r="AJ768" i="1" s="1"/>
  <c r="AI775" i="1"/>
  <c r="AJ775" i="1" s="1"/>
  <c r="AI779" i="1"/>
  <c r="AJ779" i="1" s="1"/>
  <c r="AI783" i="1"/>
  <c r="AJ783" i="1" s="1"/>
  <c r="AI787" i="1"/>
  <c r="AJ787" i="1" s="1"/>
  <c r="AI791" i="1"/>
  <c r="AJ791" i="1" s="1"/>
  <c r="AI795" i="1"/>
  <c r="AJ795" i="1" s="1"/>
  <c r="AI799" i="1"/>
  <c r="AI803" i="1"/>
  <c r="AJ803" i="1" s="1"/>
  <c r="V724" i="1" l="1"/>
  <c r="AI23" i="14"/>
  <c r="AI24" i="14" s="1"/>
  <c r="AI37" i="14"/>
  <c r="AI38" i="14" s="1"/>
  <c r="T53" i="14"/>
  <c r="AI15" i="14"/>
  <c r="AI16" i="14" s="1"/>
  <c r="AI11" i="14"/>
  <c r="AI12" i="14" s="1"/>
  <c r="AI7" i="14"/>
  <c r="AI8" i="14" s="1"/>
  <c r="AI19" i="14"/>
  <c r="AI20" i="14" s="1"/>
  <c r="AI27" i="14"/>
  <c r="AI30" i="14"/>
  <c r="U41" i="14"/>
  <c r="U44" i="14" s="1"/>
  <c r="U53" i="14" s="1"/>
  <c r="AI149" i="1"/>
  <c r="AI245" i="1"/>
  <c r="V191" i="1"/>
  <c r="V69" i="1"/>
  <c r="V512" i="1"/>
  <c r="V259" i="1"/>
  <c r="V556" i="1"/>
  <c r="V645" i="1"/>
  <c r="V385" i="1"/>
  <c r="V236" i="1"/>
  <c r="V535" i="1"/>
  <c r="V410" i="1"/>
  <c r="V665" i="1"/>
  <c r="V214" i="1"/>
  <c r="V281" i="1"/>
  <c r="V430" i="1"/>
  <c r="V360" i="1"/>
  <c r="AJ579" i="1"/>
  <c r="V623" i="1"/>
  <c r="V448" i="1"/>
  <c r="V25" i="1"/>
  <c r="V109" i="1"/>
  <c r="V165" i="1"/>
  <c r="V323" i="1"/>
  <c r="AJ694" i="1"/>
  <c r="AJ704" i="1" s="1"/>
  <c r="AI704" i="1"/>
  <c r="AJ502" i="1"/>
  <c r="AJ303" i="1"/>
  <c r="AJ309" i="1" s="1"/>
  <c r="AI309" i="1"/>
  <c r="AJ47" i="1"/>
  <c r="AJ52" i="1" s="1"/>
  <c r="AI52" i="1"/>
  <c r="AJ595" i="1"/>
  <c r="AJ596" i="1" s="1"/>
  <c r="AI596" i="1"/>
  <c r="AJ241" i="1"/>
  <c r="AJ245" i="1" s="1"/>
  <c r="AJ30" i="1"/>
  <c r="AJ32" i="1" s="1"/>
  <c r="AI32" i="1"/>
  <c r="AJ231" i="1"/>
  <c r="AJ234" i="1" s="1"/>
  <c r="AI234" i="1"/>
  <c r="AJ591" i="1"/>
  <c r="AJ592" i="1" s="1"/>
  <c r="AI592" i="1"/>
  <c r="AJ730" i="1"/>
  <c r="AJ736" i="1" s="1"/>
  <c r="AI736" i="1"/>
  <c r="AJ707" i="1"/>
  <c r="AJ708" i="1" s="1"/>
  <c r="AI708" i="1"/>
  <c r="AJ560" i="1"/>
  <c r="AJ561" i="1" s="1"/>
  <c r="AI561" i="1"/>
  <c r="AJ495" i="1"/>
  <c r="AJ496" i="1" s="1"/>
  <c r="AI496" i="1"/>
  <c r="AJ248" i="1"/>
  <c r="AJ252" i="1" s="1"/>
  <c r="AI252" i="1"/>
  <c r="AJ218" i="1"/>
  <c r="AJ221" i="1" s="1"/>
  <c r="AI221" i="1"/>
  <c r="AJ158" i="1"/>
  <c r="AJ163" i="1" s="1"/>
  <c r="AI163" i="1"/>
  <c r="AJ39" i="1"/>
  <c r="AJ41" i="1" s="1"/>
  <c r="AI41" i="1"/>
  <c r="AJ649" i="1"/>
  <c r="AJ652" i="1" s="1"/>
  <c r="AI652" i="1"/>
  <c r="AJ197" i="1"/>
  <c r="AJ198" i="1" s="1"/>
  <c r="AJ640" i="1"/>
  <c r="AJ643" i="1" s="1"/>
  <c r="AI643" i="1"/>
  <c r="AJ424" i="1"/>
  <c r="AJ428" i="1" s="1"/>
  <c r="AI428" i="1"/>
  <c r="AJ287" i="1"/>
  <c r="AJ288" i="1" s="1"/>
  <c r="AJ255" i="1"/>
  <c r="AJ257" i="1" s="1"/>
  <c r="AI257" i="1"/>
  <c r="AJ176" i="1"/>
  <c r="AJ184" i="1" s="1"/>
  <c r="AI184" i="1"/>
  <c r="AJ93" i="1"/>
  <c r="AI96" i="1"/>
  <c r="AJ35" i="1"/>
  <c r="AJ36" i="1" s="1"/>
  <c r="AI36" i="1"/>
  <c r="AJ739" i="1"/>
  <c r="AJ550" i="1"/>
  <c r="AJ554" i="1" s="1"/>
  <c r="AI554" i="1"/>
  <c r="AJ677" i="1"/>
  <c r="AJ678" i="1" s="1"/>
  <c r="AI678" i="1"/>
  <c r="AJ627" i="1"/>
  <c r="AJ631" i="1" s="1"/>
  <c r="AI631" i="1"/>
  <c r="AJ539" i="1"/>
  <c r="AJ543" i="1" s="1"/>
  <c r="AI543" i="1"/>
  <c r="AJ473" i="1"/>
  <c r="AJ477" i="1" s="1"/>
  <c r="AI477" i="1"/>
  <c r="AJ434" i="1"/>
  <c r="AJ415" i="1"/>
  <c r="AJ421" i="1" s="1"/>
  <c r="AI421" i="1"/>
  <c r="AJ224" i="1"/>
  <c r="AJ228" i="1" s="1"/>
  <c r="AI228" i="1"/>
  <c r="AJ152" i="1"/>
  <c r="AJ155" i="1" s="1"/>
  <c r="AI155" i="1"/>
  <c r="AJ131" i="1"/>
  <c r="AJ132" i="1" s="1"/>
  <c r="AI132" i="1"/>
  <c r="AJ546" i="1"/>
  <c r="AJ547" i="1" s="1"/>
  <c r="AI547" i="1"/>
  <c r="AJ328" i="1"/>
  <c r="AJ334" i="1" s="1"/>
  <c r="AJ336" i="1" s="1"/>
  <c r="AI334" i="1"/>
  <c r="AI336" i="1" s="1"/>
  <c r="AJ99" i="1"/>
  <c r="AJ100" i="1" s="1"/>
  <c r="AI100" i="1"/>
  <c r="AJ103" i="1"/>
  <c r="AJ107" i="1" s="1"/>
  <c r="AI107" i="1"/>
  <c r="AJ312" i="1"/>
  <c r="AJ315" i="1" s="1"/>
  <c r="AI315" i="1"/>
  <c r="V809" i="1"/>
  <c r="AJ711" i="1"/>
  <c r="AJ722" i="1" s="1"/>
  <c r="AI722" i="1"/>
  <c r="AJ13" i="1"/>
  <c r="AJ15" i="1" s="1"/>
  <c r="AI15" i="1"/>
  <c r="AJ291" i="1"/>
  <c r="AJ292" i="1" s="1"/>
  <c r="AI292" i="1"/>
  <c r="AJ759" i="1"/>
  <c r="AJ391" i="1"/>
  <c r="AJ394" i="1" s="1"/>
  <c r="AI394" i="1"/>
  <c r="AJ453" i="1"/>
  <c r="AJ454" i="1" s="1"/>
  <c r="AI454" i="1"/>
  <c r="AI807" i="1"/>
  <c r="AJ55" i="1"/>
  <c r="AJ57" i="1" s="1"/>
  <c r="AI57" i="1"/>
  <c r="AJ619" i="1"/>
  <c r="AJ621" i="1" s="1"/>
  <c r="AI621" i="1"/>
  <c r="AJ655" i="1"/>
  <c r="AJ657" i="1" s="1"/>
  <c r="AI657" i="1"/>
  <c r="AJ517" i="1"/>
  <c r="AJ520" i="1" s="1"/>
  <c r="AI520" i="1"/>
  <c r="AJ490" i="1"/>
  <c r="AJ492" i="1" s="1"/>
  <c r="AI492" i="1"/>
  <c r="AJ349" i="1"/>
  <c r="AJ351" i="1" s="1"/>
  <c r="AI351" i="1"/>
  <c r="AJ201" i="1"/>
  <c r="AJ204" i="1" s="1"/>
  <c r="AI204" i="1"/>
  <c r="AJ82" i="1"/>
  <c r="AJ87" i="1" s="1"/>
  <c r="AI87" i="1"/>
  <c r="AJ634" i="1"/>
  <c r="AJ637" i="1" s="1"/>
  <c r="AI637" i="1"/>
  <c r="AJ269" i="1"/>
  <c r="AJ457" i="1"/>
  <c r="AJ458" i="1" s="1"/>
  <c r="AI458" i="1"/>
  <c r="AJ371" i="1"/>
  <c r="AJ375" i="1" s="1"/>
  <c r="AI375" i="1"/>
  <c r="AJ527" i="1"/>
  <c r="AJ533" i="1" s="1"/>
  <c r="AI533" i="1"/>
  <c r="AJ660" i="1"/>
  <c r="AJ663" i="1" s="1"/>
  <c r="AI663" i="1"/>
  <c r="AJ564" i="1"/>
  <c r="AJ565" i="1" s="1"/>
  <c r="AI565" i="1"/>
  <c r="AJ78" i="1"/>
  <c r="AJ79" i="1" s="1"/>
  <c r="AI79" i="1"/>
  <c r="AJ615" i="1"/>
  <c r="AJ616" i="1" s="1"/>
  <c r="AI616" i="1"/>
  <c r="AJ277" i="1"/>
  <c r="AJ279" i="1" s="1"/>
  <c r="AI279" i="1"/>
  <c r="AJ135" i="1"/>
  <c r="AJ136" i="1" s="1"/>
  <c r="AI136" i="1"/>
  <c r="AJ18" i="1"/>
  <c r="AJ23" i="1" s="1"/>
  <c r="AI23" i="1"/>
  <c r="AJ461" i="1"/>
  <c r="AJ462" i="1" s="1"/>
  <c r="AI462" i="1"/>
  <c r="AJ119" i="1"/>
  <c r="AJ121" i="1" s="1"/>
  <c r="AI121" i="1"/>
  <c r="AJ774" i="1"/>
  <c r="AJ796" i="1" s="1"/>
  <c r="AI796" i="1"/>
  <c r="AJ568" i="1"/>
  <c r="AJ570" i="1" s="1"/>
  <c r="AI570" i="1"/>
  <c r="AJ405" i="1"/>
  <c r="AJ408" i="1" s="1"/>
  <c r="AI408" i="1"/>
  <c r="AJ378" i="1"/>
  <c r="AJ383" i="1" s="1"/>
  <c r="AI383" i="1"/>
  <c r="AJ354" i="1"/>
  <c r="AJ358" i="1" s="1"/>
  <c r="AI358" i="1"/>
  <c r="AJ263" i="1"/>
  <c r="AJ266" i="1" s="1"/>
  <c r="AI266" i="1"/>
  <c r="AJ207" i="1"/>
  <c r="AJ212" i="1" s="1"/>
  <c r="AI212" i="1"/>
  <c r="AJ753" i="1"/>
  <c r="AJ443" i="1"/>
  <c r="AJ446" i="1" s="1"/>
  <c r="AI446" i="1"/>
  <c r="AI368" i="1"/>
  <c r="AJ318" i="1"/>
  <c r="AJ321" i="1" s="1"/>
  <c r="AI321" i="1"/>
  <c r="AJ295" i="1"/>
  <c r="AJ297" i="1" s="1"/>
  <c r="AI297" i="1"/>
  <c r="AJ74" i="1"/>
  <c r="AJ75" i="1" s="1"/>
  <c r="AI75" i="1"/>
  <c r="AJ669" i="1"/>
  <c r="AJ674" i="1" s="1"/>
  <c r="AI674" i="1"/>
  <c r="AJ608" i="1"/>
  <c r="AJ612" i="1" s="1"/>
  <c r="AI612" i="1"/>
  <c r="AJ340" i="1"/>
  <c r="AJ346" i="1" s="1"/>
  <c r="AI346" i="1"/>
  <c r="AJ187" i="1"/>
  <c r="AJ189" i="1" s="1"/>
  <c r="AI189" i="1"/>
  <c r="AJ171" i="1"/>
  <c r="AJ173" i="1" s="1"/>
  <c r="AI173" i="1"/>
  <c r="AJ143" i="1"/>
  <c r="AJ149" i="1" s="1"/>
  <c r="AJ599" i="1"/>
  <c r="AJ601" i="1" s="1"/>
  <c r="AI601" i="1"/>
  <c r="AJ468" i="1"/>
  <c r="AJ470" i="1" s="1"/>
  <c r="AI470" i="1"/>
  <c r="AJ523" i="1"/>
  <c r="AJ524" i="1" s="1"/>
  <c r="AI524" i="1"/>
  <c r="AJ60" i="1"/>
  <c r="AJ67" i="1" s="1"/>
  <c r="AI67" i="1"/>
  <c r="AJ480" i="1"/>
  <c r="AJ483" i="1" s="1"/>
  <c r="AI483" i="1"/>
  <c r="V485" i="1"/>
  <c r="AJ4" i="1"/>
  <c r="AI10" i="1"/>
  <c r="V688" i="1"/>
  <c r="AI579" i="1"/>
  <c r="AJ799" i="1"/>
  <c r="AJ807" i="1" s="1"/>
  <c r="U64" i="14" l="1"/>
  <c r="AI64" i="14" s="1"/>
  <c r="AI41" i="14"/>
  <c r="AI44" i="14" s="1"/>
  <c r="AI53" i="14" s="1"/>
  <c r="AI430" i="1"/>
  <c r="AJ430" i="1"/>
  <c r="V587" i="1"/>
  <c r="V690" i="1"/>
  <c r="AI109" i="1"/>
  <c r="AJ89" i="1"/>
  <c r="AI191" i="1"/>
  <c r="AJ498" i="1"/>
  <c r="AJ360" i="1"/>
  <c r="AI236" i="1"/>
  <c r="AI623" i="1"/>
  <c r="AJ485" i="1"/>
  <c r="AJ623" i="1"/>
  <c r="AI214" i="1"/>
  <c r="AI299" i="1"/>
  <c r="AI259" i="1"/>
  <c r="AI69" i="1"/>
  <c r="AI25" i="1"/>
  <c r="AI385" i="1"/>
  <c r="AI535" i="1"/>
  <c r="AJ299" i="1"/>
  <c r="AI556" i="1"/>
  <c r="AJ214" i="1"/>
  <c r="AJ236" i="1"/>
  <c r="AJ259" i="1"/>
  <c r="AJ69" i="1"/>
  <c r="AJ191" i="1"/>
  <c r="AI360" i="1"/>
  <c r="AJ535" i="1"/>
  <c r="AI464" i="1"/>
  <c r="AJ556" i="1"/>
  <c r="AI665" i="1"/>
  <c r="AI165" i="1"/>
  <c r="AI572" i="1"/>
  <c r="AI603" i="1"/>
  <c r="AI323" i="1"/>
  <c r="AI724" i="1"/>
  <c r="AJ645" i="1"/>
  <c r="AI485" i="1"/>
  <c r="AI89" i="1"/>
  <c r="AJ464" i="1"/>
  <c r="AI498" i="1"/>
  <c r="AI645" i="1"/>
  <c r="AJ665" i="1"/>
  <c r="AJ165" i="1"/>
  <c r="AJ572" i="1"/>
  <c r="AJ603" i="1"/>
  <c r="AJ323" i="1"/>
  <c r="AJ724" i="1"/>
  <c r="U807" i="1" l="1"/>
  <c r="S807" i="1"/>
  <c r="U796" i="1"/>
  <c r="S796" i="1"/>
  <c r="S770" i="1"/>
  <c r="AI769" i="1"/>
  <c r="S755" i="1"/>
  <c r="U754" i="1"/>
  <c r="AI754" i="1" s="1"/>
  <c r="S750" i="1"/>
  <c r="U736" i="1"/>
  <c r="S736" i="1"/>
  <c r="U722" i="1"/>
  <c r="S722" i="1"/>
  <c r="U708" i="1"/>
  <c r="S708" i="1"/>
  <c r="U704" i="1"/>
  <c r="S704" i="1"/>
  <c r="S686" i="1"/>
  <c r="U681" i="1"/>
  <c r="AI681" i="1" s="1"/>
  <c r="U678" i="1"/>
  <c r="S678" i="1"/>
  <c r="U674" i="1"/>
  <c r="S674" i="1"/>
  <c r="U663" i="1"/>
  <c r="S663" i="1"/>
  <c r="U657" i="1"/>
  <c r="S657" i="1"/>
  <c r="U652" i="1"/>
  <c r="S652" i="1"/>
  <c r="U643" i="1"/>
  <c r="S643" i="1"/>
  <c r="U637" i="1"/>
  <c r="S637" i="1"/>
  <c r="U631" i="1"/>
  <c r="S631" i="1"/>
  <c r="U621" i="1"/>
  <c r="S621" i="1"/>
  <c r="U616" i="1"/>
  <c r="S616" i="1"/>
  <c r="U612" i="1"/>
  <c r="S612" i="1"/>
  <c r="U601" i="1"/>
  <c r="S601" i="1"/>
  <c r="U596" i="1"/>
  <c r="S596" i="1"/>
  <c r="U592" i="1"/>
  <c r="S592" i="1"/>
  <c r="S583" i="1"/>
  <c r="U582" i="1"/>
  <c r="AI582" i="1" s="1"/>
  <c r="U579" i="1"/>
  <c r="S579" i="1"/>
  <c r="U570" i="1"/>
  <c r="S570" i="1"/>
  <c r="U565" i="1"/>
  <c r="S565" i="1"/>
  <c r="U561" i="1"/>
  <c r="S561" i="1"/>
  <c r="U554" i="1"/>
  <c r="S554" i="1"/>
  <c r="U547" i="1"/>
  <c r="S547" i="1"/>
  <c r="U543" i="1"/>
  <c r="S543" i="1"/>
  <c r="U533" i="1"/>
  <c r="S533" i="1"/>
  <c r="U524" i="1"/>
  <c r="S524" i="1"/>
  <c r="U520" i="1"/>
  <c r="S520" i="1"/>
  <c r="S510" i="1"/>
  <c r="S504" i="1"/>
  <c r="U503" i="1"/>
  <c r="U496" i="1"/>
  <c r="S496" i="1"/>
  <c r="U492" i="1"/>
  <c r="S492" i="1"/>
  <c r="U483" i="1"/>
  <c r="S483" i="1"/>
  <c r="U477" i="1"/>
  <c r="S477" i="1"/>
  <c r="U470" i="1"/>
  <c r="S470" i="1"/>
  <c r="U462" i="1"/>
  <c r="S462" i="1"/>
  <c r="U458" i="1"/>
  <c r="S458" i="1"/>
  <c r="U454" i="1"/>
  <c r="S454" i="1"/>
  <c r="U446" i="1"/>
  <c r="S446" i="1"/>
  <c r="S440" i="1"/>
  <c r="U435" i="1"/>
  <c r="AI435" i="1" s="1"/>
  <c r="U428" i="1"/>
  <c r="S428" i="1"/>
  <c r="U421" i="1"/>
  <c r="S421" i="1"/>
  <c r="U408" i="1"/>
  <c r="S408" i="1"/>
  <c r="S402" i="1"/>
  <c r="U401" i="1"/>
  <c r="AI401" i="1" s="1"/>
  <c r="AJ401" i="1" s="1"/>
  <c r="AI398" i="1"/>
  <c r="AJ398" i="1" s="1"/>
  <c r="U397" i="1"/>
  <c r="AI397" i="1" s="1"/>
  <c r="U394" i="1"/>
  <c r="S394" i="1"/>
  <c r="U383" i="1"/>
  <c r="S383" i="1"/>
  <c r="U375" i="1"/>
  <c r="S375" i="1"/>
  <c r="U368" i="1"/>
  <c r="S368" i="1"/>
  <c r="AJ365" i="1"/>
  <c r="AJ368" i="1" s="1"/>
  <c r="AJ385" i="1" s="1"/>
  <c r="U358" i="1"/>
  <c r="S358" i="1"/>
  <c r="U351" i="1"/>
  <c r="S351" i="1"/>
  <c r="U346" i="1"/>
  <c r="S346" i="1"/>
  <c r="U334" i="1"/>
  <c r="S334" i="1"/>
  <c r="U321" i="1"/>
  <c r="S321" i="1"/>
  <c r="U315" i="1"/>
  <c r="S315" i="1"/>
  <c r="U309" i="1"/>
  <c r="S309" i="1"/>
  <c r="U297" i="1"/>
  <c r="S297" i="1"/>
  <c r="U292" i="1"/>
  <c r="S292" i="1"/>
  <c r="U279" i="1"/>
  <c r="S279" i="1"/>
  <c r="S274" i="1"/>
  <c r="AI272" i="1"/>
  <c r="U266" i="1"/>
  <c r="S266" i="1"/>
  <c r="U257" i="1"/>
  <c r="S257" i="1"/>
  <c r="U252" i="1"/>
  <c r="S252" i="1"/>
  <c r="U234" i="1"/>
  <c r="S234" i="1"/>
  <c r="U228" i="1"/>
  <c r="S228" i="1"/>
  <c r="U221" i="1"/>
  <c r="S221" i="1"/>
  <c r="U212" i="1"/>
  <c r="S212" i="1"/>
  <c r="U204" i="1"/>
  <c r="S204" i="1"/>
  <c r="U189" i="1"/>
  <c r="S189" i="1"/>
  <c r="U184" i="1"/>
  <c r="S184" i="1"/>
  <c r="U173" i="1"/>
  <c r="AG173" i="1"/>
  <c r="AG191" i="1" s="1"/>
  <c r="AF173" i="1"/>
  <c r="AF191" i="1" s="1"/>
  <c r="AE173" i="1"/>
  <c r="AE191" i="1" s="1"/>
  <c r="AD173" i="1"/>
  <c r="AD191" i="1" s="1"/>
  <c r="AC173" i="1"/>
  <c r="AC191" i="1" s="1"/>
  <c r="AB173" i="1"/>
  <c r="AB191" i="1" s="1"/>
  <c r="AA173" i="1"/>
  <c r="AA191" i="1" s="1"/>
  <c r="Z173" i="1"/>
  <c r="Z191" i="1" s="1"/>
  <c r="Y173" i="1"/>
  <c r="Y191" i="1" s="1"/>
  <c r="X173" i="1"/>
  <c r="X191" i="1" s="1"/>
  <c r="W173" i="1"/>
  <c r="W191" i="1" s="1"/>
  <c r="S173" i="1"/>
  <c r="U163" i="1"/>
  <c r="S163" i="1"/>
  <c r="U155" i="1"/>
  <c r="S155" i="1"/>
  <c r="U136" i="1"/>
  <c r="S136" i="1"/>
  <c r="U132" i="1"/>
  <c r="S132" i="1"/>
  <c r="S128" i="1"/>
  <c r="U127" i="1"/>
  <c r="AI127" i="1" s="1"/>
  <c r="U121" i="1"/>
  <c r="S121" i="1"/>
  <c r="S116" i="1"/>
  <c r="U114" i="1"/>
  <c r="U107" i="1"/>
  <c r="S107" i="1"/>
  <c r="U100" i="1"/>
  <c r="S100" i="1"/>
  <c r="U96" i="1"/>
  <c r="S96" i="1"/>
  <c r="AJ94" i="1"/>
  <c r="AJ96" i="1" s="1"/>
  <c r="AJ109" i="1" s="1"/>
  <c r="U87" i="1"/>
  <c r="S87" i="1"/>
  <c r="U79" i="1"/>
  <c r="S79" i="1"/>
  <c r="U75" i="1"/>
  <c r="S75" i="1"/>
  <c r="U67" i="1"/>
  <c r="S67" i="1"/>
  <c r="U57" i="1"/>
  <c r="S57" i="1"/>
  <c r="U52" i="1"/>
  <c r="S52" i="1"/>
  <c r="U41" i="1"/>
  <c r="S41" i="1"/>
  <c r="U36" i="1"/>
  <c r="S36" i="1"/>
  <c r="AG15" i="1"/>
  <c r="AG25" i="1" s="1"/>
  <c r="AF15" i="1"/>
  <c r="AF25" i="1" s="1"/>
  <c r="AE15" i="1"/>
  <c r="AE25" i="1" s="1"/>
  <c r="AD15" i="1"/>
  <c r="AD25" i="1" s="1"/>
  <c r="AC15" i="1"/>
  <c r="AC25" i="1" s="1"/>
  <c r="AB15" i="1"/>
  <c r="AB25" i="1" s="1"/>
  <c r="AA15" i="1"/>
  <c r="AA25" i="1" s="1"/>
  <c r="Z15" i="1"/>
  <c r="Z25" i="1" s="1"/>
  <c r="Y15" i="1"/>
  <c r="Y25" i="1" s="1"/>
  <c r="X15" i="1"/>
  <c r="X25" i="1" s="1"/>
  <c r="W15" i="1"/>
  <c r="W25" i="1" s="1"/>
  <c r="S15" i="1"/>
  <c r="S25" i="1" s="1"/>
  <c r="AJ5" i="1"/>
  <c r="AJ10" i="1" s="1"/>
  <c r="AJ25" i="1" s="1"/>
  <c r="AJ272" i="1" l="1"/>
  <c r="AJ274" i="1" s="1"/>
  <c r="AJ281" i="1" s="1"/>
  <c r="AI274" i="1"/>
  <c r="AI281" i="1" s="1"/>
  <c r="AJ397" i="1"/>
  <c r="AJ402" i="1" s="1"/>
  <c r="AJ410" i="1" s="1"/>
  <c r="AI402" i="1"/>
  <c r="AI410" i="1" s="1"/>
  <c r="AJ582" i="1"/>
  <c r="AJ583" i="1" s="1"/>
  <c r="AJ585" i="1" s="1"/>
  <c r="AI583" i="1"/>
  <c r="AI585" i="1" s="1"/>
  <c r="AJ754" i="1"/>
  <c r="AJ755" i="1" s="1"/>
  <c r="AI755" i="1"/>
  <c r="AJ681" i="1"/>
  <c r="AJ686" i="1" s="1"/>
  <c r="AJ688" i="1" s="1"/>
  <c r="AJ690" i="1" s="1"/>
  <c r="AI686" i="1"/>
  <c r="AI688" i="1" s="1"/>
  <c r="AI690" i="1" s="1"/>
  <c r="AJ127" i="1"/>
  <c r="AJ128" i="1" s="1"/>
  <c r="AJ138" i="1" s="1"/>
  <c r="AI128" i="1"/>
  <c r="AI138" i="1" s="1"/>
  <c r="AJ435" i="1"/>
  <c r="AJ440" i="1" s="1"/>
  <c r="AJ448" i="1" s="1"/>
  <c r="AI440" i="1"/>
  <c r="AI448" i="1" s="1"/>
  <c r="AJ769" i="1"/>
  <c r="AJ770" i="1" s="1"/>
  <c r="AI770" i="1"/>
  <c r="S43" i="1"/>
  <c r="U750" i="1"/>
  <c r="AI749" i="1"/>
  <c r="U116" i="1"/>
  <c r="U123" i="1" s="1"/>
  <c r="AI114" i="1"/>
  <c r="U510" i="1"/>
  <c r="AI507" i="1"/>
  <c r="U504" i="1"/>
  <c r="AI503" i="1"/>
  <c r="S336" i="1"/>
  <c r="U336" i="1"/>
  <c r="S323" i="1"/>
  <c r="S430" i="1"/>
  <c r="S623" i="1"/>
  <c r="Y43" i="1"/>
  <c r="Y167" i="1" s="1"/>
  <c r="W43" i="1"/>
  <c r="W167" i="1" s="1"/>
  <c r="AA43" i="1"/>
  <c r="AA167" i="1" s="1"/>
  <c r="AE43" i="1"/>
  <c r="AE167" i="1" s="1"/>
  <c r="S109" i="1"/>
  <c r="S165" i="1"/>
  <c r="S236" i="1"/>
  <c r="Z43" i="1"/>
  <c r="Z167" i="1" s="1"/>
  <c r="S585" i="1"/>
  <c r="S69" i="1"/>
  <c r="S89" i="1"/>
  <c r="S138" i="1"/>
  <c r="S299" i="1"/>
  <c r="U385" i="1"/>
  <c r="S448" i="1"/>
  <c r="U498" i="1"/>
  <c r="U583" i="1"/>
  <c r="S665" i="1"/>
  <c r="U686" i="1"/>
  <c r="AD43" i="1"/>
  <c r="AD167" i="1" s="1"/>
  <c r="U214" i="1"/>
  <c r="S259" i="1"/>
  <c r="S498" i="1"/>
  <c r="U535" i="1"/>
  <c r="S645" i="1"/>
  <c r="U770" i="1"/>
  <c r="U43" i="1"/>
  <c r="AC43" i="1"/>
  <c r="AC167" i="1" s="1"/>
  <c r="U89" i="1"/>
  <c r="U165" i="1"/>
  <c r="S191" i="1"/>
  <c r="U402" i="1"/>
  <c r="U191" i="1"/>
  <c r="U236" i="1"/>
  <c r="U274" i="1"/>
  <c r="S360" i="1"/>
  <c r="U464" i="1"/>
  <c r="S464" i="1"/>
  <c r="S385" i="1"/>
  <c r="U323" i="1"/>
  <c r="U360" i="1"/>
  <c r="S410" i="1"/>
  <c r="U430" i="1"/>
  <c r="S485" i="1"/>
  <c r="S535" i="1"/>
  <c r="S572" i="1"/>
  <c r="U572" i="1"/>
  <c r="U556" i="1"/>
  <c r="S556" i="1"/>
  <c r="U603" i="1"/>
  <c r="U623" i="1"/>
  <c r="U724" i="1"/>
  <c r="U755" i="1"/>
  <c r="U665" i="1"/>
  <c r="S688" i="1"/>
  <c r="S724" i="1"/>
  <c r="U69" i="1"/>
  <c r="U128" i="1"/>
  <c r="AG43" i="1"/>
  <c r="AG167" i="1" s="1"/>
  <c r="X43" i="1"/>
  <c r="X167" i="1" s="1"/>
  <c r="AB43" i="1"/>
  <c r="AB167" i="1" s="1"/>
  <c r="AF43" i="1"/>
  <c r="AF167" i="1" s="1"/>
  <c r="U109" i="1"/>
  <c r="U299" i="1"/>
  <c r="S123" i="1"/>
  <c r="U259" i="1"/>
  <c r="S281" i="1"/>
  <c r="S214" i="1"/>
  <c r="U485" i="1"/>
  <c r="U440" i="1"/>
  <c r="S512" i="1"/>
  <c r="S603" i="1"/>
  <c r="U645" i="1"/>
  <c r="S809" i="1"/>
  <c r="U512" i="1" l="1"/>
  <c r="AJ507" i="1"/>
  <c r="AJ510" i="1" s="1"/>
  <c r="AI510" i="1"/>
  <c r="AJ749" i="1"/>
  <c r="AJ750" i="1" s="1"/>
  <c r="AJ809" i="1" s="1"/>
  <c r="AI750" i="1"/>
  <c r="AI809" i="1" s="1"/>
  <c r="AJ503" i="1"/>
  <c r="AJ504" i="1" s="1"/>
  <c r="AI504" i="1"/>
  <c r="AJ114" i="1"/>
  <c r="AJ116" i="1" s="1"/>
  <c r="AJ123" i="1" s="1"/>
  <c r="AI116" i="1"/>
  <c r="AI123" i="1" s="1"/>
  <c r="AG387" i="1"/>
  <c r="AG811" i="1" s="1"/>
  <c r="U138" i="1"/>
  <c r="U167" i="1" s="1"/>
  <c r="V43" i="1"/>
  <c r="U448" i="1"/>
  <c r="U585" i="1"/>
  <c r="U410" i="1"/>
  <c r="U809" i="1"/>
  <c r="U281" i="1"/>
  <c r="U688" i="1"/>
  <c r="U690" i="1" s="1"/>
  <c r="S690" i="1"/>
  <c r="X387" i="1"/>
  <c r="X811" i="1" s="1"/>
  <c r="S387" i="1"/>
  <c r="AF387" i="1"/>
  <c r="AF811" i="1" s="1"/>
  <c r="AE387" i="1"/>
  <c r="AE811" i="1" s="1"/>
  <c r="AC387" i="1"/>
  <c r="AC811" i="1" s="1"/>
  <c r="S167" i="1"/>
  <c r="S587" i="1"/>
  <c r="D38" i="3"/>
  <c r="E38" i="3" s="1"/>
  <c r="Y387" i="1"/>
  <c r="Y811" i="1" s="1"/>
  <c r="AD387" i="1"/>
  <c r="AD811" i="1" s="1"/>
  <c r="Z387" i="1"/>
  <c r="Z811" i="1" s="1"/>
  <c r="AA387" i="1"/>
  <c r="AA811" i="1" s="1"/>
  <c r="AB387" i="1"/>
  <c r="AB811" i="1" s="1"/>
  <c r="W387" i="1"/>
  <c r="W811" i="1" s="1"/>
  <c r="I38" i="3" l="1"/>
  <c r="E39" i="3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AJ512" i="1"/>
  <c r="AJ587" i="1" s="1"/>
  <c r="AI512" i="1"/>
  <c r="AI587" i="1" s="1"/>
  <c r="U587" i="1"/>
  <c r="AI43" i="1"/>
  <c r="AI167" i="1" s="1"/>
  <c r="V167" i="1"/>
  <c r="U387" i="1"/>
  <c r="V387" i="1"/>
  <c r="S811" i="1"/>
  <c r="AJ43" i="1" l="1"/>
  <c r="AJ167" i="1" s="1"/>
  <c r="V811" i="1"/>
  <c r="AI387" i="1"/>
  <c r="U811" i="1"/>
  <c r="AJ387" i="1" l="1"/>
  <c r="AJ811" i="1" s="1"/>
  <c r="AI811" i="1"/>
</calcChain>
</file>

<file path=xl/sharedStrings.xml><?xml version="1.0" encoding="utf-8"?>
<sst xmlns="http://schemas.openxmlformats.org/spreadsheetml/2006/main" count="5518" uniqueCount="775">
  <si>
    <t>PLAN</t>
  </si>
  <si>
    <t>SUBT.</t>
  </si>
  <si>
    <t>ITEM</t>
  </si>
  <si>
    <t>ESTADO</t>
  </si>
  <si>
    <t>TIPO CALIDAD</t>
  </si>
  <si>
    <t>AREA DE INVERSION</t>
  </si>
  <si>
    <t xml:space="preserve">SECTOR </t>
  </si>
  <si>
    <t>PROVINCIA</t>
  </si>
  <si>
    <t>COMUNA</t>
  </si>
  <si>
    <t>cod</t>
  </si>
  <si>
    <t>PROV.</t>
  </si>
  <si>
    <t>ETAPA</t>
  </si>
  <si>
    <t>BIP</t>
  </si>
  <si>
    <t>NOMBRE DEL PROYECTO</t>
  </si>
  <si>
    <t>OBS.</t>
  </si>
  <si>
    <t xml:space="preserve"> COSTO</t>
  </si>
  <si>
    <t>PAGOS AÑOS ANTERIORES</t>
  </si>
  <si>
    <t>SALDO COMPROMISO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</si>
  <si>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</si>
  <si>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</si>
  <si>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</si>
  <si>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</si>
  <si>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</si>
  <si>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</si>
  <si>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</si>
  <si>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</si>
  <si>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</si>
  <si>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</si>
  <si>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GASTO AÑOS ANTERIORES</t>
  </si>
  <si>
    <t>PPTO FUTURO</t>
  </si>
  <si>
    <t>SITUACION ACTUAL</t>
  </si>
  <si>
    <t>COMUNA DE OSORNO</t>
  </si>
  <si>
    <t xml:space="preserve">INICIATIVAS EN EJECUCION / LIQUIDACION </t>
  </si>
  <si>
    <t>PROYECTOS</t>
  </si>
  <si>
    <t>A</t>
  </si>
  <si>
    <t>URBANO</t>
  </si>
  <si>
    <t>CONECTIVIDAD</t>
  </si>
  <si>
    <t>TRANSPORTE</t>
  </si>
  <si>
    <t>OSORNO</t>
  </si>
  <si>
    <t>FAR</t>
  </si>
  <si>
    <t>EJECUCION</t>
  </si>
  <si>
    <t>MEJORAMIENTO AVENIDA REPUBLICA</t>
  </si>
  <si>
    <t>RS(RE)</t>
  </si>
  <si>
    <t>RS</t>
  </si>
  <si>
    <t xml:space="preserve">En Ejecución </t>
  </si>
  <si>
    <t>DEFENSA Y SEGURIDAD</t>
  </si>
  <si>
    <t>LIBRE</t>
  </si>
  <si>
    <t>CONSERVACION Y EQUIP. EDIFI. CIAS. BOMBEROS 4TA;5TA Y CUARTEL GENERAL (C33)</t>
  </si>
  <si>
    <t>RS*</t>
  </si>
  <si>
    <t>SOCIAL</t>
  </si>
  <si>
    <t>EDUCACION Y CULTURA</t>
  </si>
  <si>
    <t>REPOSICION LICEO CARMELA CARVAJAL DE PRAT, OSORNO.</t>
  </si>
  <si>
    <t>REPOSICION ESCUELA RURAL WALTERIO MEYER RUSCA, AGUA BUENA, OSORNO</t>
  </si>
  <si>
    <t>DEPORTE</t>
  </si>
  <si>
    <t>MEJORAMIENTO INSTALACIONES ATLETICAS VILLA OLIMPICA, OSORNO</t>
  </si>
  <si>
    <t>JUSTICIA</t>
  </si>
  <si>
    <t>DISEÑO</t>
  </si>
  <si>
    <t>REPOSICION JUZGADOS DE POLICIA LOCAL</t>
  </si>
  <si>
    <t xml:space="preserve">TOTAL DE INICIATIVAS EN EJECUCION / LIQUIDACION </t>
  </si>
  <si>
    <t>INICIATIVAS  LICITACION / ADJUDICACION</t>
  </si>
  <si>
    <t>L</t>
  </si>
  <si>
    <t>MULTISECTORIAL</t>
  </si>
  <si>
    <t>REPOSICION HOSPEDERIA HOGAR DE CRISTO, OSORNO</t>
  </si>
  <si>
    <t>En Licitación</t>
  </si>
  <si>
    <t>VIVIENDA</t>
  </si>
  <si>
    <t>REPOSICION VEREDAS POBLACION ANGULO, COMUNA DE OSORNO</t>
  </si>
  <si>
    <t>Convenio en Tramite</t>
  </si>
  <si>
    <t>TOTAL DE INICIATIVAS  LICITACION / ADJUDICACION</t>
  </si>
  <si>
    <t>INICIATIVAS NUEVAS</t>
  </si>
  <si>
    <t>N</t>
  </si>
  <si>
    <t>REPOSICION DE VEREDAS SECTOR NORTE, OSORNO</t>
  </si>
  <si>
    <t>RESTAURACION CENTRO CULTURAL SOFIA HOTT, OSORNO</t>
  </si>
  <si>
    <t>AGUA POTABLE Y ALCANTARILLADO</t>
  </si>
  <si>
    <t>CONSTRUCCION RED DE ALCANTARILLADO Y PLANTA DE TRATAMIENTO SECTOR PICHIL, OSORNO</t>
  </si>
  <si>
    <t>REPOSICION SEXTA COMPAÑIA DE BOMBEROS</t>
  </si>
  <si>
    <t>ARI</t>
  </si>
  <si>
    <t>FRIL</t>
  </si>
  <si>
    <t>FONDO REGIONAL DE INICIATIVAS LOCAL</t>
  </si>
  <si>
    <t>RS**</t>
  </si>
  <si>
    <t xml:space="preserve">En Ejecución-ARRASTRE </t>
  </si>
  <si>
    <t>TOTAL DE INICIATIVAS NUEVAS</t>
  </si>
  <si>
    <t>TOTAL COMUNA DE  OSORNO</t>
  </si>
  <si>
    <t>COMUNA DE PUERTO OCTAY</t>
  </si>
  <si>
    <t>En Liquidación</t>
  </si>
  <si>
    <t>RURAL</t>
  </si>
  <si>
    <t>SALUD</t>
  </si>
  <si>
    <t>PTO. OCTAY</t>
  </si>
  <si>
    <t>CONSTRUCCION POSTA SALUD EL PONCHO</t>
  </si>
  <si>
    <t>FIE</t>
  </si>
  <si>
    <t>REPOSICION ESCUELA RURAL EL ISLOTE RUPANCO, PUERTO OCTAY</t>
  </si>
  <si>
    <t>En Ejecución-LICITACION</t>
  </si>
  <si>
    <t>CONSERVACION CAMINOS NO ENROLADOS 6 SECTORES RURALES COMUNA DE PUERTO OCTAY (C33)</t>
  </si>
  <si>
    <t>SUBT 29</t>
  </si>
  <si>
    <t>ADQUISICION CAMION MULTIPROPOSITO COMUNA DE PUERTO OCTAY (C33)</t>
  </si>
  <si>
    <t>TOTAL COMUNA DE  PUERTO OCTAY</t>
  </si>
  <si>
    <t>COMUNA DE PURRANQUE</t>
  </si>
  <si>
    <t>PURRANQUE</t>
  </si>
  <si>
    <t>CONSTRUCCION ESTADIO CORTE-ALTO, PURRANQUE</t>
  </si>
  <si>
    <t>REPOSICION POSTA RURAL COLONIA PONCE, PURRANQUE</t>
  </si>
  <si>
    <t>REPOSICION POSTA SALUD RURAL COLIGUAL, PURRANQUE</t>
  </si>
  <si>
    <t>REPOSICION POSTA DE SALUD RURAL HUEYUSCA, PURRANQUE</t>
  </si>
  <si>
    <t>CONSTRUCCION SERVICIO APR COLONIA PONCE, PURRANQUE</t>
  </si>
  <si>
    <t>CONSTRUCCION POSTA RURAL MANQUEMAPU - PURRANQUE</t>
  </si>
  <si>
    <t>CONSERVACION CAMINOS NO ENROLADOS COLONIA PONCE (C33)</t>
  </si>
  <si>
    <t>Convenio en Confección</t>
  </si>
  <si>
    <t>CONSERVACION VEREDAS SECTOR CENTRO SUR (C33)</t>
  </si>
  <si>
    <t>ANALISIS Y DESARROLLO PLAN MAESTRO GESTION DE TRANSITO PURRANQUE Y CORTE ALTO</t>
  </si>
  <si>
    <t>CONSERVACION VEREDAS LOCALIDAD DE CORTE ALTO (C33)</t>
  </si>
  <si>
    <t>REPOSICION DE LUMINARIAS Y EQUIPOS DEL ALUMBRADO PUBLICO, COMUNA DE PURRANQUE (C33)</t>
  </si>
  <si>
    <t>REPOSICION RETROEXCAVADORA, COMUNA PURRANQUE (C33)</t>
  </si>
  <si>
    <t>MEJORAMIENTO ESPACIO PUBLICO 21 DE MAYO, PURRANQUE</t>
  </si>
  <si>
    <t>TOTAL COMUNA DE  PURRANQUE</t>
  </si>
  <si>
    <t>COMUNA DE PUYEHUE</t>
  </si>
  <si>
    <t>PUYEHUE</t>
  </si>
  <si>
    <t>REPOSICION PARCIAL LICEO LAS AMERICAS ENTRE LAGOS</t>
  </si>
  <si>
    <t>RS(IN)</t>
  </si>
  <si>
    <t>Licitación Cerrada (01.06.20)</t>
  </si>
  <si>
    <t>REPOSICION CECOSF EL ENCANTO, COMUNA DE PUYEHUE</t>
  </si>
  <si>
    <t>ASC</t>
  </si>
  <si>
    <t>CONSERVACION CAMINOS NO ENROLADOS EN 7 SECTORES DE LA COMUNA DE PUYEHUE(C33)</t>
  </si>
  <si>
    <t>ADQUISICION EQUIPAMIENTO CIENCIAS Y EXPERIMENTACION, LICEO LAS AMERICAS (C33)</t>
  </si>
  <si>
    <t>ADQUISICION BUS PARA PACIENTES DIALIZADOS (C33)</t>
  </si>
  <si>
    <t>AMPLIACION SISTEMA AGUA POTABLE RURAL ÑADI PICHIDAMAS, PUYEHUE</t>
  </si>
  <si>
    <t>TOTAL COMUNA DE  PUYEHUE</t>
  </si>
  <si>
    <t>COMUNA DE RIO NEGRO</t>
  </si>
  <si>
    <t>RIO NEGRO</t>
  </si>
  <si>
    <t>REPOSICION PLAZA DE ARMAS RIO NEGRO</t>
  </si>
  <si>
    <t>CONSERVACION GIMNASIO FISCAL RIO NEGRO (C33)</t>
  </si>
  <si>
    <t>REPOSICION ESCUELAS ANDREW JACKSON Y RIO NEGRO, COMUNA RIO NEGRO</t>
  </si>
  <si>
    <t>CONSTRUCCION CECOSF CHIFIN</t>
  </si>
  <si>
    <t>CONSTRUCCION POSTA DE SALUD RURAL COSTA RIO BLANCO</t>
  </si>
  <si>
    <t>RSD</t>
  </si>
  <si>
    <t>REPOSICION DE CONTENEDORES (C33)</t>
  </si>
  <si>
    <t>S</t>
  </si>
  <si>
    <t>CONSTRUCCION POSTA SALUD RURAL CHAN CHAN, RIO NEGRO</t>
  </si>
  <si>
    <t>TOTAL COMUNA DE  RIO NEGRO</t>
  </si>
  <si>
    <t>COMUNA DE SAN JUAN DE LA COSTA</t>
  </si>
  <si>
    <t>RE</t>
  </si>
  <si>
    <t>En Ejecución / Reevaluación</t>
  </si>
  <si>
    <t>SAN JUAN DE LA COSTA</t>
  </si>
  <si>
    <t>REPOSICION LICEO INTERNADO ANTULAFKEN PUAUCHO</t>
  </si>
  <si>
    <t>REPOSICION CONSULTORIO DE SALUD RURAL BAHIA MANSA</t>
  </si>
  <si>
    <t>CONSTRUCCION POSTA DE SALUD RURAL PUCATRIHUE, SAN JUAN DE LA COSTA</t>
  </si>
  <si>
    <t>TOTAL COMUNA DE  SAN JUAN DE LA COSTA</t>
  </si>
  <si>
    <t>COMUNA DE SAN PABLO</t>
  </si>
  <si>
    <t>SAN PABLO</t>
  </si>
  <si>
    <t>REPOSICION POSTA RURAL LA POZA, COMUNA DE SAN PABLO</t>
  </si>
  <si>
    <t>En Licitacion</t>
  </si>
  <si>
    <t>MEJORAMIENTO ACCESO NORTE A SAN PABLO</t>
  </si>
  <si>
    <t>TOTAL COMUNA DE  SAN PABLO</t>
  </si>
  <si>
    <t>PROVINCIALES</t>
  </si>
  <si>
    <t>PROV. OSORNO</t>
  </si>
  <si>
    <t>CONSTRUCCION  RELLENO SANITARIO PROV. DE OSORNO</t>
  </si>
  <si>
    <t>REPOSICION CUARTEL POLICIAL PREFECTURA PROVINCIAL OSORNO</t>
  </si>
  <si>
    <t>MEJORAMIENTO HOSPITAL DE PTO OCTAY</t>
  </si>
  <si>
    <t>REPOSICION CENTRO COMUNITARIO SALUD MENTAL OSORNO</t>
  </si>
  <si>
    <t>MEJORAMIENTO HOSPITAL DE RIO NEGRO</t>
  </si>
  <si>
    <t>H</t>
  </si>
  <si>
    <t>AGUA POTABLE</t>
  </si>
  <si>
    <t>PREFACTIBILIDAD</t>
  </si>
  <si>
    <t>ACTUALIZACION PLAN MAESTRO DE AGUAS LLUVIAS DE OSORNO</t>
  </si>
  <si>
    <t>CONSTRUCCION PARQUE HOTT  OSORNO</t>
  </si>
  <si>
    <t>Licitación Adjudicada</t>
  </si>
  <si>
    <t>HABILITACION ESTRUCTURA MODULAR MAQUINA RX CF CARDENAL SAMORE, PUYEHUE</t>
  </si>
  <si>
    <t>Licitación Desierta</t>
  </si>
  <si>
    <t>DIAGNOSTICO INFRAESTRUCTURA PSR DE LA RED ASISTENCIAL DE OSORNO</t>
  </si>
  <si>
    <t>CONSERVACION CAMINOS BASICOS,CAMINO U-925,CARRIL-MEDIALUNA PAMPAGRANDE (C33)</t>
  </si>
  <si>
    <t xml:space="preserve">AMPLIACION AERODROMO CAÑAL BAJO </t>
  </si>
  <si>
    <t>CONSTRUCCION CENTRO DE DESPACHO Y BASE SAMU</t>
  </si>
  <si>
    <t>ADQUISICION VEHICULO APOYO LOGISTICO SERVICIO DE SALUD OSORNO (C33)</t>
  </si>
  <si>
    <t>TOTAL PROVINCIALES</t>
  </si>
  <si>
    <t>TOTAL PROVINCIA DE OSORNO</t>
  </si>
  <si>
    <t>COMUNA DE PUERTO MONTT</t>
  </si>
  <si>
    <t>LLANQUIHUE</t>
  </si>
  <si>
    <t>P. MONTT</t>
  </si>
  <si>
    <t>CONSTRUCCION PUENTE EL SARGAZO DE PTO MONTT</t>
  </si>
  <si>
    <t>CONSTRUCCION CIERRE VERTEDERO MUNICIPAL COMUNA DE PUERTO MONTT</t>
  </si>
  <si>
    <t>REPOSICION POSTA DE SALUD RURAL DE HUELMO</t>
  </si>
  <si>
    <t>REPOSICION POSTA  RURAL DE PIEDRA  AZUL, PUERTO MONTT</t>
  </si>
  <si>
    <t>REPOSICION POSTA DE SALUD RURAL DE CORRENTOSO</t>
  </si>
  <si>
    <t>ALCANTARILLADO</t>
  </si>
  <si>
    <t>CONSTRUCCION REDES AGUA POTABLE Y ALC. VILLA LOS PINOS ALTOS</t>
  </si>
  <si>
    <t>CONSERVACION CASA PAULY PUERTO MONTT</t>
  </si>
  <si>
    <t>CONSTRUCCION CUARTEL OCTAVA COMPAÑIA DE BOMBEROS, PUERTO MONTT</t>
  </si>
  <si>
    <t>MEJORAMIENTO CALLE ESPAÑA ENTRE CALLE QUEPE Y AVDA. JUAN SOLER MANFREDINI</t>
  </si>
  <si>
    <t>MEJORAMIENTO CALLE ANTONIO VARAS, PUERTO MONTT</t>
  </si>
  <si>
    <t>REPOSICION ESCUELA RURAL LAGUNITAS</t>
  </si>
  <si>
    <t>TOTAL COMUNA DE  P. MONTT</t>
  </si>
  <si>
    <t>COMUNA DE CALBUCO</t>
  </si>
  <si>
    <t>CALBUCO</t>
  </si>
  <si>
    <t>REPOSICION PARCIAL LICEO POLITECNICO DE CALBUCO</t>
  </si>
  <si>
    <t>CONSTRUCCION ESTACION DE TRANSFERENCIA LA CAMPANA, CALBUCO</t>
  </si>
  <si>
    <t>ESTUDIOS</t>
  </si>
  <si>
    <t>ACTUALIZACION PLAN REGULADOR COMUNAL CALBUCO (C33)</t>
  </si>
  <si>
    <t>CONSTRUCCION PAVIMENTO CALLE SAN ANDRES Y LOS TULIPANES</t>
  </si>
  <si>
    <t>CONSTRUCCION PAVIMENTO CALLE CONDELL, FRAGATA COCHRANE Y LAS VERTIENTES</t>
  </si>
  <si>
    <t>CONSTRUCCION SERVICIO AGUA POTABLE RURAL ISLA QUENU</t>
  </si>
  <si>
    <t>CONSTRUCCION SERVICIO AGUA POTABLE RURAL LA CAMPANA</t>
  </si>
  <si>
    <t>TOTAL COMUNA DE  CALBUCO</t>
  </si>
  <si>
    <t>COMUNA DE COCHAMO</t>
  </si>
  <si>
    <t>COCHAMO</t>
  </si>
  <si>
    <t>REPOSICION POSTA DE SALUD RURAL PASO EL LEON, COCHAMO</t>
  </si>
  <si>
    <t>CONSTRUCCION GIMNASIO LLANADA GRANDE</t>
  </si>
  <si>
    <t>CONSTRUCCION ESTADIO MUNICIPAL DE COCHAMO</t>
  </si>
  <si>
    <t>REPOSICION ESCUELA JUAN SOLER MANFREDINI, COCHAMO</t>
  </si>
  <si>
    <t>FDL</t>
  </si>
  <si>
    <t>CONSTRUCCION SISTEMA APR DE LLAGUEPE</t>
  </si>
  <si>
    <t>REPOSICION ESCUELA LLANADA GRANDE</t>
  </si>
  <si>
    <t>ENERGIA</t>
  </si>
  <si>
    <t>CONSTRUCCION SUM. ENERGIA FOTOVOLTAICA  EL MANSO-L V GORMAZ-L T. TAGUA-LOS GUINDOS, COCHAMO</t>
  </si>
  <si>
    <t>REPOSICION POSTA DE SALUD RURAL LLANADA GRANDE, COMUNA DE COCHAMO</t>
  </si>
  <si>
    <t>REPOSICION CUARTEL PRIMERA COMPAÑIA DE BOMBEROS DE RIO PUELO</t>
  </si>
  <si>
    <t>TOTAL COMUNA DE  COCHAMO</t>
  </si>
  <si>
    <t>COMUNA DE FRESIA</t>
  </si>
  <si>
    <t>FRESIA</t>
  </si>
  <si>
    <t>REPOSICION POSTA DE SALUD RURAL EL TRAIGUEN, FRESIA</t>
  </si>
  <si>
    <t>CONSTRUCCION APR EL MAÑIO</t>
  </si>
  <si>
    <t>CONSTRUCCION ESTADIO MUNICIPAL ANFUR, COMUNA DE FRESIA</t>
  </si>
  <si>
    <t>MEJORAMIENTO DIVERSAS CALLES, COMUNA DE FRESIA</t>
  </si>
  <si>
    <t>CONSERVACION CAMINOS NO ENROLADOS, DIVERSOS SECTORES DE FRESIA (C33)</t>
  </si>
  <si>
    <t>REPOSICION GANCHOS Y LUMINARIAS COMUNA DE FRESIA (C33)</t>
  </si>
  <si>
    <t>MEJORAMIENTO DIVERSAS CALLES FRESIA (EL RINCON - RIO LLICO - TEODORO SCHAFER)</t>
  </si>
  <si>
    <t>TOTAL COMUNA DE  FRESIA</t>
  </si>
  <si>
    <t>COMUNA DE FRUTILLAR</t>
  </si>
  <si>
    <t>FRUTILLAR</t>
  </si>
  <si>
    <t>CONSTRUCCION RED DE APR SECTOR VILLA ALEGRE</t>
  </si>
  <si>
    <t>CONSTRUCCION CALLE NUEVA NUEVE DE FRUTILLAR</t>
  </si>
  <si>
    <t>CONSTRUCCION SISTEMA DE APR SECT. LOS RADALES, COMUNA FRUTILLAR</t>
  </si>
  <si>
    <t>CONSTRUCCION SERVICIO DE APR SECTOR PICHILOPEZ, FRUTILLAR</t>
  </si>
  <si>
    <t>CONSTRUCCION RED DE AGUA POTABLE SECTOR PEDERNAL, COMUNA FRUTILLAR</t>
  </si>
  <si>
    <t>REPOSICION ESCUELA ARTURO ALESSANDRI PALMA FRUTILLAR</t>
  </si>
  <si>
    <t>CONSERVACION CAMINOS NO ENROLADOS 5 SECTORES RURALES DE LA COMUNA DE FRUTILLAR(C33)</t>
  </si>
  <si>
    <t>CONSTRUCCION SERVICIO DE APR SECTOR BALMACEDA-PARAGUAY, FRUTILLAR</t>
  </si>
  <si>
    <t>AMPLIACION RED APR SECTOR CASMA, FRUTILLAR</t>
  </si>
  <si>
    <t>TOTAL COMUNA DE  FRUTILLAR</t>
  </si>
  <si>
    <t>COMUNA DE LLANQUIHUE</t>
  </si>
  <si>
    <t>CONSTRUCCION APR COLEGUAL ESPERANZA, LLANQUIHUE</t>
  </si>
  <si>
    <t>MEJORAMIENTO ESPACIO PUBLICO HUMEDAL EL LOTO, LLANQUIHUE</t>
  </si>
  <si>
    <t>REPOSICION Y MEJORAMIENTO LUMINARIAS PUBLICA COMUNA DE LLANQUIHUE (C33)</t>
  </si>
  <si>
    <t>TOTAL COMUNA DE  LLANQUIHUE</t>
  </si>
  <si>
    <t>COMUNA DE LOS MUERMOS</t>
  </si>
  <si>
    <t>LOS MUERMOS</t>
  </si>
  <si>
    <t>MEJORAMIENTO SISTEMA APR CAÑITAS-RIO FRIO, LOS MUERMOS</t>
  </si>
  <si>
    <t>CONSTRUCCION SERVICIO APR SECTOR CUESTA LA VACA, C LOS MUERMOS</t>
  </si>
  <si>
    <t>SS</t>
  </si>
  <si>
    <t>CONSTRUCCION SERVICIO APR SAN CARLOS EL ÑADY</t>
  </si>
  <si>
    <t>CONSERVACION VEREDAS SECTOR LOS MUERMOS  (C33)</t>
  </si>
  <si>
    <t>CONSTRUCCION SERVICIO APR SANTA AMANDA, LOS MUERMOS</t>
  </si>
  <si>
    <t>CONSTRUCCION CIERRE EX VERTEDERO MUNICIPAL LOS MUERMOS</t>
  </si>
  <si>
    <t>Licitación Cerrada (15.06.20)</t>
  </si>
  <si>
    <t>MEJORAMIENTO CALLE MANUEL MONTT BARRIO COMERCIAL</t>
  </si>
  <si>
    <t>Licitación Adjudicada (29.05.20)</t>
  </si>
  <si>
    <t>CONSERVACION VEREDAS SECTOR CANITAS Y RIO FRIO (C33)</t>
  </si>
  <si>
    <t>AMPLIACION Y REMODELACION INTEGRAL CONSISTORIAL LOS MUERMOS</t>
  </si>
  <si>
    <t>HABILITACION SUMINISTRO ENERGIA ELECTRICA VARIOS SECTORES, LOS MUERMOS</t>
  </si>
  <si>
    <t>REPOSICION CUARTEL GENERAL Y PRIMERA COMPAÑIA DE BOMBEROS</t>
  </si>
  <si>
    <t>TOTAL COMUNA DE  LOS MUERMOS</t>
  </si>
  <si>
    <t>COMUNA DE MAULLIN</t>
  </si>
  <si>
    <t>MAULLIN</t>
  </si>
  <si>
    <t>HABILITACION SUMINISTRO DE ENERGIA ELECTRICA SECTOR QUEMAS DE CHUYAQUEN, MAULLIN</t>
  </si>
  <si>
    <t>REPOSICION EQUIPOS DE ALUMBRADO PUBLICO CON TECNOLOGIA LED (C33)</t>
  </si>
  <si>
    <t>CONSTRUCCION GIMNASIO TEN TEN</t>
  </si>
  <si>
    <t>REPOSICION ESCUELA JOSE ABELARDO NUÑEZ</t>
  </si>
  <si>
    <t>REPOSICION CANCHA LEPIHUE</t>
  </si>
  <si>
    <t>TOTAL COMUNA DE  MAULLIN</t>
  </si>
  <si>
    <t>COMUNA DE PUERTO VARAS</t>
  </si>
  <si>
    <t>P.VARAS</t>
  </si>
  <si>
    <t>REPOSICION ESTADIO EWALDO KLEIN DE PUERTO VARAS</t>
  </si>
  <si>
    <t>MEJORAMIENTO CALLE TERRAPLEN, PUERTO VARAS</t>
  </si>
  <si>
    <t>MEJORAMIENTO CALLE SAN MARTIN, PUERTO VARAS</t>
  </si>
  <si>
    <t>REPOSICION ESCUELA EPSON ENSENADA</t>
  </si>
  <si>
    <t>CONSERVACION VIAS URBANAS PUERTO VARAS (C33)</t>
  </si>
  <si>
    <t>ADQUISICION EQUIPAMIENTO ESTABLECIMIENTOS EDUCACIONALES, PTO VARAS(C33)</t>
  </si>
  <si>
    <t>INICIATIVAS LICITACION / ADJUDICACION</t>
  </si>
  <si>
    <t>REPOSICION CUARTEL SEXTA COMPAÑIA DE BOMBEROS</t>
  </si>
  <si>
    <t>MEJORAMIENTO CALLE Y PASAJE LA QUEBRADA</t>
  </si>
  <si>
    <t>CONSERVACION ACERAS DIVERSOS SECTORES DE PUERTO VARAS (C33)</t>
  </si>
  <si>
    <t>DIAGNOSTICO SISTEMA DE TRANSPORTE URBANO CIUDAD DE PUERTO VARAS, ETAPA I</t>
  </si>
  <si>
    <t>MEJORAMIENTO PARQUE CERRO PHILIPPI PUERTO VARAS</t>
  </si>
  <si>
    <t>TOTAL COMUNA DE  P.VARAS</t>
  </si>
  <si>
    <t>PV</t>
  </si>
  <si>
    <t>PROV.LLANQUIHUE</t>
  </si>
  <si>
    <t>MEJORAMIENTO RUTA V 69 SECTOR RALUN COCHAMO</t>
  </si>
  <si>
    <t>CONSTRUCCION Y HABILITACION CENTRO DE DIALISIS HOSPITAL DE CALBUCO</t>
  </si>
  <si>
    <t>CONSERVACION RED VIAL DE VARIOS CAMINOS PAVIMENTADOS AÑO 2013 (C33)</t>
  </si>
  <si>
    <t>RESTAURACION IGLESIA N. SRA. DE LA CANDELARIA (MN), CARELMAPU</t>
  </si>
  <si>
    <t>ACTUALIZACION PLAN MAESTRO DE AGUAS LLUVIAS DE PTO. MONTT</t>
  </si>
  <si>
    <t>MEJORAMIENTO CALLE EL TENIENTE BARRIO INDUSTRIAL</t>
  </si>
  <si>
    <t>CONSTRUCCION INTERTERRAZAS PUERTO MONTT, ETAPA I</t>
  </si>
  <si>
    <t>REPOSICION CUARTEL INVESTIGACIONES PUERTO VARAS</t>
  </si>
  <si>
    <t>ADQUISICION VEHICULOS POLICIALES PARA PATRULLAS ANTI-ABIGEATOS PROVINCIA DE LLANQUIHUE (C33)</t>
  </si>
  <si>
    <t>CONSERVACION PERIODICA CAMINOS VECINALES CALBUCO Y MAULLIN 2020-2021(C33)</t>
  </si>
  <si>
    <t>ADQUISICION MAQUINA COMPACTADORA PARA RELLENO SANITARIO LA LAJA (C33)</t>
  </si>
  <si>
    <t>TURISMO</t>
  </si>
  <si>
    <t>INDUSTRIA, COMERCIO, FINANZAS Y TURISMO</t>
  </si>
  <si>
    <t>MEJORAMIENTO SENDERO SALTOS DEL PETROHUE, P. NACIONAL VIC. PEREZ ROSALES, PUERTO VARAS</t>
  </si>
  <si>
    <t>Licitación Cerrada (08.06.20)</t>
  </si>
  <si>
    <t>TOTAL PROVINCIA DE LLANQUIHUE</t>
  </si>
  <si>
    <t>COMUNA DE ANCUD</t>
  </si>
  <si>
    <t>CHILOE</t>
  </si>
  <si>
    <t>ANCUD</t>
  </si>
  <si>
    <t>AMPLIACION SERVICIO APR BAHIA LINAO HACIA HUAPILINAO Y R.NEGRO,ANCUD</t>
  </si>
  <si>
    <t>REPOSICION CENTRO REHABILITACION CLUB DE LEONES COMUNA DE ANCUD</t>
  </si>
  <si>
    <t>CONSTRUCCION SISTEMA DE APR SECTOR CAULIN LA CUMBRE, ANCUD</t>
  </si>
  <si>
    <t>CONSTRUCCION REDES DE AP Y ALC. DE AGUAS SERVIDAS DIVERSOS SECTORES CIUDAD DE ANCUD</t>
  </si>
  <si>
    <t>REPOSICION POSTA SALUD RURAL DE MANAO, COMUNA DE ANCUD</t>
  </si>
  <si>
    <t>CONSTRUCCION RED APR PUMANZANO, ANCUD</t>
  </si>
  <si>
    <t>CONSTRUCCION RED DE AGUA POTABLE Y ALCANTARILLADO CALLE EL CERRO Y PASAJE 1 CAUCUMEO</t>
  </si>
  <si>
    <t>AMPLIACION SALA PSICOMOTRIZ Y HABITOS FISICOS</t>
  </si>
  <si>
    <t>DIAGNOSTICO FORTIFICACIONES DE ANCUD</t>
  </si>
  <si>
    <t>ENERGIZACION</t>
  </si>
  <si>
    <t>HABILITACION Y SUMINISTRO DE ENERGIA ELECTRICA SECTOR KM 26 Y 27, COMUA DE ANCUD</t>
  </si>
  <si>
    <t>TOTAL COMUNA DE  ANCUD</t>
  </si>
  <si>
    <t>COMUNA DE CASTRO</t>
  </si>
  <si>
    <t>CASTRO</t>
  </si>
  <si>
    <t>CONSERVACION VEREDAS CASTRO ALTO, COMUNA DE CASTRO (C33)</t>
  </si>
  <si>
    <t>REPOSICION ESCUELA DE LA CULTURA, FRIDOLINA BARRIENTOS, CASTRO</t>
  </si>
  <si>
    <t>CONSERVACION CAMINOS ISLA QUEHUI, COMUNA DE CASTRO (C33)</t>
  </si>
  <si>
    <t>FOMENTO PRODUCTIVO</t>
  </si>
  <si>
    <t>CONSERVACION FERIA LILLO COMUNA CASTRO (C33)</t>
  </si>
  <si>
    <t>REPOSICION POSTA DE SALUD RURAL DE LA ISLA CHELIN, CASTRO</t>
  </si>
  <si>
    <t>MEJORAMIENTO URBANISTICO AVENIDA O´HIGGINS Y AVENIDA SAN MARTIN CASTRO</t>
  </si>
  <si>
    <t>REPOSICION MUSEO MUNICIPAL Y BIBLIOTECA PUBLICA</t>
  </si>
  <si>
    <t>CONSERVACION CAMINOS RURALES Y URBANOS SECTOR TEN TEN Y LA CHACRAN (C33)</t>
  </si>
  <si>
    <t>REPOSICION CAMIONES Y CONTENEDORES COMUNA DE CASTRO (C33)</t>
  </si>
  <si>
    <t>TOTAL COMUNA DE  CASTRO</t>
  </si>
  <si>
    <t>COMUNA DE CHONCHI</t>
  </si>
  <si>
    <t>CHONCHI</t>
  </si>
  <si>
    <t>CONSTRUCCION CUARTEL 2° COMPAÑIA BOMBEROS DE LA COMUNA DE CHONCHI</t>
  </si>
  <si>
    <t>REPOSICION POSTA SALUD RURAL CUCAO, COMUNA CHONCHI</t>
  </si>
  <si>
    <t>CONSERVACION CAMINOS NO ENROLADOS COMUNA DE CHONCHI (C33)</t>
  </si>
  <si>
    <t>ACTUALIZACION PLAN REGULADOR COMUNA DE CHONCHI (C33)</t>
  </si>
  <si>
    <t>PMB</t>
  </si>
  <si>
    <t>MEJORAMIENTO Y AMPLIACION  APR DE HUILLINCO</t>
  </si>
  <si>
    <t>REPOSICION ESCUELA RURAL DE QUITRIPULLI COMUNA DE CHONCHI</t>
  </si>
  <si>
    <t>ADQUISICION DE CONTENEDORES RESIDUOS SOLIDOS DOMICILIARIOS CHONCHI URBANO (C33)</t>
  </si>
  <si>
    <t>REPOSICION E ILUMINACION DE GARITAS EN DIVERSOS SECTORES DE LA COMUNA DE CHONCHI</t>
  </si>
  <si>
    <t>TOTAL COMUNA DE  CHONCHI</t>
  </si>
  <si>
    <t>COMUNA DE CURACO DE VELEZ</t>
  </si>
  <si>
    <t>CURACO DE VÉLEZ</t>
  </si>
  <si>
    <t>REPOSICION POSTA DE SALUD DE PALQUI</t>
  </si>
  <si>
    <t>REPOSICION ESTADIO MUNICIPAL CURACO DE VELEZ</t>
  </si>
  <si>
    <t>Convenio en confección</t>
  </si>
  <si>
    <t>TOTAL COMUNA DE  C.VELEZ</t>
  </si>
  <si>
    <t>COMUNA DE DALCAHUE</t>
  </si>
  <si>
    <t>DALCAHUE</t>
  </si>
  <si>
    <t>CONSTRUCCION GIMNASIO TENAUN</t>
  </si>
  <si>
    <t>CONSTRUCCION REDES DE AP Y ALCANT. DIVERSOS SECTORES CIUDAD DALCAHUE</t>
  </si>
  <si>
    <t>PIR</t>
  </si>
  <si>
    <t>CONSTRUCCION SISTEMA APR SECTOR BUTALCURA</t>
  </si>
  <si>
    <t>CONSTRUCCION RECINTO DEPORTIVO SECTOR MOCOPULLI, COMUNA DE DALCAHUE</t>
  </si>
  <si>
    <t>Licitacion Cerrada (05.06.20)</t>
  </si>
  <si>
    <t>REPOSICION ESCUELA TEHUACO - QUETALCO COMUNA DE DALCAHUE</t>
  </si>
  <si>
    <t>MEJORAMIENTO INTEGRAL ESCUELA BASICA DE DALCAHUE</t>
  </si>
  <si>
    <t>MEJORAMENTO 5 VIAS DE LA CIUDAD DE DALCAHUE</t>
  </si>
  <si>
    <t>REPOSICION POSTA DE SALUD RURAL DE TENAUN</t>
  </si>
  <si>
    <t>TOTAL COMUNA DE  DALCAHUE</t>
  </si>
  <si>
    <t>COMUNA DE PUQUELDON</t>
  </si>
  <si>
    <t>PUQUELDON</t>
  </si>
  <si>
    <t>NORMALIZACION CONSULTORIO RURAL PUQUELDON</t>
  </si>
  <si>
    <t>CONSERVACION CAMINOS  VECINALES EN 9 SECTORES RURALES - COMUNA DE PUQUELDON (C33)</t>
  </si>
  <si>
    <t>TOTAL COMUNA DE  PUQUELDON</t>
  </si>
  <si>
    <t>COMUNA DE QUEILEN</t>
  </si>
  <si>
    <t>QUEILEN</t>
  </si>
  <si>
    <t>REPOSICION POSTA DE SALUD RURAL DE PIO PIO, COMUNA DE QUEILEN</t>
  </si>
  <si>
    <t>CONSERVACION GIMNASIO MUNICIPAL COMUNA DE QUEILEN (C33)</t>
  </si>
  <si>
    <t>MEJORAMIENTO INTEGRAL ESTADIO MUNICIPAL DE QUEILEN</t>
  </si>
  <si>
    <t>ADQUISICION SISTEMA DE ILUMINACION AERODROMO (C33)</t>
  </si>
  <si>
    <t>TOTAL COMUNA DE  QUEILEN</t>
  </si>
  <si>
    <t>COMUNA DE QUELLON</t>
  </si>
  <si>
    <t>QUELLON</t>
  </si>
  <si>
    <t>REPOSICION ESCUELA RURAL DE COINCO</t>
  </si>
  <si>
    <t>REPOSICION ESCUELA RURAL DE COMPU, COMUNA DE QUELLON</t>
  </si>
  <si>
    <t>CONSTRUCCION MULTICANCHA CERRADA FRANCISCO COLOANE COMUNA DE QUELLON</t>
  </si>
  <si>
    <t>Licitación Cerrada (12.06.20)</t>
  </si>
  <si>
    <t>CONSTRUCCION SISTEMA APR ISLA LAITEC, QUELLON</t>
  </si>
  <si>
    <t>CONSTRUCCION GIMNASIO ESCUELA ORIENTE DE QUELLON</t>
  </si>
  <si>
    <t>AMPLIACION DE RED PUBLICA SIST. DE AGUA POTABLE Y ALCA. SECTOR ALCAZAR</t>
  </si>
  <si>
    <t>CONSTRUCCION SISTEMA APR SECTORES CHAILDAD-CHANCO-YATEHUE, QUELLON</t>
  </si>
  <si>
    <t>ADQUISICION CAMIONES RECOLECTORES Y CONTENEDORES RSD, QUELLON (C33)</t>
  </si>
  <si>
    <t>REPOSICION MOTONIVELADORA (C33)</t>
  </si>
  <si>
    <t>TOTAL COMUNA DE  QUELLON</t>
  </si>
  <si>
    <t>COMUNA DE QUEMCHI</t>
  </si>
  <si>
    <t>QUEMCHI</t>
  </si>
  <si>
    <t>CONSERVACION CAMINOS ISLA BUTACHAUQUES (C33)</t>
  </si>
  <si>
    <t>CONSERVACION CAMINOS RURALES SECTOR SUR (C33)</t>
  </si>
  <si>
    <t>CONSERVACION CAMINOS ISLA MECHUQUE (C33)</t>
  </si>
  <si>
    <t>CONSTRUCCION ESTADIO MUNICIPAL DE QUEMCHI (SALDO)</t>
  </si>
  <si>
    <t>REPOSICION POSTA DE SALUD RURAL VOIGUE</t>
  </si>
  <si>
    <t>CONSERVACION CAMINOS ISLA CAUCAHUE (C33)</t>
  </si>
  <si>
    <t>REPOSICION DOS CAMIONES RECOLECTORES DE BASURA Y ADQUISICION DE UN CAMION RECOLECTOR PARA SECTORES INSULARES (C33)</t>
  </si>
  <si>
    <t>CONSTRUCCION SALA DE REHABILITACION KINESICA CESFAM</t>
  </si>
  <si>
    <t>TOTAL COMUNA DE  QUEMCHI</t>
  </si>
  <si>
    <t>COMUNA DE QUINCHAO</t>
  </si>
  <si>
    <t>QUINCHAO</t>
  </si>
  <si>
    <t>REPOSICION POSTA DE SALUD RURAL VILLA CHAULINEC</t>
  </si>
  <si>
    <t>CONSERVACION DE VEREDAS SECTOR CENTRO DE ACHAO (C33)</t>
  </si>
  <si>
    <t>CONSTRUCCION PUNTO DE POSADA ISLA MEULIN, QUINCHAO</t>
  </si>
  <si>
    <t>TOTAL COMUNA DE  QUINCHAO</t>
  </si>
  <si>
    <t>PROV. CHILOE</t>
  </si>
  <si>
    <t>CONSTRUCCION COMPLEJO DEPORTIVO CANCHA RAYADA</t>
  </si>
  <si>
    <t>NORMALIZACION HOSPITAL DE QUELLON, PROVINCIA DE CHILOE</t>
  </si>
  <si>
    <t>CONSERVACION CAMINOS VECINALES POR GLOSA , ETAPA I PROVINCIA DE CHILOE (C33)</t>
  </si>
  <si>
    <t>NORMALIZACION HOSPITAL DE ANCUD</t>
  </si>
  <si>
    <t>TOTAL  PROVINCIALES</t>
  </si>
  <si>
    <t>TOTAL PROVINCIA DE CHILOE</t>
  </si>
  <si>
    <t>COMUNA DE CHAITEN</t>
  </si>
  <si>
    <t>PALENA</t>
  </si>
  <si>
    <t>CHAITEN</t>
  </si>
  <si>
    <t>REPOSICION EDIFICIO MUNICIPAL DE CHAITEN</t>
  </si>
  <si>
    <t>En Licitación (20.07.20)</t>
  </si>
  <si>
    <t>CONSTRUCCION CONEXION VIAL ISLA TALCAN ARCH. DESERTORES,CHAITEN</t>
  </si>
  <si>
    <t>REPOSICION EQUIPOS LUMINARIAS ALUMBRADO PUBLICO CHAITEN URBANO (C33)</t>
  </si>
  <si>
    <t>TOTAL COMUNA DE  CHAITEN</t>
  </si>
  <si>
    <t>COMUNA DE FUTALEUFU</t>
  </si>
  <si>
    <t>FUTALEUFU</t>
  </si>
  <si>
    <t>AMPLIACION ESCUELA BASICA  FUTALEUFU PARA EDUCACION MEDIA</t>
  </si>
  <si>
    <t>REPOSICION GIMNASIO MUNICIPAL DE FUTALEUFU</t>
  </si>
  <si>
    <t>CONSTRUCCION TERMINAL DE BUSES DE FUTALEUFU</t>
  </si>
  <si>
    <t>CONSTRUCCION PARQUE MUNICIPAL DE FUTALEUFU</t>
  </si>
  <si>
    <t>ANALISIS ESTUDIO PLAN REGULADOR COMUNAL DE FUTALEUFU (C33)</t>
  </si>
  <si>
    <t>ADQUISICION EQUIPOS Y EQUIPAMIENRO PARA HABILITACION MUNICIPALIDAD(C33)</t>
  </si>
  <si>
    <t>TOTAL COMUNA DE  FUTALEUFU</t>
  </si>
  <si>
    <t>COMUNA DE HUALAIHUE</t>
  </si>
  <si>
    <t>S-PV</t>
  </si>
  <si>
    <t>HUALAIHUE</t>
  </si>
  <si>
    <t>REPOSICION POSTA SALUD RURAL AULEN</t>
  </si>
  <si>
    <t>CONSERVACION GIMNASIO ESCUELA SEMILLERO ROLECHA(C33)</t>
  </si>
  <si>
    <t>CONSERVACION CAMINOS VECINALES GLOSA 7,COMUNA HUALAIHUE, PROV. PALENA(C33)</t>
  </si>
  <si>
    <t>En Ejecución</t>
  </si>
  <si>
    <t>CONSTRUCCION SISTEMA AGUA POTABLE EL MANZANO</t>
  </si>
  <si>
    <t>CONSTRUCCION SISTEMA AGUA POTABLE PUNTILLA PICHICOLO</t>
  </si>
  <si>
    <t>CONSTRUCCION SISTEMA AGUA POTABLE CHOLGO</t>
  </si>
  <si>
    <t>AS</t>
  </si>
  <si>
    <t>CONSTRUCCION SUMINISTRO E. ELECTRICA FOTOVOLTAICA LOC. DE QUIACA-ISLA LLANCAHUE</t>
  </si>
  <si>
    <t>ADQUISICION SISTEMA DE ILUMINACION PAD. RIO NEGRO HORNOPIREN(C33)</t>
  </si>
  <si>
    <t>ADQUISICION Y REPOSICION VEHICULOS Y MAQUINARIA CAMINOS VECINALES (C33)</t>
  </si>
  <si>
    <t>TOTAL COMUNA DE  HUALAIHUE</t>
  </si>
  <si>
    <t>COMUNA DE PALENA</t>
  </si>
  <si>
    <t>MEJORAMIENTO CIRCUITO PEATONAL HISTORICO COMUNA DE PALENA</t>
  </si>
  <si>
    <t>CONSTRUCCION BODEGA Y GALPON MUNICIPAL</t>
  </si>
  <si>
    <t>REPOSICION Y AMPLIACION CUARTEL 1° COMPAÑIA DE BOMBEROS DE PALENA</t>
  </si>
  <si>
    <t>CONSERVACION VEREDAS CALLES DE PALENA (C33)</t>
  </si>
  <si>
    <t>ACTUALIZACION PLAN REGULADOR COMUNA DE PALENA (C33)</t>
  </si>
  <si>
    <t>HABILITACION SUMINISTRO ENERGIA ELECTRICA SECTOR EL TIGRE, PALENA</t>
  </si>
  <si>
    <t>CONSTRUCCION CONEXION VIAL SECTOR PALENA - LAGO PALENA</t>
  </si>
  <si>
    <t>TOTAL COMUNA DE  PALENA</t>
  </si>
  <si>
    <t>PROV. PALENA</t>
  </si>
  <si>
    <t>CONSTRUCCION CAMINO RUTA  W 807 SECTOR PUENTE NEGRO PTE. AQUELLAS</t>
  </si>
  <si>
    <t>CONSERVACION PERIODICA, CAMINO BASICO ROL W-813 Y ROL W-815 (C33)</t>
  </si>
  <si>
    <t>REPOSICION TERMINAL PORTUARIO DE CHAITEN</t>
  </si>
  <si>
    <t>DIAGNOSTICO DIVERSOS SECTORES EN ISLAS DESERTORES (C33)</t>
  </si>
  <si>
    <t>ADQUISICION EQUIPOS Y EQUIPAMIENTO PARA HOSPITALES PROVINCIA DE PALENA (C33)</t>
  </si>
  <si>
    <t>MEJORAMIENTO HOSPITAL DE  CHAITEN.</t>
  </si>
  <si>
    <t>MEJORAMIENTO RUTA 235-CH SECTOR V. S. LUCIA-P. RAMIREZ, PROV. PALENA</t>
  </si>
  <si>
    <t>AMPLIACION AREA DE MOVIMIENTO PEQUEÑO AERODROMO ALTO PALENA</t>
  </si>
  <si>
    <t>ADQUISICION LANCHA POLICIAL TENENCIA HORNOPIREN, COMUNA HUALAIHUE(C33)</t>
  </si>
  <si>
    <t>MEJORAMIENTO AREA DE MOVIMIENTO PEQUEÑO AERODROMO AYACARA</t>
  </si>
  <si>
    <t>ADQUISICION EQUIPOS GPS BIENES NACIONALES PALENA (C33)</t>
  </si>
  <si>
    <t>TOTAL PROVINCIA DE PALENA</t>
  </si>
  <si>
    <t>REGIONALES</t>
  </si>
  <si>
    <t>REGIONAL</t>
  </si>
  <si>
    <t>AMPLIACION Y MEJORAMIENTO INSTITUTO TELETON</t>
  </si>
  <si>
    <t>ADQUISICION EQUIPOS Y EQUIPAMIENTO PARA HABILITACION PABELLON CMA (C33)</t>
  </si>
  <si>
    <t>SUBSIDIO PRIVADO</t>
  </si>
  <si>
    <t>SUTBT 24</t>
  </si>
  <si>
    <t>SUBSIDIO OPERACION SISTEMA DE AUTOGENERACION DE ENERGIA EN ZONAS AISLADAS</t>
  </si>
  <si>
    <t>RS***</t>
  </si>
  <si>
    <t>6% PRIVADO</t>
  </si>
  <si>
    <t>APLICACION NUMERAL 2.1 GLOSA COMUN PARA GOBIERNOS REGIONALES-PRIVADO</t>
  </si>
  <si>
    <t>SUBSIDIO PUBLICO</t>
  </si>
  <si>
    <t>MUNICIPALIDADES-SUBSIDIO OPERACION SISTEMA DE AUTOGENERACION DE ENERGIA EN ZONAS AISLADAS</t>
  </si>
  <si>
    <t>6% MUNICIPAL</t>
  </si>
  <si>
    <t>APLICACION NUMERAL 2.1 GLOSA COMUN PARA GOBIERNOS REGIONALES-PUBLICO</t>
  </si>
  <si>
    <t>APORTE BOMBERO</t>
  </si>
  <si>
    <t>TRANSFERENCIA ADQUISICION 12 CARROS Y 9 CAMIONETAS BOMBEROS - APORTE BOMBEROS REGION DE LOS LAGOS</t>
  </si>
  <si>
    <t>ACTUALIZACION ESTRATEGIA DE DESARROLLO REGION DE LOS LAGOS</t>
  </si>
  <si>
    <t>CHATARRIZACION</t>
  </si>
  <si>
    <t>TRANSFERENCIA PROGRAMA RENOVACION FLOTA LOCOMOCION COLECTIVA</t>
  </si>
  <si>
    <t>CONSERVACION DIVERSOS CAMINOS DE RIPIO, REGION DE LOS LAGOS, AÑO 2020-2021 (C33)</t>
  </si>
  <si>
    <t>CONSTRUCCION BIBLIOTECA REGIONAL LOS LAGOS, PUERTO MONTT</t>
  </si>
  <si>
    <t>CONSERVACION PER. CAM. VEC., C DE CALBUCO, HUALAIHUE Y PALENA REG. DE LOS LAGOS, 2020 - 2021(C33)</t>
  </si>
  <si>
    <t>MEJORAMIENTO AREAS EXTERIORES Y OBRAS COMPLEMENTARIAS CENTRO ADMINISTRACION REGIONAL</t>
  </si>
  <si>
    <t>REPOSICION MOTOS TODO TERRENO PARA LOS CUARTES OPERATIVOS TERRITORIALES DE LOS LAGOS(C33)</t>
  </si>
  <si>
    <t>REPOSICION VEHICULOS POLICIALES UNIDADES Y DESTACAMENTO DE LA REGION DE LOS LAGOS(C33)</t>
  </si>
  <si>
    <t>ADQUISICION EQUIPOS PARA ANALISIS EVIDENCIA INFORMATICA Y DIGITAL POLICIAL LOS LAGOS(C33)</t>
  </si>
  <si>
    <t>REPOSICION VEHICULOS PDI, REGION DE LOS LAGOS(C33)</t>
  </si>
  <si>
    <t>DIAGNOSTICO PLAN MARCO DE DESARROLLO TERRITORIAL (PMDT) TERRITORIO NORTE Y PIRDT</t>
  </si>
  <si>
    <t>CONSERVACION DE LA RED VIAL PAV., PROV. LLANQUIHUE Y OSORNO, REG. DE LOS LAGOS 2020-2021(C33)</t>
  </si>
  <si>
    <t>ANALISIS Y DET. DE BRECHAS A.P. Y ALC. PROV. OSORNO Y LLANQUIHUE</t>
  </si>
  <si>
    <t>ACTUALIZACION MODIFICACION Y REESTRUCTURACION DE LA PROPUESTA PROT (C33)</t>
  </si>
  <si>
    <t>TOTAL REGIONAL</t>
  </si>
  <si>
    <t>PRESUPUESTO PROGRAMAS</t>
  </si>
  <si>
    <t>PROGRAMA DE REACTIVACION ECONOMICA</t>
  </si>
  <si>
    <t>Por Iniciar Tramite DIPRES</t>
  </si>
  <si>
    <t>R</t>
  </si>
  <si>
    <t>TRANSF. SS.PP.</t>
  </si>
  <si>
    <t>FOMENTO</t>
  </si>
  <si>
    <t>SERCOTEC</t>
  </si>
  <si>
    <t>RECUPERACION ECONOMICA MICROEMPRESAS LOS LAGOS (REACTIVATE)</t>
  </si>
  <si>
    <t>En Toma de Razon CGR</t>
  </si>
  <si>
    <t>FUNCHI</t>
  </si>
  <si>
    <t>RECUPERACION ECONOMICA A TRAVES DE MICROEMPRESAS FAMILIARES</t>
  </si>
  <si>
    <t>FOSIS</t>
  </si>
  <si>
    <t>RECUPERACION ECONOMICA DEL SECTOR INFORMAL REGION DE LOS LAGOS</t>
  </si>
  <si>
    <t>FUNDACION ARTESANIAS DE CHILE</t>
  </si>
  <si>
    <t xml:space="preserve">RECUPERACION ECONOMICA DE LA ARTESANIA TRADICIONAL DE LA REGION DE LOS LAGOS   </t>
  </si>
  <si>
    <t>ASC-R</t>
  </si>
  <si>
    <t>SILVOAGROPECUARIO</t>
  </si>
  <si>
    <t>INDAP</t>
  </si>
  <si>
    <t>PROGRAMA DE CAPACITACION PARA LA INNOVACION Y TECNIFICACION A NIVEL PREDIAL, PARA JOVENES Y MUJERES, USUARIOS DE INDAP DE LA REGION DE LOS LAGOS</t>
  </si>
  <si>
    <t>Para Tramite DIPRES</t>
  </si>
  <si>
    <t>RECUPERACION ECONOMICA PARA AGRUPACIONES VULNERABLES REGION DE LOS LAGOS</t>
  </si>
  <si>
    <t>TOTAL RECUPERACION ECONOMICA</t>
  </si>
  <si>
    <t>PROGRAMA DE ACUERDO SOCIAL</t>
  </si>
  <si>
    <t>TRANSFERENCIA APOYO LEVANTEMOS PYMES</t>
  </si>
  <si>
    <t>PESCA</t>
  </si>
  <si>
    <t>PROGRAMA DIVERSIFICACION PRODUCTIVA MUJERES EMP. SECTOR ALGUERO</t>
  </si>
  <si>
    <t>PROGRAMA DE TRANSFERENCIA CAPACITACION Y RECONVERSION LABORAL PARA ALGUEROS DE ANCUD</t>
  </si>
  <si>
    <t>PROGRAMA DE APOYO A PESCADORES ARTESANALES DEMERSALES</t>
  </si>
  <si>
    <t>TRANSFERENCIA MEJORAMIENTO CONDICIONES DE HABITABILIDAD (S)</t>
  </si>
  <si>
    <t>REPOSICION PROGRAMA DE EMPRENDIMIENTO DE MUJERES JEFAS DE HOGAR</t>
  </si>
  <si>
    <t>SENAMA</t>
  </si>
  <si>
    <t>PREVEN. PROGR. MEJOR. INTEGRAL DE LA CALIDAD DE VIDA DE LAS PERSONAS MAYORES (S)</t>
  </si>
  <si>
    <t>PREVENCION PROGRAMA DE CUIDADOS DOMICILIARIOS REGION DE LOS LAGOS (S)</t>
  </si>
  <si>
    <t>SERNAMEG</t>
  </si>
  <si>
    <t>CAPACITACION APOYO AL EMPREDIMIENTO DE LA MUJER: UN PASO MAS (S)</t>
  </si>
  <si>
    <t>GENDARMERIA</t>
  </si>
  <si>
    <t>PREVENCION APOYO A LA REINSERCION SOCIAL, UN COMPROMISO EN SOCIEDAD (S)</t>
  </si>
  <si>
    <t>SEREMI VIVIENDA</t>
  </si>
  <si>
    <t>TRANSF. MEJOR. DE VIVIENDAS CON SUBSIDIOS ENFOCADOS A EFICIENCIA ENERGETICA</t>
  </si>
  <si>
    <t>TOTAL ACUERDO SOCIAL</t>
  </si>
  <si>
    <t>PROGRAMA DE ACUERDO SOCIAL COMPLEMENTARIO</t>
  </si>
  <si>
    <t>SENADIS</t>
  </si>
  <si>
    <t>TRANSF. FINANC. DE AYUDAS TECNICAS PARA PERSONAS CON DISCAPACIDAD DE LA X REGION (S)</t>
  </si>
  <si>
    <t>FUDEA-SERNATUR</t>
  </si>
  <si>
    <t>TRANSFERENCIA REACTIVACION ECONOMICA PYMES TURISMO REGION DE LOS LAGOS</t>
  </si>
  <si>
    <t>TOTAL ACUERDO SOCIAL COMPLEMENTARIO</t>
  </si>
  <si>
    <t>PROGRAMA PATAGONIA VERDE</t>
  </si>
  <si>
    <t>TRANSFERENCIA PROGRAMA REGULARIZACION DERECHO APROVECHAMIENTOS DE AGUA</t>
  </si>
  <si>
    <t>TRANSFERENCIA ASESORIA ESPECIALIZADA CONSOLIDACION TENENCIA TIERRA EN AFC</t>
  </si>
  <si>
    <t>TRANSFERENCIA FORTALECIMIENTO Y COMPETITIVIDAD DE LA ARTESANIA</t>
  </si>
  <si>
    <t>SEREMI DE AGRICULTURA</t>
  </si>
  <si>
    <t>PROGRAMA MEJORAMIENTO GENETICO OVINO/BOVINO TPV</t>
  </si>
  <si>
    <t>CAPACITACION PARA EL FOMENTO AGROFORESTAL EN PALENA Y COCHAMO</t>
  </si>
  <si>
    <t>TRANSFERENCIA PROGRAMA VALORACION SELLO ORIGEN DE PRODUCTOS SILVOAGROPECUARIOS</t>
  </si>
  <si>
    <t>TRANSFERENCIA TECNOLOGICA PARA EL DESARROLLO Y POTENCIAMIENTO DE LA AFC</t>
  </si>
  <si>
    <t>SAG</t>
  </si>
  <si>
    <t>TRANSFERENCIA MONITOREO SITUACION SANITARIA EN BOVINOS Y OVINOS DEL TPV</t>
  </si>
  <si>
    <t>TRANSFERENCIA PROGRAMA RECUPERACION SUELO DEGRADADOS EN TPV</t>
  </si>
  <si>
    <t>SERNATUR</t>
  </si>
  <si>
    <t xml:space="preserve">TRANSFERENCIA DESARROLLO DEL T.I.E. EN TERRITORIO PATAGONIA VERDE </t>
  </si>
  <si>
    <t>SEREMI DE BIENES NACIONALES</t>
  </si>
  <si>
    <t>SANEAMIENTO DE LA TENENCIA IRREGULAR DE LA PROPIEDAD PATAGONIA VERDE</t>
  </si>
  <si>
    <t>TOTAL PATAGONIA VERDE</t>
  </si>
  <si>
    <t>PROGRAMAS DE ARRASTRE</t>
  </si>
  <si>
    <t>DIFUSION PARA EL FORTALECIMIENTO Y DASARROLLO DEL SITIO SIPAN Y SELLO SIPAN</t>
  </si>
  <si>
    <t xml:space="preserve">PROGRAMA DE FERTILIZACION MEJORANDO LA PRODUCTIVIDAD GANADERA EN LA PROVINCIA DE PALENA </t>
  </si>
  <si>
    <t>MEJORAMIENTO DE SUELOS  EN TERRITORIOS INDIGENAS</t>
  </si>
  <si>
    <t>ERRADICACION DE LA BRUCELOSIS BOVINA</t>
  </si>
  <si>
    <t>ERRADICACION VISON DE LA REGION DE LOS LAGOS</t>
  </si>
  <si>
    <t>CAPACITACION  Y FERTILIZACION INTEGRAL DE PRADERAS DE LA REGION DE LOS LAGOS</t>
  </si>
  <si>
    <t>SEREMI DE MEDIO AMBIENTE</t>
  </si>
  <si>
    <t>PROTECCION APLICACION MODELO USO SUST. EN PAISAJE CONSERV. CHILOE</t>
  </si>
  <si>
    <t>TRANSFERENCIA CAPACITACION EN EL USO EFICIENTE DE LA CALEFACCION RESIDENCIAL EN OSORNO</t>
  </si>
  <si>
    <t>TRANSFERENCIA MEJORAMIENTO DE LA PRODUCTIVIDAD EN AREAS DE MANEJO II</t>
  </si>
  <si>
    <t>PROGRAMA APOYO INTEGRAL A LAS FERIAS LIBRES</t>
  </si>
  <si>
    <t>CAPACITACION Y VALORIZACION DE PRODUCTOS AGROPECUARIOS</t>
  </si>
  <si>
    <t>SERNAPESCA</t>
  </si>
  <si>
    <t>PROGRAMA FOMENTO Y DESARROLLO PESCA ARTESANAL REGION DE LOS LAGOS 2014-2016</t>
  </si>
  <si>
    <t>SUBPESCA</t>
  </si>
  <si>
    <t>RECUPERACION DE DIVERSIDAD PROD DE LA PESCA ARTESANAL</t>
  </si>
  <si>
    <t xml:space="preserve">TRANSFERENCIA GESTION DEL TERRITORIO TURISTICO, REGION DE LOS LAGOS </t>
  </si>
  <si>
    <t>COMISION NACIONAL DE RIEGO</t>
  </si>
  <si>
    <t>TRANSFERENCIA PROGRAMA INTEGRAL DE RIEGO REGION DE LOS LAGOS</t>
  </si>
  <si>
    <t>CAPACITACION TRABAJO EN FIBRA ANIMAL Y VEGETAL MUJERES DE CHAITEN</t>
  </si>
  <si>
    <t>SANEAMIENTO PROGRAMA NACIONAL DE REGULARIZACION "CHILE PROPIETARIO"</t>
  </si>
  <si>
    <t>TRANSFERENCIA  EN CULTIVO EN AM Y CCAA BENTONICA, ALGAS Y AGREGACION DE VALOR PRODUCCION P.A.</t>
  </si>
  <si>
    <t>CAPACITACION Y FORTALECIMIENTO PARA PERSONAS MAYORES</t>
  </si>
  <si>
    <t>CAPACITACION PARA EL DESARROLLO Y FORTALECIMIENTO DE LAS PERSONAS CON DISCAPACIDAD 2, REGION DE LOS LAGOS</t>
  </si>
  <si>
    <t>CORFO</t>
  </si>
  <si>
    <t>CAPACITACION TECNICA PARA IMPLEMEN PLAN "DESARROLLO INDUSTRIA DE LA MITILICULTURA SUSTENTABLE</t>
  </si>
  <si>
    <t xml:space="preserve">URBANO </t>
  </si>
  <si>
    <t>SERV. SALUD OSORNO</t>
  </si>
  <si>
    <t>CAPACITACION PARA LA PREVENCION Y DIAG. PRECOZ DEL CANCER COLORRECTAL, Provincia de osorno</t>
  </si>
  <si>
    <t xml:space="preserve"> PROGRAMAS DE ARRASTRE</t>
  </si>
  <si>
    <t>PROGRAMAS NUEVOS</t>
  </si>
  <si>
    <t>PROGRAMA DE REACTIVACION Y CAPACITACION INCENDIO MERCADO MUNICIPAL DE ANCUD</t>
  </si>
  <si>
    <t>TRANSFERENCIA DE PROGRAMA PARA RED AFC DE CRIANCEROS DE TERNEROS LECHEROS</t>
  </si>
  <si>
    <t xml:space="preserve">CAPACITACION Y FOMENTO PARA FORTALECER EL RIEGO TECNIFICADO DE LA REGION DE LOS LAGOS </t>
  </si>
  <si>
    <t>FIC</t>
  </si>
  <si>
    <t>CAPACITACION Y MEJORAMIENTO OBRAS PARA USO EFICIENTE REC. HIDRICOS NIVEL PREFIAL COMUNIDAD IND.</t>
  </si>
  <si>
    <t>CAPACITACION PROGRAMA DE RECUPERACION DE SUELOS TERRITORIOS INDIGENAS</t>
  </si>
  <si>
    <t>CAPACITACION Y POSICIONAMIENTO PATAGONIA VERDE COMO DESTINO DE TURISMO AVENTURA</t>
  </si>
  <si>
    <t>SEREMI ENERGIA</t>
  </si>
  <si>
    <t>PROGRAMA DE CAPACITACION PARA EL FORTALECIMIENTO Y FOMENTO A LA COMERCIALIZACION DE LEÑA DE CALIDAD EN LA REGION DE LOS LAGOS</t>
  </si>
  <si>
    <t>FONDO INNOVACION Y COMPETITIVIDAD</t>
  </si>
  <si>
    <t>TOTAL PROGRAMAS NUEVOS</t>
  </si>
  <si>
    <t>TOTAL PROGRAMA DE FOMENTO</t>
  </si>
  <si>
    <t>total</t>
  </si>
  <si>
    <t>TOTAL PRESUPUESTO 2021</t>
  </si>
  <si>
    <t>RATE</t>
  </si>
  <si>
    <t>S=CONVENIO DE SALUD</t>
  </si>
  <si>
    <t>RS=RECOMENDACIÓN TÉCNICA FAVORABLE</t>
  </si>
  <si>
    <t>H=CONVENIO CIUDADDES MÁS HUMANAS</t>
  </si>
  <si>
    <t>RS*=RECOMENDACIÓN TÉCNICA CIRCULAR 33</t>
  </si>
  <si>
    <t>PV=PATAGONIA VERDE</t>
  </si>
  <si>
    <t>RS**=RECOMENDACIÓN POR TRANSFERENCIA</t>
  </si>
  <si>
    <t>AS=ACUERDO SOCIAL</t>
  </si>
  <si>
    <t>RS***=RECOMENDACIÓN POR SUBSIDIO</t>
  </si>
  <si>
    <t>ASC=ACUERDO SOCIAL COMPLEMENTARIO</t>
  </si>
  <si>
    <t>RE=REEVALUACIÓN</t>
  </si>
  <si>
    <t>R=PROGRAMA DE REACTIVACIÓN</t>
  </si>
  <si>
    <t>IN=INCUMPLIMIENTO DE NORMATIVA</t>
  </si>
  <si>
    <t>NOVIEMBRE</t>
  </si>
  <si>
    <t>DICIEMBRE</t>
  </si>
  <si>
    <t>COSTO</t>
  </si>
  <si>
    <t>PAGOS AL 31/01/21</t>
  </si>
  <si>
    <t>COMPROMISO 2021</t>
  </si>
  <si>
    <t>RATE 2021</t>
  </si>
  <si>
    <t>MARCO</t>
  </si>
  <si>
    <t xml:space="preserve">PAGADO </t>
  </si>
  <si>
    <t xml:space="preserve">ACUMULADO </t>
  </si>
  <si>
    <t>CAJA FINANCIERA</t>
  </si>
  <si>
    <t>EFICIENCIA REGION DE LOS LAGOS</t>
  </si>
  <si>
    <t>EFICIENCIA PROMEDIO NACIONAL</t>
  </si>
  <si>
    <t>COSTO TOTAL</t>
  </si>
  <si>
    <t>%</t>
  </si>
  <si>
    <t>% DIST. DEL COMPROMISO</t>
  </si>
  <si>
    <t>COMPROMISO 2019</t>
  </si>
  <si>
    <t>SALDO A DICIEMBRE</t>
  </si>
  <si>
    <t>% EFICIENCIA DE PAGOS</t>
  </si>
  <si>
    <t>SALDO AÑOS FUTURO</t>
  </si>
  <si>
    <t>TOTAL</t>
  </si>
  <si>
    <t>INICIATIVAS</t>
  </si>
  <si>
    <t>PROVISIÓN</t>
  </si>
  <si>
    <t xml:space="preserve">MARCO DECRETADO </t>
  </si>
  <si>
    <t>DIFERENCIA</t>
  </si>
  <si>
    <t>% DIST. DE LOS PAGOS</t>
  </si>
  <si>
    <t>SALDO</t>
  </si>
  <si>
    <t>PVP</t>
  </si>
  <si>
    <t xml:space="preserve">  </t>
  </si>
  <si>
    <t>SECTOR</t>
  </si>
  <si>
    <t>SALDO AÑOS FUTUROS</t>
  </si>
  <si>
    <t>SUBTITULO</t>
  </si>
  <si>
    <t xml:space="preserve"> TOTAL GASTO AÑOS ANTERIORES</t>
  </si>
  <si>
    <t>SALDO PROXIMOS AÑOS</t>
  </si>
  <si>
    <t>LEY PPTO</t>
  </si>
  <si>
    <t>FNDR 2021</t>
  </si>
  <si>
    <t>Etiquetas de fila</t>
  </si>
  <si>
    <t>Total general</t>
  </si>
  <si>
    <t>Suma de COSTO</t>
  </si>
  <si>
    <t>Suma de GASTO AÑOS ANTERIORES</t>
  </si>
  <si>
    <t>Suma de COMPROMISO 2021</t>
  </si>
  <si>
    <t>Suma de PAGOS AL 31/01/21</t>
  </si>
  <si>
    <t>Suma de SALDO COMPROMISO</t>
  </si>
  <si>
    <t>Suma de PPTO FUTURO</t>
  </si>
  <si>
    <t>Cuenta de BIP</t>
  </si>
  <si>
    <t xml:space="preserve"> COMPROMISO 2021</t>
  </si>
  <si>
    <t xml:space="preserve"> TOTAL PAGADO  2021</t>
  </si>
  <si>
    <t xml:space="preserve"> TOTAL PAGADO 2021</t>
  </si>
  <si>
    <t>MARCO DECRETADO V/S COMPROMISO 2021</t>
  </si>
  <si>
    <t>COMPROMISO V/S PAGOS 2021</t>
  </si>
  <si>
    <t>PAGOS 2021</t>
  </si>
  <si>
    <t xml:space="preserve"> COMPROMISO  2021</t>
  </si>
  <si>
    <t>* CERT. CORE 15 AUMENTA PPTO.</t>
  </si>
  <si>
    <t>* CERT. CORE 14 AUMENTA COSTO</t>
  </si>
  <si>
    <t>* CERT CORE 11 AUMENTA PPTO</t>
  </si>
  <si>
    <t>CERT. CORE 06 ACTUALIZA PPTO FNDR</t>
  </si>
  <si>
    <t>CONSERVACION CAMINOS VECINALES POR GLOSA 7, ETAPA 1, PROVINCIA OSORNO(C33)</t>
  </si>
  <si>
    <t>* CERT. CORE 21 INCORPORA PPTO 2021</t>
  </si>
  <si>
    <t>REPOSICION EDIFICIO CONSISTORIAL, LLANQUIHUE</t>
  </si>
  <si>
    <t>* CERT. CORE 20 INCORPORA PPTO 2021</t>
  </si>
  <si>
    <t>CONSERVACION FACHADAS Y CIRCULACIONES CENTRO ADMINISTRATIVO REGIONAL (C33)</t>
  </si>
  <si>
    <t>* CERT CORE 19 INCORPORA PPTO 2021</t>
  </si>
  <si>
    <t>CONSTRUCCION CEMENTERIO MUNICIPAL DE CALBUCO</t>
  </si>
  <si>
    <t>* CERT. CORE 18 INCORPORA PPTO 2021</t>
  </si>
  <si>
    <t>CONSTRUCCION PLANTA DE TRATAMIENTO PARGA</t>
  </si>
  <si>
    <t>* CERT. CORE 17 INCORPORA PPTO 2021</t>
  </si>
  <si>
    <t>CONSTRUCCION SISTEMA APR SECTOR LAS CRUCES, COMUNA DE FRESIA</t>
  </si>
  <si>
    <t>* CERT. CORE 05 INCORPORA PPTO 2021</t>
  </si>
  <si>
    <t>Terminado</t>
  </si>
  <si>
    <t>Item</t>
  </si>
  <si>
    <t>RENE</t>
  </si>
  <si>
    <t>PAULINA</t>
  </si>
  <si>
    <t>GLORIA</t>
  </si>
  <si>
    <t>JORGE</t>
  </si>
  <si>
    <t>ADELA</t>
  </si>
  <si>
    <t>SECTORIALISTA</t>
  </si>
  <si>
    <t>PAGOS DE DICIEMBRE</t>
  </si>
  <si>
    <t>PAGOS DE NOVIEMBRE</t>
  </si>
  <si>
    <t>ARRASTRE</t>
  </si>
  <si>
    <t>RATE 2020</t>
  </si>
  <si>
    <t>BIP 05/07/20</t>
  </si>
  <si>
    <t>INICIATIVAS CON RECOMENDACIÓN</t>
  </si>
  <si>
    <t>** CONSERVACION CAMINOS NO ENROLADOS EN 7 SECTORES DE LA COMUNA DE PUYEHUE</t>
  </si>
  <si>
    <t>* CERT. CORE 246 INCORPORA / CERT. CORE 279 LO IDENTIFICA EN CARTERA DE REEMPLAZO</t>
  </si>
  <si>
    <t>S-RS</t>
  </si>
  <si>
    <t>** CONSERVACION CAMINOS NO ENROLADOS 5 SECTORES RURALES DE LA COMUNA DE FRUTILLAR</t>
  </si>
  <si>
    <t>** CONSTRUCCION SERVICIO DE AGUA POTABLE RURAL ISLA QUENU</t>
  </si>
  <si>
    <t>* CERT. CORE 245 INCORPORA / CERT. CORE 279 LO IDENTIFICA EN CARTERA DE REEMPLAZO</t>
  </si>
  <si>
    <t>En Convenio</t>
  </si>
  <si>
    <t>* CONSTRUCCION SUM. ENERGIA FOTOVOLTAICA  EL MANSO-L V GORMAZ-L T. TAGUA-LOS GUINDOS, COCHAMO</t>
  </si>
  <si>
    <t>* CERT. CORE 33 07.02.20 - APRUEBA / CERT. CORE 187 06.2020 - ELIMINA/UNIFICA INICIATIVAS Y AJUSTA COSTO</t>
  </si>
  <si>
    <t>* HABILITACION SUMINISTRO ENERGIA ELECTRICA SECTOR QUEMAS DE CHUYAQUEN, MAULLIN</t>
  </si>
  <si>
    <t>* CERT. CORE 33 07.02.20 - APRUEBA / CERT. CORE 258 REINCORPORA Y AJUSTA COSTO</t>
  </si>
  <si>
    <t>FI</t>
  </si>
  <si>
    <t>FRANCISCA MONTECINO  OPAZO</t>
  </si>
  <si>
    <t>* CERT. CORE 33 07.02.20 - APRUEBA COMPLEMENTO A.SOCIAL</t>
  </si>
  <si>
    <t>HABILITACION ELECTRIFICACION RURAL KM 26 y 27</t>
  </si>
  <si>
    <t>* HABILITACION SUMINISTRO ELECTRICO SECTOR RURAL LOS MAÑIOS</t>
  </si>
  <si>
    <t>* CERT. CORE 33 07.02.20 - APRUEBA COMPLEMENTO A.SOCIAL / CERT. CORE 178 06.2020 - AJUSTA COSTO</t>
  </si>
  <si>
    <t>HABILITACION SUMINISTRO ELECTRICO SECTOR APECHE</t>
  </si>
  <si>
    <t>* CERT. CORE 33 07.02.20 - APRUEBA / CERT. CORE 177 06.2020 - APRUEBA</t>
  </si>
  <si>
    <t>* CERT. CORE 278 09.20 - INCORPORA INICIATIVA / CERT. CORE 279 09.20 - INCORPORA EN CARTERA DE REEMPLAZO</t>
  </si>
  <si>
    <t>S-FICHA</t>
  </si>
  <si>
    <t>TRANSPORTE Y VIVIENDA</t>
  </si>
  <si>
    <r>
      <t xml:space="preserve">* </t>
    </r>
    <r>
      <rPr>
        <b/>
        <sz val="18"/>
        <color theme="1"/>
        <rFont val="Calibri"/>
        <family val="2"/>
        <scheme val="minor"/>
      </rPr>
      <t>CONSERVACION DIVERSOS CAMINOS DE RIPIO, REGIÓN DE LOS LAGOS, AÑO 2020-2021</t>
    </r>
  </si>
  <si>
    <r>
      <t xml:space="preserve">* CERT. CORE 33 07.02.20 - APRUEBA / </t>
    </r>
    <r>
      <rPr>
        <b/>
        <sz val="18"/>
        <color theme="1"/>
        <rFont val="Calibri"/>
        <family val="2"/>
        <scheme val="minor"/>
      </rPr>
      <t>CERT. CORE 80 03.2020 MODIFICA NOMBRE</t>
    </r>
    <r>
      <rPr>
        <sz val="18"/>
        <color theme="1"/>
        <rFont val="Calibri"/>
        <family val="2"/>
        <scheme val="minor"/>
      </rPr>
      <t xml:space="preserve"> / CERT. CORE 96 03.2020 APRUEBA CARTERA / </t>
    </r>
    <r>
      <rPr>
        <b/>
        <sz val="18"/>
        <color theme="1"/>
        <rFont val="Calibri"/>
        <family val="2"/>
        <scheme val="minor"/>
      </rPr>
      <t>CERT. CORE 174 06.2020 MODIFICA CODIGO, NOMBRE Y COSTO</t>
    </r>
  </si>
  <si>
    <t>* CONSERVACION PER. CAM. VEC., C. DE CALBUCO, HUALAIHUE Y PALENA, REG. DE LOS LAGOS, 2020-2021</t>
  </si>
  <si>
    <t>* CERT. CORE 33 07.02.20 - APRUEBA / CERT. CORE 96 03.2020 APRUEBA CARTERA / CERT. CORE 247 08,2020 CAMBIA INICIATIVA</t>
  </si>
  <si>
    <t>CONSERVACION PER. CAM. VE., C. DE CALBUCO Y MAULLIN, REG. DE LOS LAGOS, 2020-2021</t>
  </si>
  <si>
    <t>* CERT. CORE 33 07.02.20 - APRUEBA</t>
  </si>
  <si>
    <t>GORE</t>
  </si>
  <si>
    <t>TRANSFERENCIA FINANCIAMIENTO DE AYUDAS TECNICAS PARA PERSONAS CON DISCAPACIDAD DE LA X REGION</t>
  </si>
  <si>
    <t>* CERT. 244 08.20 - INCORPORA</t>
  </si>
  <si>
    <t>Tramite Dipres 2021</t>
  </si>
  <si>
    <t>RECUPERACION ECONOMICA  PARA AGRUPACIONES VULNERABLES REGION DE LOS LAGOS</t>
  </si>
  <si>
    <t>* CERT. 243 08.20 - INCORPORA</t>
  </si>
  <si>
    <t>* CERT. 242 08.20 - INCORPORA</t>
  </si>
  <si>
    <t>TOTAL FOMENTO</t>
  </si>
  <si>
    <t>TOTAL INICIATIVAS CON RECOMENDACIÓN</t>
  </si>
  <si>
    <t>INICIATIVAS SIN RECOMENDACIÓN</t>
  </si>
  <si>
    <t>INSTALACION AGUA POTABLE RURAL DE PUÑIHUIL</t>
  </si>
  <si>
    <t>Sin Rate por Falta de Información</t>
  </si>
  <si>
    <t>TOTAL INICIATIVAS SIN RECOMENDACIÓN</t>
  </si>
  <si>
    <t>TOTAL ACUERDO COMPLEMENTARIO</t>
  </si>
  <si>
    <t>CERT. CORE 33</t>
  </si>
  <si>
    <t>En Contrato</t>
  </si>
  <si>
    <t>Adjudicado</t>
  </si>
  <si>
    <t>P R E S U P U E S T O     2 0 2 1</t>
  </si>
  <si>
    <t>TOTAL DE PAGOS AL 31 ENERO 2021</t>
  </si>
  <si>
    <t>IGNACIO ORTIZ</t>
  </si>
  <si>
    <t>KARIN BARRIENTOS</t>
  </si>
  <si>
    <t>RENE CARCAMO</t>
  </si>
  <si>
    <t>GLORIA QUEZADA</t>
  </si>
  <si>
    <t>ADELA MACIAS</t>
  </si>
  <si>
    <t>En Adjudicacion</t>
  </si>
  <si>
    <t>ANALISTA</t>
  </si>
  <si>
    <t>Resolución en Tramite</t>
  </si>
  <si>
    <t xml:space="preserve"> </t>
  </si>
  <si>
    <t>UNIDAD TECNICA</t>
  </si>
  <si>
    <t>Dirección de Vialidad</t>
  </si>
  <si>
    <t>IGNACIO</t>
  </si>
  <si>
    <t>KARIN</t>
  </si>
  <si>
    <t xml:space="preserve">GLORIA </t>
  </si>
  <si>
    <t>HARRY</t>
  </si>
  <si>
    <t>FRANCISCA</t>
  </si>
  <si>
    <t>FABRICIO</t>
  </si>
  <si>
    <t>ADJUDICADA</t>
  </si>
  <si>
    <t>FECHA DE CIERRE</t>
  </si>
  <si>
    <t>OBSERVACION</t>
  </si>
  <si>
    <t>CONVENIO 2021</t>
  </si>
  <si>
    <t>CONVENIO 2020</t>
  </si>
  <si>
    <t>CODIGO</t>
  </si>
  <si>
    <t>DESIERTA</t>
  </si>
  <si>
    <t>ACTA</t>
  </si>
  <si>
    <t>CERRADA</t>
  </si>
  <si>
    <t>EN LICITACION</t>
  </si>
  <si>
    <t>REVOCADA</t>
  </si>
  <si>
    <t>LICITACION EN TRAMITE</t>
  </si>
  <si>
    <t>CONVENIO EN CONFECCION</t>
  </si>
  <si>
    <t>TERMINADO</t>
  </si>
  <si>
    <t>CONVENIO EN TRAMITE</t>
  </si>
  <si>
    <t>EN EJECUCION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</si>
</sst>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_-;\-&quot;$&quot;\ * #,##0_-;_-&quot;$&quot;\ * &quot;-&quot;??_-;_-@_-"/>
    <numFmt numFmtId="165" formatCode="0.0%"/>
    <numFmt numFmtId="166" formatCode="_-* #,##0.000_-;\-* #,##0.000_-;_-* &quot;-&quot;??_-;_-@_-"/>
    <numFmt numFmtId="167" formatCode="_-[$€-2]\ * #,##0.00_-;\-[$€-2]\ * #,##0.00_-;_-[$€-2]\ * \-??_-"/>
    <numFmt numFmtId="168" formatCode="_-* #,##0.00\ _€_-;\-* #,##0.00\ _€_-;_-* &quot;-&quot;??\ _€_-;_-@_-"/>
    <numFmt numFmtId="169" formatCode="_ * #,##0.00_ ;_ * \-#,##0.00_ ;_ * &quot;-&quot;??_ ;_ @_ "/>
    <numFmt numFmtId="170" formatCode="[$$-340A]\ #,##0"/>
    <numFmt numFmtId="171" formatCode="_-* #,##0.00\ &quot;€&quot;_-;\-* #,##0.00\ &quot;€&quot;_-;_-* &quot;-&quot;??\ &quot;€&quot;_-;_-@_-"/>
  </numFmts>
  <fonts count="7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 Narrow"/>
      <family val="2"/>
    </font>
    <font>
      <b/>
      <sz val="18"/>
      <color theme="0"/>
      <name val="Arial Narrow"/>
      <family val="2"/>
    </font>
    <font>
      <b/>
      <sz val="18"/>
      <name val="Arial Narrow"/>
      <family val="2"/>
    </font>
    <font>
      <sz val="18"/>
      <color theme="1"/>
      <name val="Calibri"/>
      <family val="2"/>
      <scheme val="minor"/>
    </font>
    <font>
      <sz val="16"/>
      <color theme="0"/>
      <name val="Arial Narrow"/>
      <family val="2"/>
    </font>
    <font>
      <b/>
      <sz val="2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6"/>
      <name val="Arial Narrow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4"/>
      <name val="Arial"/>
      <family val="2"/>
    </font>
    <font>
      <b/>
      <sz val="11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8"/>
      <name val="Arial Narrow"/>
      <family val="2"/>
    </font>
    <font>
      <sz val="18"/>
      <color theme="0"/>
      <name val="Arial Narrow"/>
      <family val="2"/>
    </font>
    <font>
      <b/>
      <sz val="20"/>
      <color theme="0"/>
      <name val="Arial Narrow"/>
      <family val="2"/>
    </font>
    <font>
      <b/>
      <sz val="36"/>
      <color theme="0"/>
      <name val="Arial Narrow"/>
      <family val="2"/>
    </font>
    <font>
      <b/>
      <sz val="48"/>
      <color theme="0"/>
      <name val="Arial Narrow"/>
      <family val="2"/>
    </font>
    <font>
      <b/>
      <sz val="36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Swis721 Lt BT"/>
      <charset val="134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0.39991454817346722"/>
        <bgColor indexed="22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9" tint="0.39991454817346722"/>
        <bgColor indexed="22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0">
    <xf numFmtId="0" fontId="0" fillId="0" borderId="0"/>
    <xf numFmtId="0" fontId="2" fillId="0" borderId="0"/>
    <xf numFmtId="0" fontId="27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4" borderId="0" applyNumberFormat="0" applyBorder="0" applyAlignment="0" applyProtection="0"/>
    <xf numFmtId="0" fontId="49" fillId="37" borderId="0" applyNumberFormat="0" applyBorder="0" applyAlignment="0" applyProtection="0"/>
    <xf numFmtId="0" fontId="49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8" borderId="0" applyNumberFormat="0" applyBorder="0" applyAlignment="0" applyProtection="0"/>
    <xf numFmtId="0" fontId="51" fillId="32" borderId="0" applyNumberFormat="0" applyBorder="0" applyAlignment="0" applyProtection="0"/>
    <xf numFmtId="0" fontId="52" fillId="49" borderId="56" applyNumberFormat="0" applyAlignment="0" applyProtection="0"/>
    <xf numFmtId="0" fontId="53" fillId="50" borderId="57" applyNumberFormat="0" applyAlignment="0" applyProtection="0"/>
    <xf numFmtId="167" fontId="27" fillId="0" borderId="0" applyFill="0" applyBorder="0" applyAlignment="0" applyProtection="0"/>
    <xf numFmtId="0" fontId="54" fillId="0" borderId="0" applyNumberFormat="0" applyFill="0" applyBorder="0" applyAlignment="0" applyProtection="0"/>
    <xf numFmtId="0" fontId="55" fillId="33" borderId="0" applyNumberFormat="0" applyBorder="0" applyAlignment="0" applyProtection="0"/>
    <xf numFmtId="0" fontId="56" fillId="0" borderId="58" applyNumberFormat="0" applyFill="0" applyAlignment="0" applyProtection="0"/>
    <xf numFmtId="0" fontId="57" fillId="0" borderId="59" applyNumberFormat="0" applyFill="0" applyAlignment="0" applyProtection="0"/>
    <xf numFmtId="0" fontId="58" fillId="0" borderId="60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/>
    <xf numFmtId="0" fontId="51" fillId="32" borderId="0" applyNumberFormat="0" applyBorder="0" applyAlignment="0" applyProtection="0"/>
    <xf numFmtId="0" fontId="65" fillId="36" borderId="56" applyNumberFormat="0" applyAlignment="0" applyProtection="0"/>
    <xf numFmtId="0" fontId="66" fillId="0" borderId="61" applyNumberFormat="0" applyFill="0" applyAlignment="0" applyProtection="0"/>
    <xf numFmtId="168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8" fontId="30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0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0" applyFont="0" applyFill="0" applyBorder="0" applyAlignment="0" applyProtection="0"/>
    <xf numFmtId="171" fontId="30" fillId="0" borderId="0" applyFont="0" applyFill="0" applyBorder="0" applyAlignment="0" applyProtection="0"/>
    <xf numFmtId="44" fontId="27" fillId="0" borderId="0" applyFill="0" applyBorder="0" applyAlignment="0" applyProtection="0"/>
    <xf numFmtId="171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68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0" fillId="0" borderId="0" applyNumberFormat="0" applyFont="0" applyBorder="0" applyProtection="0"/>
    <xf numFmtId="0" fontId="70" fillId="0" borderId="0" applyNumberFormat="0" applyFont="0" applyBorder="0" applyProtection="0"/>
    <xf numFmtId="0" fontId="27" fillId="0" borderId="0"/>
    <xf numFmtId="0" fontId="49" fillId="0" borderId="0" applyFill="0" applyProtection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6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6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9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9" fillId="0" borderId="0"/>
    <xf numFmtId="0" fontId="6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52" borderId="62" applyNumberFormat="0" applyFont="0" applyAlignment="0" applyProtection="0"/>
    <xf numFmtId="0" fontId="49" fillId="52" borderId="62" applyNumberFormat="0" applyFont="0" applyAlignment="0" applyProtection="0"/>
    <xf numFmtId="0" fontId="71" fillId="49" borderId="63" applyNumberFormat="0" applyAlignment="0" applyProtection="0"/>
    <xf numFmtId="9" fontId="6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</cellStyleXfs>
  <cellXfs count="816">
    <xf numFmtId="0" fontId="0" fillId="0" borderId="0" xfId="0"/>
    <xf numFmtId="0" fontId="4" fillId="2" borderId="1" xfId="0" applyFont="1" applyFill="1" applyBorder="1" applyAlignment="1">
      <alignment horizontal="center" vertical="center" textRotation="90" wrapText="1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9" fillId="3" borderId="0" xfId="0" applyFont="1" applyFill="1" applyBorder="1"/>
    <xf numFmtId="3" fontId="4" fillId="0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0" fillId="0" borderId="0" xfId="0" applyFill="1"/>
    <xf numFmtId="0" fontId="10" fillId="4" borderId="1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7" fillId="5" borderId="2" xfId="0" applyFont="1" applyFill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left"/>
    </xf>
    <xf numFmtId="0" fontId="7" fillId="5" borderId="12" xfId="0" applyFont="1" applyFill="1" applyBorder="1" applyAlignment="1">
      <alignment horizontal="center"/>
    </xf>
    <xf numFmtId="0" fontId="7" fillId="5" borderId="2" xfId="0" applyFont="1" applyFill="1" applyBorder="1"/>
    <xf numFmtId="3" fontId="7" fillId="0" borderId="13" xfId="0" applyNumberFormat="1" applyFont="1" applyFill="1" applyBorder="1" applyAlignment="1">
      <alignment horizontal="left"/>
    </xf>
    <xf numFmtId="3" fontId="7" fillId="0" borderId="2" xfId="0" applyNumberFormat="1" applyFont="1" applyFill="1" applyBorder="1" applyAlignment="1">
      <alignment horizontal="left"/>
    </xf>
    <xf numFmtId="3" fontId="7" fillId="5" borderId="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 wrapText="1"/>
    </xf>
    <xf numFmtId="3" fontId="7" fillId="0" borderId="2" xfId="0" applyNumberFormat="1" applyFont="1" applyFill="1" applyBorder="1" applyAlignment="1">
      <alignment horizontal="center" vertical="center" wrapText="1"/>
    </xf>
    <xf numFmtId="3" fontId="7" fillId="0" borderId="13" xfId="0" applyNumberFormat="1" applyFont="1" applyFill="1" applyBorder="1" applyAlignment="1">
      <alignment horizontal="center" vertical="center" wrapText="1"/>
    </xf>
    <xf numFmtId="3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wrapText="1"/>
    </xf>
    <xf numFmtId="0" fontId="7" fillId="0" borderId="2" xfId="0" applyFont="1" applyFill="1" applyBorder="1"/>
    <xf numFmtId="0" fontId="7" fillId="0" borderId="0" xfId="0" applyFont="1" applyFill="1"/>
    <xf numFmtId="0" fontId="7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4" fillId="5" borderId="2" xfId="0" applyFont="1" applyFill="1" applyBorder="1" applyAlignment="1">
      <alignment vertical="center"/>
    </xf>
    <xf numFmtId="3" fontId="15" fillId="0" borderId="6" xfId="0" applyNumberFormat="1" applyFont="1" applyFill="1" applyBorder="1" applyAlignment="1">
      <alignment horizontal="left"/>
    </xf>
    <xf numFmtId="3" fontId="15" fillId="0" borderId="0" xfId="0" applyNumberFormat="1" applyFont="1" applyFill="1" applyBorder="1" applyAlignment="1">
      <alignment horizontal="left"/>
    </xf>
    <xf numFmtId="3" fontId="15" fillId="0" borderId="14" xfId="0" applyNumberFormat="1" applyFont="1" applyFill="1" applyBorder="1" applyAlignment="1">
      <alignment horizontal="left"/>
    </xf>
    <xf numFmtId="3" fontId="14" fillId="5" borderId="2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vertical="center"/>
    </xf>
    <xf numFmtId="3" fontId="11" fillId="0" borderId="0" xfId="0" applyNumberFormat="1" applyFont="1" applyFill="1" applyBorder="1" applyAlignment="1">
      <alignment horizontal="center" vertical="center"/>
    </xf>
    <xf numFmtId="3" fontId="11" fillId="6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/>
    </xf>
    <xf numFmtId="0" fontId="7" fillId="7" borderId="11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left"/>
    </xf>
    <xf numFmtId="0" fontId="7" fillId="7" borderId="12" xfId="0" applyFont="1" applyFill="1" applyBorder="1" applyAlignment="1">
      <alignment horizontal="center"/>
    </xf>
    <xf numFmtId="0" fontId="7" fillId="7" borderId="2" xfId="0" applyFont="1" applyFill="1" applyBorder="1"/>
    <xf numFmtId="3" fontId="7" fillId="7" borderId="2" xfId="0" applyNumberFormat="1" applyFont="1" applyFill="1" applyBorder="1" applyAlignment="1">
      <alignment horizontal="center" vertical="center"/>
    </xf>
    <xf numFmtId="3" fontId="7" fillId="7" borderId="2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wrapText="1"/>
    </xf>
    <xf numFmtId="3" fontId="7" fillId="7" borderId="13" xfId="0" applyNumberFormat="1" applyFont="1" applyFill="1" applyBorder="1" applyAlignment="1">
      <alignment horizontal="left"/>
    </xf>
    <xf numFmtId="0" fontId="14" fillId="7" borderId="2" xfId="0" applyFont="1" applyFill="1" applyBorder="1" applyAlignment="1">
      <alignment vertical="center"/>
    </xf>
    <xf numFmtId="3" fontId="15" fillId="0" borderId="2" xfId="0" applyNumberFormat="1" applyFont="1" applyFill="1" applyBorder="1" applyAlignment="1">
      <alignment horizontal="left"/>
    </xf>
    <xf numFmtId="3" fontId="14" fillId="7" borderId="2" xfId="0" applyNumberFormat="1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left"/>
    </xf>
    <xf numFmtId="0" fontId="7" fillId="8" borderId="12" xfId="0" applyFont="1" applyFill="1" applyBorder="1" applyAlignment="1">
      <alignment horizontal="center"/>
    </xf>
    <xf numFmtId="0" fontId="7" fillId="8" borderId="2" xfId="0" applyFont="1" applyFill="1" applyBorder="1"/>
    <xf numFmtId="3" fontId="7" fillId="8" borderId="2" xfId="0" applyNumberFormat="1" applyFont="1" applyFill="1" applyBorder="1" applyAlignment="1">
      <alignment horizontal="center" vertical="center"/>
    </xf>
    <xf numFmtId="3" fontId="7" fillId="8" borderId="2" xfId="0" applyNumberFormat="1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wrapText="1"/>
    </xf>
    <xf numFmtId="0" fontId="7" fillId="8" borderId="1" xfId="0" applyFont="1" applyFill="1" applyBorder="1"/>
    <xf numFmtId="3" fontId="7" fillId="8" borderId="1" xfId="0" applyNumberFormat="1" applyFont="1" applyFill="1" applyBorder="1" applyAlignment="1">
      <alignment horizontal="center" vertical="center"/>
    </xf>
    <xf numFmtId="3" fontId="7" fillId="8" borderId="1" xfId="0" applyNumberFormat="1" applyFont="1" applyFill="1" applyBorder="1" applyAlignment="1">
      <alignment horizontal="center" vertical="center" wrapText="1"/>
    </xf>
    <xf numFmtId="3" fontId="7" fillId="8" borderId="13" xfId="0" applyNumberFormat="1" applyFont="1" applyFill="1" applyBorder="1" applyAlignment="1">
      <alignment horizontal="left"/>
    </xf>
    <xf numFmtId="3" fontId="7" fillId="8" borderId="2" xfId="0" applyNumberFormat="1" applyFont="1" applyFill="1" applyBorder="1" applyAlignment="1">
      <alignment horizontal="left"/>
    </xf>
    <xf numFmtId="3" fontId="7" fillId="8" borderId="13" xfId="0" applyNumberFormat="1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vertical="center"/>
    </xf>
    <xf numFmtId="3" fontId="14" fillId="8" borderId="2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3" fontId="10" fillId="0" borderId="9" xfId="0" applyNumberFormat="1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3" fontId="10" fillId="4" borderId="0" xfId="0" applyNumberFormat="1" applyFont="1" applyFill="1" applyBorder="1" applyAlignment="1">
      <alignment horizontal="center" vertical="center"/>
    </xf>
    <xf numFmtId="0" fontId="13" fillId="0" borderId="0" xfId="0" applyFont="1" applyFill="1"/>
    <xf numFmtId="0" fontId="13" fillId="0" borderId="0" xfId="0" applyFont="1" applyFill="1" applyBorder="1"/>
    <xf numFmtId="0" fontId="9" fillId="3" borderId="5" xfId="0" applyFont="1" applyFill="1" applyBorder="1"/>
    <xf numFmtId="3" fontId="13" fillId="0" borderId="0" xfId="0" applyNumberFormat="1" applyFont="1" applyFill="1" applyBorder="1" applyAlignment="1">
      <alignment horizontal="center" vertical="center"/>
    </xf>
    <xf numFmtId="0" fontId="7" fillId="7" borderId="1" xfId="0" applyFont="1" applyFill="1" applyBorder="1"/>
    <xf numFmtId="3" fontId="7" fillId="7" borderId="1" xfId="0" applyNumberFormat="1" applyFont="1" applyFill="1" applyBorder="1" applyAlignment="1">
      <alignment horizontal="center" vertical="center"/>
    </xf>
    <xf numFmtId="3" fontId="7" fillId="7" borderId="1" xfId="0" applyNumberFormat="1" applyFont="1" applyFill="1" applyBorder="1" applyAlignment="1">
      <alignment horizontal="center" vertical="center" wrapText="1"/>
    </xf>
    <xf numFmtId="3" fontId="11" fillId="6" borderId="15" xfId="0" applyNumberFormat="1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/>
    </xf>
    <xf numFmtId="0" fontId="7" fillId="8" borderId="2" xfId="0" applyFont="1" applyFill="1" applyBorder="1" applyAlignment="1">
      <alignment vertical="center"/>
    </xf>
    <xf numFmtId="0" fontId="7" fillId="8" borderId="2" xfId="0" applyFont="1" applyFill="1" applyBorder="1" applyAlignment="1">
      <alignment horizontal="left" vertical="center"/>
    </xf>
    <xf numFmtId="3" fontId="15" fillId="8" borderId="2" xfId="0" applyNumberFormat="1" applyFont="1" applyFill="1" applyBorder="1" applyAlignment="1">
      <alignment horizontal="left"/>
    </xf>
    <xf numFmtId="3" fontId="14" fillId="8" borderId="2" xfId="0" applyNumberFormat="1" applyFont="1" applyFill="1" applyBorder="1" applyAlignment="1">
      <alignment vertical="center"/>
    </xf>
    <xf numFmtId="0" fontId="14" fillId="8" borderId="3" xfId="0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/>
    </xf>
    <xf numFmtId="3" fontId="14" fillId="8" borderId="3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left" vertical="center"/>
    </xf>
    <xf numFmtId="0" fontId="7" fillId="5" borderId="1" xfId="0" applyFont="1" applyFill="1" applyBorder="1"/>
    <xf numFmtId="3" fontId="7" fillId="5" borderId="1" xfId="0" applyNumberFormat="1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/>
    </xf>
    <xf numFmtId="3" fontId="15" fillId="0" borderId="9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wrapText="1"/>
    </xf>
    <xf numFmtId="3" fontId="7" fillId="0" borderId="10" xfId="0" applyNumberFormat="1" applyFont="1" applyFill="1" applyBorder="1" applyAlignment="1">
      <alignment horizontal="left"/>
    </xf>
    <xf numFmtId="3" fontId="7" fillId="0" borderId="10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3" fontId="7" fillId="10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wrapText="1"/>
    </xf>
    <xf numFmtId="0" fontId="12" fillId="0" borderId="2" xfId="0" applyFont="1" applyFill="1" applyBorder="1" applyAlignment="1">
      <alignment vertical="center"/>
    </xf>
    <xf numFmtId="3" fontId="11" fillId="0" borderId="2" xfId="0" applyNumberFormat="1" applyFont="1" applyFill="1" applyBorder="1" applyAlignment="1">
      <alignment horizontal="center" vertical="center"/>
    </xf>
    <xf numFmtId="3" fontId="11" fillId="8" borderId="2" xfId="0" applyNumberFormat="1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/>
    </xf>
    <xf numFmtId="3" fontId="15" fillId="8" borderId="13" xfId="0" applyNumberFormat="1" applyFont="1" applyFill="1" applyBorder="1" applyAlignment="1">
      <alignment horizontal="left"/>
    </xf>
    <xf numFmtId="3" fontId="15" fillId="8" borderId="9" xfId="0" applyNumberFormat="1" applyFont="1" applyFill="1" applyBorder="1" applyAlignment="1">
      <alignment horizontal="left"/>
    </xf>
    <xf numFmtId="3" fontId="11" fillId="8" borderId="13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3" fontId="10" fillId="4" borderId="1" xfId="0" applyNumberFormat="1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vertical="center"/>
    </xf>
    <xf numFmtId="3" fontId="14" fillId="5" borderId="3" xfId="0" applyNumberFormat="1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vertical="center"/>
    </xf>
    <xf numFmtId="3" fontId="15" fillId="8" borderId="0" xfId="0" applyNumberFormat="1" applyFont="1" applyFill="1" applyBorder="1" applyAlignment="1">
      <alignment horizontal="left"/>
    </xf>
    <xf numFmtId="0" fontId="10" fillId="3" borderId="5" xfId="0" applyFont="1" applyFill="1" applyBorder="1"/>
    <xf numFmtId="3" fontId="10" fillId="4" borderId="1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vertical="center"/>
    </xf>
    <xf numFmtId="3" fontId="14" fillId="7" borderId="3" xfId="0" applyNumberFormat="1" applyFont="1" applyFill="1" applyBorder="1" applyAlignment="1">
      <alignment horizontal="center" vertical="center"/>
    </xf>
    <xf numFmtId="3" fontId="7" fillId="11" borderId="13" xfId="0" applyNumberFormat="1" applyFont="1" applyFill="1" applyBorder="1" applyAlignment="1">
      <alignment horizontal="left"/>
    </xf>
    <xf numFmtId="3" fontId="7" fillId="11" borderId="2" xfId="0" applyNumberFormat="1" applyFont="1" applyFill="1" applyBorder="1" applyAlignment="1">
      <alignment horizontal="left"/>
    </xf>
    <xf numFmtId="3" fontId="7" fillId="11" borderId="2" xfId="0" applyNumberFormat="1" applyFont="1" applyFill="1" applyBorder="1" applyAlignment="1">
      <alignment horizontal="center" vertical="center" wrapText="1"/>
    </xf>
    <xf numFmtId="3" fontId="7" fillId="11" borderId="13" xfId="0" applyNumberFormat="1" applyFont="1" applyFill="1" applyBorder="1" applyAlignment="1">
      <alignment horizontal="center" vertical="center" wrapText="1"/>
    </xf>
    <xf numFmtId="3" fontId="11" fillId="6" borderId="7" xfId="0" applyNumberFormat="1" applyFont="1" applyFill="1" applyBorder="1" applyAlignment="1">
      <alignment horizontal="center" vertical="center"/>
    </xf>
    <xf numFmtId="3" fontId="7" fillId="10" borderId="13" xfId="0" applyNumberFormat="1" applyFont="1" applyFill="1" applyBorder="1" applyAlignment="1">
      <alignment horizontal="left"/>
    </xf>
    <xf numFmtId="3" fontId="7" fillId="10" borderId="13" xfId="0" applyNumberFormat="1" applyFont="1" applyFill="1" applyBorder="1" applyAlignment="1">
      <alignment horizontal="center" vertical="center" wrapText="1"/>
    </xf>
    <xf numFmtId="3" fontId="7" fillId="10" borderId="10" xfId="0" applyNumberFormat="1" applyFont="1" applyFill="1" applyBorder="1" applyAlignment="1">
      <alignment horizontal="left"/>
    </xf>
    <xf numFmtId="3" fontId="7" fillId="10" borderId="10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/>
    </xf>
    <xf numFmtId="3" fontId="7" fillId="5" borderId="13" xfId="0" applyNumberFormat="1" applyFont="1" applyFill="1" applyBorder="1" applyAlignment="1">
      <alignment horizontal="left"/>
    </xf>
    <xf numFmtId="3" fontId="7" fillId="5" borderId="2" xfId="0" applyNumberFormat="1" applyFont="1" applyFill="1" applyBorder="1" applyAlignment="1">
      <alignment horizontal="left"/>
    </xf>
    <xf numFmtId="3" fontId="7" fillId="5" borderId="13" xfId="0" applyNumberFormat="1" applyFont="1" applyFill="1" applyBorder="1" applyAlignment="1">
      <alignment horizontal="center" vertical="center" wrapText="1"/>
    </xf>
    <xf numFmtId="3" fontId="7" fillId="13" borderId="13" xfId="0" applyNumberFormat="1" applyFont="1" applyFill="1" applyBorder="1" applyAlignment="1">
      <alignment horizontal="left"/>
    </xf>
    <xf numFmtId="3" fontId="7" fillId="13" borderId="2" xfId="0" applyNumberFormat="1" applyFont="1" applyFill="1" applyBorder="1" applyAlignment="1">
      <alignment horizontal="center" vertical="center" wrapText="1"/>
    </xf>
    <xf numFmtId="3" fontId="7" fillId="13" borderId="13" xfId="0" applyNumberFormat="1" applyFont="1" applyFill="1" applyBorder="1" applyAlignment="1">
      <alignment horizontal="center" vertical="center" wrapText="1"/>
    </xf>
    <xf numFmtId="3" fontId="7" fillId="7" borderId="13" xfId="0" applyNumberFormat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vertical="center"/>
    </xf>
    <xf numFmtId="0" fontId="0" fillId="0" borderId="0" xfId="0" applyFill="1" applyBorder="1"/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left"/>
    </xf>
    <xf numFmtId="0" fontId="7" fillId="0" borderId="1" xfId="0" applyFont="1" applyFill="1" applyBorder="1"/>
    <xf numFmtId="0" fontId="7" fillId="8" borderId="1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/>
    </xf>
    <xf numFmtId="0" fontId="7" fillId="8" borderId="14" xfId="0" applyFont="1" applyFill="1" applyBorder="1" applyAlignment="1">
      <alignment horizontal="center"/>
    </xf>
    <xf numFmtId="0" fontId="7" fillId="5" borderId="11" xfId="0" applyFont="1" applyFill="1" applyBorder="1"/>
    <xf numFmtId="3" fontId="7" fillId="15" borderId="2" xfId="0" applyNumberFormat="1" applyFont="1" applyFill="1" applyBorder="1" applyAlignment="1">
      <alignment horizontal="left"/>
    </xf>
    <xf numFmtId="3" fontId="7" fillId="15" borderId="2" xfId="0" applyNumberFormat="1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/>
    </xf>
    <xf numFmtId="3" fontId="7" fillId="10" borderId="0" xfId="0" applyNumberFormat="1" applyFont="1" applyFill="1" applyBorder="1" applyAlignment="1">
      <alignment horizontal="left"/>
    </xf>
    <xf numFmtId="3" fontId="7" fillId="10" borderId="7" xfId="0" applyNumberFormat="1" applyFont="1" applyFill="1" applyBorder="1" applyAlignment="1">
      <alignment horizontal="center" vertical="center" wrapText="1"/>
    </xf>
    <xf numFmtId="3" fontId="7" fillId="0" borderId="7" xfId="0" applyNumberFormat="1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left"/>
    </xf>
    <xf numFmtId="3" fontId="7" fillId="10" borderId="14" xfId="0" applyNumberFormat="1" applyFont="1" applyFill="1" applyBorder="1" applyAlignment="1">
      <alignment horizontal="left"/>
    </xf>
    <xf numFmtId="0" fontId="7" fillId="8" borderId="1" xfId="0" applyFont="1" applyFill="1" applyBorder="1" applyAlignment="1">
      <alignment wrapText="1"/>
    </xf>
    <xf numFmtId="0" fontId="7" fillId="8" borderId="3" xfId="0" applyFont="1" applyFill="1" applyBorder="1" applyAlignment="1">
      <alignment horizontal="center"/>
    </xf>
    <xf numFmtId="0" fontId="7" fillId="8" borderId="4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left"/>
    </xf>
    <xf numFmtId="0" fontId="7" fillId="8" borderId="5" xfId="0" applyFont="1" applyFill="1" applyBorder="1" applyAlignment="1">
      <alignment horizontal="center"/>
    </xf>
    <xf numFmtId="0" fontId="7" fillId="8" borderId="3" xfId="0" applyFont="1" applyFill="1" applyBorder="1"/>
    <xf numFmtId="3" fontId="7" fillId="11" borderId="7" xfId="0" applyNumberFormat="1" applyFont="1" applyFill="1" applyBorder="1" applyAlignment="1">
      <alignment horizontal="left"/>
    </xf>
    <xf numFmtId="0" fontId="7" fillId="8" borderId="3" xfId="0" applyFont="1" applyFill="1" applyBorder="1" applyAlignment="1">
      <alignment wrapText="1"/>
    </xf>
    <xf numFmtId="0" fontId="16" fillId="5" borderId="2" xfId="0" applyFont="1" applyFill="1" applyBorder="1" applyAlignment="1">
      <alignment horizontal="left"/>
    </xf>
    <xf numFmtId="3" fontId="7" fillId="8" borderId="3" xfId="0" applyNumberFormat="1" applyFont="1" applyFill="1" applyBorder="1" applyAlignment="1">
      <alignment horizontal="center" vertical="center"/>
    </xf>
    <xf numFmtId="3" fontId="7" fillId="8" borderId="3" xfId="0" applyNumberFormat="1" applyFont="1" applyFill="1" applyBorder="1" applyAlignment="1">
      <alignment horizontal="center" vertical="center" wrapText="1"/>
    </xf>
    <xf numFmtId="0" fontId="13" fillId="16" borderId="0" xfId="0" applyFont="1" applyFill="1" applyBorder="1" applyAlignment="1">
      <alignment horizontal="center"/>
    </xf>
    <xf numFmtId="0" fontId="13" fillId="16" borderId="0" xfId="0" applyFont="1" applyFill="1" applyBorder="1" applyAlignment="1">
      <alignment horizontal="left"/>
    </xf>
    <xf numFmtId="3" fontId="10" fillId="16" borderId="0" xfId="0" applyNumberFormat="1" applyFont="1" applyFill="1" applyBorder="1" applyAlignment="1">
      <alignment horizontal="left" vertical="center"/>
    </xf>
    <xf numFmtId="3" fontId="10" fillId="16" borderId="0" xfId="0" applyNumberFormat="1" applyFont="1" applyFill="1" applyBorder="1" applyAlignment="1">
      <alignment horizontal="center" vertical="center"/>
    </xf>
    <xf numFmtId="3" fontId="7" fillId="7" borderId="10" xfId="0" applyNumberFormat="1" applyFont="1" applyFill="1" applyBorder="1" applyAlignment="1">
      <alignment horizontal="left"/>
    </xf>
    <xf numFmtId="3" fontId="7" fillId="7" borderId="10" xfId="0" applyNumberFormat="1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left"/>
    </xf>
    <xf numFmtId="0" fontId="16" fillId="8" borderId="2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left"/>
    </xf>
    <xf numFmtId="0" fontId="7" fillId="5" borderId="14" xfId="0" applyFont="1" applyFill="1" applyBorder="1" applyAlignment="1">
      <alignment horizontal="center"/>
    </xf>
    <xf numFmtId="0" fontId="7" fillId="5" borderId="1" xfId="0" applyFont="1" applyFill="1" applyBorder="1" applyAlignment="1">
      <alignment wrapText="1"/>
    </xf>
    <xf numFmtId="3" fontId="7" fillId="8" borderId="10" xfId="0" applyNumberFormat="1" applyFont="1" applyFill="1" applyBorder="1" applyAlignment="1">
      <alignment horizontal="left"/>
    </xf>
    <xf numFmtId="0" fontId="10" fillId="3" borderId="5" xfId="0" applyFont="1" applyFill="1" applyBorder="1" applyAlignment="1">
      <alignment vertical="center"/>
    </xf>
    <xf numFmtId="3" fontId="10" fillId="4" borderId="10" xfId="0" applyNumberFormat="1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vertical="center"/>
    </xf>
    <xf numFmtId="3" fontId="12" fillId="8" borderId="2" xfId="0" applyNumberFormat="1" applyFont="1" applyFill="1" applyBorder="1" applyAlignment="1">
      <alignment horizontal="center" vertical="center"/>
    </xf>
    <xf numFmtId="3" fontId="13" fillId="8" borderId="2" xfId="0" applyNumberFormat="1" applyFont="1" applyFill="1" applyBorder="1" applyAlignment="1">
      <alignment horizontal="left"/>
    </xf>
    <xf numFmtId="0" fontId="7" fillId="5" borderId="11" xfId="0" applyFont="1" applyFill="1" applyBorder="1" applyAlignment="1">
      <alignment horizontal="left"/>
    </xf>
    <xf numFmtId="0" fontId="7" fillId="8" borderId="11" xfId="0" applyFont="1" applyFill="1" applyBorder="1"/>
    <xf numFmtId="0" fontId="17" fillId="3" borderId="5" xfId="0" applyFont="1" applyFill="1" applyBorder="1"/>
    <xf numFmtId="0" fontId="7" fillId="5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5" borderId="1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vertical="center"/>
    </xf>
    <xf numFmtId="3" fontId="13" fillId="0" borderId="13" xfId="0" applyNumberFormat="1" applyFont="1" applyFill="1" applyBorder="1" applyAlignment="1">
      <alignment horizontal="left"/>
    </xf>
    <xf numFmtId="3" fontId="12" fillId="0" borderId="2" xfId="0" applyNumberFormat="1" applyFont="1" applyFill="1" applyBorder="1" applyAlignment="1">
      <alignment horizontal="center" vertical="center" wrapText="1"/>
    </xf>
    <xf numFmtId="3" fontId="13" fillId="0" borderId="2" xfId="0" applyNumberFormat="1" applyFont="1" applyFill="1" applyBorder="1" applyAlignment="1">
      <alignment horizontal="center" vertical="center" wrapText="1"/>
    </xf>
    <xf numFmtId="0" fontId="7" fillId="7" borderId="11" xfId="0" applyFont="1" applyFill="1" applyBorder="1"/>
    <xf numFmtId="3" fontId="15" fillId="0" borderId="3" xfId="0" applyNumberFormat="1" applyFont="1" applyFill="1" applyBorder="1" applyAlignment="1">
      <alignment horizontal="left"/>
    </xf>
    <xf numFmtId="3" fontId="7" fillId="12" borderId="2" xfId="0" applyNumberFormat="1" applyFont="1" applyFill="1" applyBorder="1" applyAlignment="1">
      <alignment horizontal="center" vertical="center" wrapText="1"/>
    </xf>
    <xf numFmtId="3" fontId="10" fillId="0" borderId="9" xfId="0" applyNumberFormat="1" applyFont="1" applyFill="1" applyBorder="1" applyAlignment="1"/>
    <xf numFmtId="3" fontId="10" fillId="0" borderId="0" xfId="0" applyNumberFormat="1" applyFont="1" applyFill="1" applyBorder="1" applyAlignment="1"/>
    <xf numFmtId="0" fontId="14" fillId="8" borderId="2" xfId="0" applyFont="1" applyFill="1" applyBorder="1"/>
    <xf numFmtId="3" fontId="14" fillId="8" borderId="2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0" fontId="10" fillId="4" borderId="0" xfId="0" applyFont="1" applyFill="1" applyBorder="1"/>
    <xf numFmtId="3" fontId="7" fillId="8" borderId="7" xfId="0" applyNumberFormat="1" applyFont="1" applyFill="1" applyBorder="1" applyAlignment="1">
      <alignment horizontal="left"/>
    </xf>
    <xf numFmtId="0" fontId="14" fillId="8" borderId="3" xfId="0" applyFont="1" applyFill="1" applyBorder="1"/>
    <xf numFmtId="3" fontId="14" fillId="8" borderId="3" xfId="0" applyNumberFormat="1" applyFont="1" applyFill="1" applyBorder="1" applyAlignment="1">
      <alignment horizontal="left"/>
    </xf>
    <xf numFmtId="0" fontId="7" fillId="0" borderId="3" xfId="0" applyFont="1" applyFill="1" applyBorder="1"/>
    <xf numFmtId="0" fontId="14" fillId="7" borderId="2" xfId="0" applyFont="1" applyFill="1" applyBorder="1"/>
    <xf numFmtId="3" fontId="14" fillId="7" borderId="2" xfId="0" applyNumberFormat="1" applyFont="1" applyFill="1" applyBorder="1" applyAlignment="1">
      <alignment horizontal="left"/>
    </xf>
    <xf numFmtId="0" fontId="7" fillId="5" borderId="3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left"/>
    </xf>
    <xf numFmtId="0" fontId="7" fillId="5" borderId="3" xfId="0" applyFont="1" applyFill="1" applyBorder="1"/>
    <xf numFmtId="3" fontId="7" fillId="5" borderId="7" xfId="0" applyNumberFormat="1" applyFont="1" applyFill="1" applyBorder="1" applyAlignment="1">
      <alignment horizontal="left"/>
    </xf>
    <xf numFmtId="3" fontId="7" fillId="5" borderId="3" xfId="0" applyNumberFormat="1" applyFont="1" applyFill="1" applyBorder="1" applyAlignment="1">
      <alignment horizontal="center" vertical="center"/>
    </xf>
    <xf numFmtId="3" fontId="7" fillId="5" borderId="3" xfId="0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wrapText="1"/>
    </xf>
    <xf numFmtId="3" fontId="7" fillId="5" borderId="10" xfId="0" applyNumberFormat="1" applyFont="1" applyFill="1" applyBorder="1" applyAlignment="1">
      <alignment horizontal="left"/>
    </xf>
    <xf numFmtId="0" fontId="14" fillId="5" borderId="2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/>
    <xf numFmtId="3" fontId="7" fillId="5" borderId="15" xfId="0" applyNumberFormat="1" applyFont="1" applyFill="1" applyBorder="1" applyAlignment="1">
      <alignment horizontal="left"/>
    </xf>
    <xf numFmtId="3" fontId="14" fillId="5" borderId="2" xfId="0" applyNumberFormat="1" applyFont="1" applyFill="1" applyBorder="1" applyAlignment="1">
      <alignment horizontal="left"/>
    </xf>
    <xf numFmtId="3" fontId="20" fillId="4" borderId="2" xfId="0" applyNumberFormat="1" applyFont="1" applyFill="1" applyBorder="1" applyAlignment="1">
      <alignment horizontal="left"/>
    </xf>
    <xf numFmtId="3" fontId="10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3" fontId="10" fillId="4" borderId="2" xfId="0" applyNumberFormat="1" applyFont="1" applyFill="1" applyBorder="1" applyAlignment="1">
      <alignment vertical="center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Fill="1" applyAlignment="1">
      <alignment horizontal="left"/>
    </xf>
    <xf numFmtId="0" fontId="22" fillId="0" borderId="0" xfId="0" applyFont="1"/>
    <xf numFmtId="3" fontId="22" fillId="0" borderId="0" xfId="0" applyNumberFormat="1" applyFont="1" applyFill="1" applyAlignment="1">
      <alignment horizontal="left"/>
    </xf>
    <xf numFmtId="3" fontId="21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 wrapText="1"/>
    </xf>
    <xf numFmtId="3" fontId="23" fillId="0" borderId="0" xfId="0" applyNumberFormat="1" applyFont="1" applyAlignment="1">
      <alignment horizontal="center" vertical="center" wrapText="1"/>
    </xf>
    <xf numFmtId="3" fontId="23" fillId="0" borderId="0" xfId="0" applyNumberFormat="1" applyFont="1" applyFill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wrapText="1"/>
    </xf>
    <xf numFmtId="0" fontId="23" fillId="0" borderId="0" xfId="0" applyFont="1" applyAlignment="1">
      <alignment horizontal="left"/>
    </xf>
    <xf numFmtId="0" fontId="23" fillId="0" borderId="0" xfId="0" applyFont="1" applyFill="1" applyAlignment="1">
      <alignment horizontal="left"/>
    </xf>
    <xf numFmtId="0" fontId="23" fillId="0" borderId="0" xfId="0" applyFont="1"/>
    <xf numFmtId="3" fontId="23" fillId="0" borderId="0" xfId="0" applyNumberFormat="1" applyFont="1" applyFill="1" applyAlignment="1">
      <alignment horizontal="left"/>
    </xf>
    <xf numFmtId="3" fontId="23" fillId="0" borderId="0" xfId="0" applyNumberFormat="1" applyFont="1" applyFill="1" applyAlignment="1">
      <alignment vertical="center"/>
    </xf>
    <xf numFmtId="0" fontId="0" fillId="0" borderId="0" xfId="0" applyAlignment="1">
      <alignment wrapText="1"/>
    </xf>
    <xf numFmtId="3" fontId="23" fillId="0" borderId="0" xfId="0" applyNumberFormat="1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textRotation="255" wrapText="1"/>
    </xf>
    <xf numFmtId="0" fontId="18" fillId="0" borderId="0" xfId="0" applyFont="1" applyFill="1" applyBorder="1" applyAlignment="1">
      <alignment vertical="center"/>
    </xf>
    <xf numFmtId="3" fontId="7" fillId="18" borderId="12" xfId="0" applyNumberFormat="1" applyFont="1" applyFill="1" applyBorder="1" applyAlignment="1">
      <alignment horizontal="center" vertical="center" wrapText="1"/>
    </xf>
    <xf numFmtId="3" fontId="7" fillId="18" borderId="2" xfId="0" applyNumberFormat="1" applyFont="1" applyFill="1" applyBorder="1" applyAlignment="1">
      <alignment horizontal="center" vertical="center" wrapText="1"/>
    </xf>
    <xf numFmtId="3" fontId="7" fillId="18" borderId="5" xfId="0" applyNumberFormat="1" applyFont="1" applyFill="1" applyBorder="1" applyAlignment="1">
      <alignment horizontal="center" vertical="center" wrapText="1"/>
    </xf>
    <xf numFmtId="3" fontId="7" fillId="18" borderId="14" xfId="0" applyNumberFormat="1" applyFont="1" applyFill="1" applyBorder="1" applyAlignment="1">
      <alignment horizontal="center" vertical="center" wrapText="1"/>
    </xf>
    <xf numFmtId="3" fontId="12" fillId="18" borderId="12" xfId="0" applyNumberFormat="1" applyFont="1" applyFill="1" applyBorder="1" applyAlignment="1">
      <alignment horizontal="center" vertical="center" wrapText="1"/>
    </xf>
    <xf numFmtId="3" fontId="7" fillId="18" borderId="3" xfId="0" applyNumberFormat="1" applyFont="1" applyFill="1" applyBorder="1" applyAlignment="1">
      <alignment horizontal="center" vertical="center" wrapText="1"/>
    </xf>
    <xf numFmtId="3" fontId="7" fillId="18" borderId="1" xfId="0" applyNumberFormat="1" applyFont="1" applyFill="1" applyBorder="1" applyAlignment="1">
      <alignment horizontal="center" vertical="center" wrapText="1"/>
    </xf>
    <xf numFmtId="3" fontId="7" fillId="19" borderId="12" xfId="0" applyNumberFormat="1" applyFont="1" applyFill="1" applyBorder="1" applyAlignment="1">
      <alignment horizontal="center" vertical="center" wrapText="1"/>
    </xf>
    <xf numFmtId="3" fontId="7" fillId="19" borderId="2" xfId="0" applyNumberFormat="1" applyFont="1" applyFill="1" applyBorder="1" applyAlignment="1">
      <alignment horizontal="center" vertical="center" wrapText="1"/>
    </xf>
    <xf numFmtId="3" fontId="7" fillId="19" borderId="11" xfId="0" applyNumberFormat="1" applyFont="1" applyFill="1" applyBorder="1" applyAlignment="1">
      <alignment horizontal="center" vertical="center" wrapText="1"/>
    </xf>
    <xf numFmtId="3" fontId="7" fillId="19" borderId="6" xfId="0" applyNumberFormat="1" applyFont="1" applyFill="1" applyBorder="1" applyAlignment="1">
      <alignment horizontal="center" vertical="center" wrapText="1"/>
    </xf>
    <xf numFmtId="3" fontId="7" fillId="20" borderId="12" xfId="0" applyNumberFormat="1" applyFont="1" applyFill="1" applyBorder="1" applyAlignment="1">
      <alignment horizontal="center" vertical="center" wrapText="1"/>
    </xf>
    <xf numFmtId="3" fontId="7" fillId="20" borderId="2" xfId="0" applyNumberFormat="1" applyFont="1" applyFill="1" applyBorder="1" applyAlignment="1">
      <alignment horizontal="center" vertical="center" wrapText="1"/>
    </xf>
    <xf numFmtId="3" fontId="7" fillId="20" borderId="14" xfId="0" applyNumberFormat="1" applyFont="1" applyFill="1" applyBorder="1" applyAlignment="1">
      <alignment horizontal="center" vertical="center" wrapText="1"/>
    </xf>
    <xf numFmtId="3" fontId="7" fillId="20" borderId="1" xfId="0" applyNumberFormat="1" applyFont="1" applyFill="1" applyBorder="1" applyAlignment="1">
      <alignment horizontal="center" vertical="center" wrapText="1"/>
    </xf>
    <xf numFmtId="3" fontId="7" fillId="20" borderId="3" xfId="0" applyNumberFormat="1" applyFont="1" applyFill="1" applyBorder="1" applyAlignment="1">
      <alignment horizontal="center" vertical="center" wrapText="1"/>
    </xf>
    <xf numFmtId="3" fontId="14" fillId="20" borderId="2" xfId="0" applyNumberFormat="1" applyFont="1" applyFill="1" applyBorder="1" applyAlignment="1">
      <alignment horizontal="center" vertical="center"/>
    </xf>
    <xf numFmtId="3" fontId="7" fillId="20" borderId="2" xfId="0" applyNumberFormat="1" applyFont="1" applyFill="1" applyBorder="1" applyAlignment="1">
      <alignment horizontal="center" vertical="center"/>
    </xf>
    <xf numFmtId="0" fontId="2" fillId="0" borderId="0" xfId="1"/>
    <xf numFmtId="0" fontId="2" fillId="16" borderId="0" xfId="1" applyFill="1"/>
    <xf numFmtId="0" fontId="27" fillId="16" borderId="0" xfId="2" applyFill="1"/>
    <xf numFmtId="0" fontId="27" fillId="16" borderId="0" xfId="2" applyFill="1" applyAlignment="1">
      <alignment horizontal="center"/>
    </xf>
    <xf numFmtId="0" fontId="28" fillId="16" borderId="2" xfId="2" applyFont="1" applyFill="1" applyBorder="1" applyAlignment="1">
      <alignment horizontal="center" vertical="center" wrapText="1"/>
    </xf>
    <xf numFmtId="3" fontId="28" fillId="16" borderId="2" xfId="2" applyNumberFormat="1" applyFont="1" applyFill="1" applyBorder="1" applyAlignment="1">
      <alignment horizontal="center" vertical="center" wrapText="1"/>
    </xf>
    <xf numFmtId="0" fontId="29" fillId="16" borderId="2" xfId="2" applyFont="1" applyFill="1" applyBorder="1" applyAlignment="1">
      <alignment horizontal="center" vertical="center" wrapText="1"/>
    </xf>
    <xf numFmtId="3" fontId="27" fillId="16" borderId="0" xfId="2" applyNumberFormat="1" applyFill="1"/>
    <xf numFmtId="0" fontId="28" fillId="16" borderId="2" xfId="2" applyFont="1" applyFill="1" applyBorder="1"/>
    <xf numFmtId="164" fontId="27" fillId="16" borderId="2" xfId="2" applyNumberFormat="1" applyFill="1" applyBorder="1" applyAlignment="1">
      <alignment vertical="center"/>
    </xf>
    <xf numFmtId="3" fontId="27" fillId="16" borderId="2" xfId="2" applyNumberFormat="1" applyFill="1" applyBorder="1"/>
    <xf numFmtId="3" fontId="28" fillId="16" borderId="2" xfId="2" applyNumberFormat="1" applyFont="1" applyFill="1" applyBorder="1"/>
    <xf numFmtId="10" fontId="27" fillId="16" borderId="2" xfId="3" applyNumberFormat="1" applyFont="1" applyFill="1" applyBorder="1" applyAlignment="1">
      <alignment vertical="center" wrapText="1"/>
    </xf>
    <xf numFmtId="10" fontId="27" fillId="16" borderId="2" xfId="3" applyNumberFormat="1" applyFont="1" applyFill="1" applyBorder="1"/>
    <xf numFmtId="10" fontId="27" fillId="16" borderId="0" xfId="2" applyNumberFormat="1" applyFill="1"/>
    <xf numFmtId="3" fontId="27" fillId="16" borderId="2" xfId="4" applyNumberFormat="1" applyFont="1" applyFill="1" applyBorder="1"/>
    <xf numFmtId="164" fontId="27" fillId="16" borderId="2" xfId="2" applyNumberFormat="1" applyFill="1" applyBorder="1"/>
    <xf numFmtId="165" fontId="27" fillId="16" borderId="2" xfId="3" applyNumberFormat="1" applyFont="1" applyFill="1" applyBorder="1" applyAlignment="1">
      <alignment vertical="center" wrapText="1"/>
    </xf>
    <xf numFmtId="1" fontId="27" fillId="16" borderId="0" xfId="2" applyNumberFormat="1" applyFill="1"/>
    <xf numFmtId="164" fontId="27" fillId="16" borderId="0" xfId="2" applyNumberFormat="1" applyFill="1"/>
    <xf numFmtId="165" fontId="27" fillId="16" borderId="0" xfId="3" applyNumberFormat="1" applyFont="1" applyFill="1"/>
    <xf numFmtId="0" fontId="31" fillId="16" borderId="0" xfId="2" applyFont="1" applyFill="1"/>
    <xf numFmtId="3" fontId="31" fillId="16" borderId="0" xfId="5" applyNumberFormat="1" applyFont="1" applyFill="1" applyAlignment="1">
      <alignment horizontal="center" vertical="center" wrapText="1"/>
    </xf>
    <xf numFmtId="10" fontId="27" fillId="16" borderId="0" xfId="3" applyNumberFormat="1" applyFont="1" applyFill="1"/>
    <xf numFmtId="10" fontId="31" fillId="16" borderId="0" xfId="5" applyNumberFormat="1" applyFont="1" applyFill="1" applyAlignment="1">
      <alignment horizontal="center" vertical="center" wrapText="1"/>
    </xf>
    <xf numFmtId="9" fontId="31" fillId="16" borderId="0" xfId="2" applyNumberFormat="1" applyFont="1" applyFill="1"/>
    <xf numFmtId="3" fontId="27" fillId="16" borderId="0" xfId="3" applyNumberFormat="1" applyFont="1" applyFill="1"/>
    <xf numFmtId="9" fontId="27" fillId="16" borderId="0" xfId="3" applyFont="1" applyFill="1"/>
    <xf numFmtId="3" fontId="27" fillId="16" borderId="0" xfId="4" applyNumberFormat="1" applyFont="1" applyFill="1"/>
    <xf numFmtId="9" fontId="27" fillId="16" borderId="0" xfId="5" applyFill="1"/>
    <xf numFmtId="3" fontId="31" fillId="16" borderId="0" xfId="4" applyNumberFormat="1" applyFont="1" applyFill="1"/>
    <xf numFmtId="3" fontId="32" fillId="16" borderId="16" xfId="6" applyNumberFormat="1" applyFont="1" applyFill="1" applyBorder="1" applyAlignment="1">
      <alignment horizontal="right" wrapText="1" readingOrder="1"/>
    </xf>
    <xf numFmtId="10" fontId="32" fillId="16" borderId="17" xfId="6" applyNumberFormat="1" applyFont="1" applyFill="1" applyBorder="1" applyAlignment="1">
      <alignment horizontal="center" wrapText="1" readingOrder="1"/>
    </xf>
    <xf numFmtId="166" fontId="31" fillId="16" borderId="0" xfId="7" applyNumberFormat="1" applyFont="1" applyFill="1"/>
    <xf numFmtId="43" fontId="31" fillId="16" borderId="0" xfId="7" applyFont="1" applyFill="1"/>
    <xf numFmtId="9" fontId="27" fillId="16" borderId="0" xfId="2" applyNumberFormat="1" applyFill="1"/>
    <xf numFmtId="3" fontId="31" fillId="16" borderId="0" xfId="2" applyNumberFormat="1" applyFont="1" applyFill="1"/>
    <xf numFmtId="3" fontId="27" fillId="16" borderId="0" xfId="4" applyNumberFormat="1" applyFont="1" applyFill="1" applyAlignment="1">
      <alignment wrapText="1"/>
    </xf>
    <xf numFmtId="9" fontId="31" fillId="16" borderId="0" xfId="4" applyFont="1" applyFill="1"/>
    <xf numFmtId="10" fontId="27" fillId="16" borderId="0" xfId="4" applyNumberFormat="1" applyFont="1" applyFill="1"/>
    <xf numFmtId="0" fontId="28" fillId="16" borderId="0" xfId="2" applyFont="1" applyFill="1"/>
    <xf numFmtId="0" fontId="27" fillId="16" borderId="0" xfId="2" applyFill="1" applyAlignment="1">
      <alignment wrapText="1"/>
    </xf>
    <xf numFmtId="0" fontId="33" fillId="16" borderId="23" xfId="2" applyFont="1" applyFill="1" applyBorder="1" applyAlignment="1">
      <alignment vertical="center"/>
    </xf>
    <xf numFmtId="0" fontId="28" fillId="21" borderId="20" xfId="2" applyFont="1" applyFill="1" applyBorder="1" applyAlignment="1">
      <alignment horizontal="center" vertical="center"/>
    </xf>
    <xf numFmtId="3" fontId="28" fillId="21" borderId="24" xfId="2" applyNumberFormat="1" applyFont="1" applyFill="1" applyBorder="1" applyAlignment="1">
      <alignment horizontal="center" vertical="center"/>
    </xf>
    <xf numFmtId="3" fontId="28" fillId="21" borderId="25" xfId="2" applyNumberFormat="1" applyFont="1" applyFill="1" applyBorder="1" applyAlignment="1">
      <alignment horizontal="center" vertical="center"/>
    </xf>
    <xf numFmtId="3" fontId="28" fillId="21" borderId="21" xfId="2" applyNumberFormat="1" applyFont="1" applyFill="1" applyBorder="1" applyAlignment="1">
      <alignment horizontal="center" vertical="center" wrapText="1"/>
    </xf>
    <xf numFmtId="3" fontId="28" fillId="21" borderId="20" xfId="2" applyNumberFormat="1" applyFont="1" applyFill="1" applyBorder="1" applyAlignment="1">
      <alignment horizontal="center" vertical="center" wrapText="1"/>
    </xf>
    <xf numFmtId="3" fontId="28" fillId="21" borderId="26" xfId="2" applyNumberFormat="1" applyFont="1" applyFill="1" applyBorder="1" applyAlignment="1">
      <alignment horizontal="center" vertical="center" wrapText="1"/>
    </xf>
    <xf numFmtId="3" fontId="28" fillId="21" borderId="27" xfId="2" applyNumberFormat="1" applyFont="1" applyFill="1" applyBorder="1" applyAlignment="1">
      <alignment horizontal="center" vertical="center" wrapText="1"/>
    </xf>
    <xf numFmtId="3" fontId="28" fillId="21" borderId="28" xfId="2" applyNumberFormat="1" applyFont="1" applyFill="1" applyBorder="1" applyAlignment="1">
      <alignment horizontal="center" vertical="center" wrapText="1"/>
    </xf>
    <xf numFmtId="3" fontId="28" fillId="22" borderId="27" xfId="2" applyNumberFormat="1" applyFont="1" applyFill="1" applyBorder="1" applyAlignment="1">
      <alignment horizontal="center" vertical="center" wrapText="1"/>
    </xf>
    <xf numFmtId="0" fontId="28" fillId="21" borderId="22" xfId="2" applyFont="1" applyFill="1" applyBorder="1" applyAlignment="1">
      <alignment horizontal="center" vertical="center" wrapText="1"/>
    </xf>
    <xf numFmtId="0" fontId="2" fillId="16" borderId="0" xfId="1" applyFill="1" applyAlignment="1">
      <alignment vertical="center"/>
    </xf>
    <xf numFmtId="0" fontId="28" fillId="16" borderId="29" xfId="2" applyFont="1" applyFill="1" applyBorder="1" applyAlignment="1">
      <alignment vertical="center"/>
    </xf>
    <xf numFmtId="3" fontId="27" fillId="16" borderId="30" xfId="2" applyNumberFormat="1" applyFill="1" applyBorder="1" applyAlignment="1">
      <alignment vertical="center"/>
    </xf>
    <xf numFmtId="9" fontId="27" fillId="16" borderId="31" xfId="5" applyFill="1" applyBorder="1" applyAlignment="1">
      <alignment horizontal="center" vertical="center"/>
    </xf>
    <xf numFmtId="9" fontId="27" fillId="16" borderId="4" xfId="5" applyFill="1" applyBorder="1" applyAlignment="1">
      <alignment horizontal="center" vertical="center" wrapText="1"/>
    </xf>
    <xf numFmtId="3" fontId="27" fillId="16" borderId="7" xfId="2" applyNumberFormat="1" applyFill="1" applyBorder="1" applyAlignment="1">
      <alignment vertical="center"/>
    </xf>
    <xf numFmtId="10" fontId="28" fillId="16" borderId="3" xfId="5" applyNumberFormat="1" applyFont="1" applyFill="1" applyBorder="1" applyAlignment="1">
      <alignment horizontal="center" vertical="center" wrapText="1"/>
    </xf>
    <xf numFmtId="0" fontId="28" fillId="16" borderId="33" xfId="2" applyFont="1" applyFill="1" applyBorder="1" applyAlignment="1">
      <alignment vertical="center"/>
    </xf>
    <xf numFmtId="9" fontId="27" fillId="16" borderId="35" xfId="5" applyFill="1" applyBorder="1" applyAlignment="1">
      <alignment horizontal="center" vertical="center"/>
    </xf>
    <xf numFmtId="9" fontId="27" fillId="16" borderId="11" xfId="5" applyFill="1" applyBorder="1" applyAlignment="1">
      <alignment horizontal="center" vertical="center" wrapText="1"/>
    </xf>
    <xf numFmtId="3" fontId="27" fillId="16" borderId="13" xfId="2" applyNumberFormat="1" applyFill="1" applyBorder="1" applyAlignment="1">
      <alignment vertical="center"/>
    </xf>
    <xf numFmtId="10" fontId="28" fillId="16" borderId="2" xfId="5" applyNumberFormat="1" applyFont="1" applyFill="1" applyBorder="1" applyAlignment="1">
      <alignment horizontal="center" vertical="center" wrapText="1"/>
    </xf>
    <xf numFmtId="0" fontId="28" fillId="16" borderId="37" xfId="2" applyFont="1" applyFill="1" applyBorder="1" applyAlignment="1">
      <alignment vertical="center"/>
    </xf>
    <xf numFmtId="9" fontId="27" fillId="16" borderId="38" xfId="5" applyFill="1" applyBorder="1" applyAlignment="1">
      <alignment horizontal="center" vertical="center"/>
    </xf>
    <xf numFmtId="9" fontId="27" fillId="16" borderId="6" xfId="5" applyFill="1" applyBorder="1" applyAlignment="1">
      <alignment horizontal="center" vertical="center" wrapText="1"/>
    </xf>
    <xf numFmtId="3" fontId="27" fillId="16" borderId="10" xfId="2" applyNumberFormat="1" applyFill="1" applyBorder="1" applyAlignment="1">
      <alignment vertical="center"/>
    </xf>
    <xf numFmtId="10" fontId="28" fillId="16" borderId="39" xfId="5" applyNumberFormat="1" applyFont="1" applyFill="1" applyBorder="1" applyAlignment="1">
      <alignment horizontal="center" vertical="center" wrapText="1"/>
    </xf>
    <xf numFmtId="0" fontId="28" fillId="21" borderId="20" xfId="2" applyFont="1" applyFill="1" applyBorder="1" applyAlignment="1">
      <alignment horizontal="left"/>
    </xf>
    <xf numFmtId="3" fontId="28" fillId="21" borderId="24" xfId="2" applyNumberFormat="1" applyFont="1" applyFill="1" applyBorder="1" applyAlignment="1">
      <alignment horizontal="center"/>
    </xf>
    <xf numFmtId="3" fontId="28" fillId="21" borderId="20" xfId="2" applyNumberFormat="1" applyFont="1" applyFill="1" applyBorder="1" applyAlignment="1">
      <alignment horizontal="center"/>
    </xf>
    <xf numFmtId="9" fontId="28" fillId="21" borderId="26" xfId="5" applyFont="1" applyFill="1" applyBorder="1" applyAlignment="1">
      <alignment horizontal="center" wrapText="1"/>
    </xf>
    <xf numFmtId="3" fontId="28" fillId="21" borderId="27" xfId="2" applyNumberFormat="1" applyFont="1" applyFill="1" applyBorder="1" applyAlignment="1">
      <alignment horizontal="center"/>
    </xf>
    <xf numFmtId="3" fontId="28" fillId="21" borderId="28" xfId="2" applyNumberFormat="1" applyFont="1" applyFill="1" applyBorder="1" applyAlignment="1">
      <alignment horizontal="center"/>
    </xf>
    <xf numFmtId="3" fontId="34" fillId="21" borderId="25" xfId="6" applyNumberFormat="1" applyFont="1" applyFill="1" applyBorder="1" applyAlignment="1">
      <alignment horizontal="center"/>
    </xf>
    <xf numFmtId="10" fontId="28" fillId="0" borderId="0" xfId="5" applyNumberFormat="1" applyFont="1" applyFill="1" applyBorder="1" applyAlignment="1">
      <alignment horizontal="center" wrapText="1"/>
    </xf>
    <xf numFmtId="3" fontId="28" fillId="21" borderId="40" xfId="2" applyNumberFormat="1" applyFont="1" applyFill="1" applyBorder="1" applyAlignment="1">
      <alignment horizontal="center"/>
    </xf>
    <xf numFmtId="0" fontId="33" fillId="16" borderId="0" xfId="2" applyFont="1" applyFill="1" applyBorder="1" applyAlignment="1"/>
    <xf numFmtId="0" fontId="2" fillId="16" borderId="0" xfId="1" applyFill="1" applyAlignment="1">
      <alignment horizontal="center"/>
    </xf>
    <xf numFmtId="0" fontId="35" fillId="16" borderId="0" xfId="2" applyFont="1" applyFill="1"/>
    <xf numFmtId="0" fontId="35" fillId="16" borderId="0" xfId="2" applyFont="1" applyFill="1" applyAlignment="1">
      <alignment horizontal="center"/>
    </xf>
    <xf numFmtId="0" fontId="26" fillId="16" borderId="0" xfId="1" applyFont="1" applyFill="1"/>
    <xf numFmtId="0" fontId="28" fillId="17" borderId="20" xfId="2" applyFont="1" applyFill="1" applyBorder="1" applyAlignment="1">
      <alignment horizontal="center" vertical="center"/>
    </xf>
    <xf numFmtId="0" fontId="28" fillId="17" borderId="25" xfId="2" applyFont="1" applyFill="1" applyBorder="1" applyAlignment="1">
      <alignment horizontal="center" vertical="center"/>
    </xf>
    <xf numFmtId="3" fontId="28" fillId="17" borderId="24" xfId="2" applyNumberFormat="1" applyFont="1" applyFill="1" applyBorder="1" applyAlignment="1">
      <alignment horizontal="center" vertical="center"/>
    </xf>
    <xf numFmtId="3" fontId="28" fillId="17" borderId="25" xfId="2" applyNumberFormat="1" applyFont="1" applyFill="1" applyBorder="1" applyAlignment="1">
      <alignment horizontal="center" vertical="center"/>
    </xf>
    <xf numFmtId="3" fontId="28" fillId="17" borderId="25" xfId="2" applyNumberFormat="1" applyFont="1" applyFill="1" applyBorder="1" applyAlignment="1">
      <alignment horizontal="center" vertical="center" wrapText="1"/>
    </xf>
    <xf numFmtId="0" fontId="37" fillId="16" borderId="29" xfId="2" applyFont="1" applyFill="1" applyBorder="1" applyAlignment="1">
      <alignment vertical="center"/>
    </xf>
    <xf numFmtId="3" fontId="38" fillId="16" borderId="31" xfId="2" applyNumberFormat="1" applyFont="1" applyFill="1" applyBorder="1" applyAlignment="1">
      <alignment horizontal="center" vertical="center"/>
    </xf>
    <xf numFmtId="9" fontId="38" fillId="16" borderId="31" xfId="5" applyFont="1" applyFill="1" applyBorder="1" applyAlignment="1">
      <alignment horizontal="center" vertical="center"/>
    </xf>
    <xf numFmtId="9" fontId="38" fillId="16" borderId="4" xfId="5" applyFont="1" applyFill="1" applyBorder="1" applyAlignment="1">
      <alignment horizontal="center" vertical="center" wrapText="1"/>
    </xf>
    <xf numFmtId="3" fontId="38" fillId="16" borderId="3" xfId="2" applyNumberFormat="1" applyFont="1" applyFill="1" applyBorder="1" applyAlignment="1">
      <alignment vertical="center"/>
    </xf>
    <xf numFmtId="10" fontId="37" fillId="9" borderId="31" xfId="5" applyNumberFormat="1" applyFont="1" applyFill="1" applyBorder="1" applyAlignment="1">
      <alignment horizontal="center" vertical="center" wrapText="1"/>
    </xf>
    <xf numFmtId="0" fontId="25" fillId="16" borderId="0" xfId="1" applyFont="1" applyFill="1"/>
    <xf numFmtId="0" fontId="37" fillId="16" borderId="33" xfId="2" applyFont="1" applyFill="1" applyBorder="1" applyAlignment="1">
      <alignment vertical="center"/>
    </xf>
    <xf numFmtId="9" fontId="38" fillId="16" borderId="35" xfId="5" applyFont="1" applyFill="1" applyBorder="1" applyAlignment="1">
      <alignment horizontal="center" vertical="center"/>
    </xf>
    <xf numFmtId="9" fontId="38" fillId="16" borderId="11" xfId="5" applyFont="1" applyFill="1" applyBorder="1" applyAlignment="1">
      <alignment horizontal="center" vertical="center" wrapText="1"/>
    </xf>
    <xf numFmtId="3" fontId="38" fillId="16" borderId="2" xfId="2" applyNumberFormat="1" applyFont="1" applyFill="1" applyBorder="1" applyAlignment="1">
      <alignment vertical="center"/>
    </xf>
    <xf numFmtId="10" fontId="37" fillId="9" borderId="35" xfId="5" applyNumberFormat="1" applyFont="1" applyFill="1" applyBorder="1" applyAlignment="1">
      <alignment horizontal="center" vertical="center" wrapText="1"/>
    </xf>
    <xf numFmtId="0" fontId="37" fillId="16" borderId="37" xfId="2" applyFont="1" applyFill="1" applyBorder="1" applyAlignment="1">
      <alignment vertical="center"/>
    </xf>
    <xf numFmtId="0" fontId="28" fillId="17" borderId="44" xfId="2" applyFont="1" applyFill="1" applyBorder="1" applyAlignment="1">
      <alignment horizontal="right"/>
    </xf>
    <xf numFmtId="3" fontId="28" fillId="17" borderId="45" xfId="2" applyNumberFormat="1" applyFont="1" applyFill="1" applyBorder="1" applyAlignment="1">
      <alignment horizontal="center"/>
    </xf>
    <xf numFmtId="3" fontId="28" fillId="17" borderId="46" xfId="2" applyNumberFormat="1" applyFont="1" applyFill="1" applyBorder="1" applyAlignment="1">
      <alignment horizontal="center"/>
    </xf>
    <xf numFmtId="3" fontId="28" fillId="17" borderId="44" xfId="2" applyNumberFormat="1" applyFont="1" applyFill="1" applyBorder="1" applyAlignment="1">
      <alignment horizontal="center" vertical="center" wrapText="1"/>
    </xf>
    <xf numFmtId="9" fontId="28" fillId="17" borderId="47" xfId="5" applyFont="1" applyFill="1" applyBorder="1" applyAlignment="1">
      <alignment horizontal="center" wrapText="1"/>
    </xf>
    <xf numFmtId="3" fontId="28" fillId="17" borderId="39" xfId="2" applyNumberFormat="1" applyFont="1" applyFill="1" applyBorder="1" applyAlignment="1">
      <alignment horizontal="center"/>
    </xf>
    <xf numFmtId="3" fontId="34" fillId="17" borderId="39" xfId="6" applyNumberFormat="1" applyFont="1" applyFill="1" applyBorder="1" applyAlignment="1">
      <alignment horizontal="center"/>
    </xf>
    <xf numFmtId="10" fontId="28" fillId="17" borderId="45" xfId="5" applyNumberFormat="1" applyFont="1" applyFill="1" applyBorder="1" applyAlignment="1">
      <alignment horizontal="center" wrapText="1"/>
    </xf>
    <xf numFmtId="3" fontId="28" fillId="17" borderId="48" xfId="2" applyNumberFormat="1" applyFont="1" applyFill="1" applyBorder="1" applyAlignment="1">
      <alignment horizontal="center"/>
    </xf>
    <xf numFmtId="0" fontId="36" fillId="16" borderId="0" xfId="2" applyFont="1" applyFill="1" applyBorder="1" applyAlignment="1">
      <alignment vertical="center"/>
    </xf>
    <xf numFmtId="0" fontId="28" fillId="23" borderId="20" xfId="2" applyFont="1" applyFill="1" applyBorder="1" applyAlignment="1">
      <alignment horizontal="center" vertical="center"/>
    </xf>
    <xf numFmtId="0" fontId="28" fillId="23" borderId="25" xfId="2" applyFont="1" applyFill="1" applyBorder="1" applyAlignment="1">
      <alignment horizontal="center" vertical="center"/>
    </xf>
    <xf numFmtId="3" fontId="28" fillId="23" borderId="24" xfId="2" applyNumberFormat="1" applyFont="1" applyFill="1" applyBorder="1" applyAlignment="1">
      <alignment horizontal="center" vertical="center"/>
    </xf>
    <xf numFmtId="3" fontId="28" fillId="23" borderId="25" xfId="2" applyNumberFormat="1" applyFont="1" applyFill="1" applyBorder="1" applyAlignment="1">
      <alignment horizontal="center" vertical="center"/>
    </xf>
    <xf numFmtId="3" fontId="28" fillId="23" borderId="25" xfId="2" applyNumberFormat="1" applyFont="1" applyFill="1" applyBorder="1" applyAlignment="1">
      <alignment horizontal="center" vertical="center" wrapText="1"/>
    </xf>
    <xf numFmtId="9" fontId="38" fillId="16" borderId="38" xfId="5" applyFont="1" applyFill="1" applyBorder="1" applyAlignment="1">
      <alignment horizontal="center" vertical="center"/>
    </xf>
    <xf numFmtId="3" fontId="38" fillId="16" borderId="1" xfId="2" applyNumberFormat="1" applyFont="1" applyFill="1" applyBorder="1" applyAlignment="1">
      <alignment vertical="center"/>
    </xf>
    <xf numFmtId="10" fontId="37" fillId="9" borderId="38" xfId="5" applyNumberFormat="1" applyFont="1" applyFill="1" applyBorder="1" applyAlignment="1">
      <alignment horizontal="center" vertical="center" wrapText="1"/>
    </xf>
    <xf numFmtId="0" fontId="28" fillId="23" borderId="20" xfId="2" applyFont="1" applyFill="1" applyBorder="1" applyAlignment="1">
      <alignment horizontal="right"/>
    </xf>
    <xf numFmtId="3" fontId="28" fillId="23" borderId="25" xfId="2" applyNumberFormat="1" applyFont="1" applyFill="1" applyBorder="1" applyAlignment="1">
      <alignment horizontal="center"/>
    </xf>
    <xf numFmtId="3" fontId="28" fillId="23" borderId="24" xfId="2" applyNumberFormat="1" applyFont="1" applyFill="1" applyBorder="1" applyAlignment="1">
      <alignment horizontal="center"/>
    </xf>
    <xf numFmtId="9" fontId="28" fillId="23" borderId="25" xfId="5" applyFont="1" applyFill="1" applyBorder="1" applyAlignment="1">
      <alignment horizontal="center"/>
    </xf>
    <xf numFmtId="3" fontId="28" fillId="23" borderId="20" xfId="2" applyNumberFormat="1" applyFont="1" applyFill="1" applyBorder="1" applyAlignment="1">
      <alignment horizontal="center" vertical="center" wrapText="1"/>
    </xf>
    <xf numFmtId="9" fontId="28" fillId="23" borderId="26" xfId="5" applyFont="1" applyFill="1" applyBorder="1" applyAlignment="1">
      <alignment horizontal="center" wrapText="1"/>
    </xf>
    <xf numFmtId="3" fontId="28" fillId="23" borderId="27" xfId="2" applyNumberFormat="1" applyFont="1" applyFill="1" applyBorder="1" applyAlignment="1">
      <alignment horizontal="center"/>
    </xf>
    <xf numFmtId="3" fontId="34" fillId="23" borderId="27" xfId="6" applyNumberFormat="1" applyFont="1" applyFill="1" applyBorder="1" applyAlignment="1">
      <alignment horizontal="center"/>
    </xf>
    <xf numFmtId="10" fontId="28" fillId="23" borderId="25" xfId="5" applyNumberFormat="1" applyFont="1" applyFill="1" applyBorder="1" applyAlignment="1">
      <alignment horizontal="center" wrapText="1"/>
    </xf>
    <xf numFmtId="3" fontId="28" fillId="23" borderId="22" xfId="2" applyNumberFormat="1" applyFont="1" applyFill="1" applyBorder="1" applyAlignment="1">
      <alignment horizontal="center"/>
    </xf>
    <xf numFmtId="0" fontId="28" fillId="24" borderId="20" xfId="2" applyFont="1" applyFill="1" applyBorder="1" applyAlignment="1">
      <alignment horizontal="center" vertical="center"/>
    </xf>
    <xf numFmtId="0" fontId="28" fillId="24" borderId="25" xfId="2" applyFont="1" applyFill="1" applyBorder="1" applyAlignment="1">
      <alignment horizontal="center" vertical="center"/>
    </xf>
    <xf numFmtId="3" fontId="28" fillId="24" borderId="24" xfId="2" applyNumberFormat="1" applyFont="1" applyFill="1" applyBorder="1" applyAlignment="1">
      <alignment horizontal="center" vertical="center"/>
    </xf>
    <xf numFmtId="3" fontId="28" fillId="24" borderId="25" xfId="2" applyNumberFormat="1" applyFont="1" applyFill="1" applyBorder="1" applyAlignment="1">
      <alignment horizontal="center" vertical="center"/>
    </xf>
    <xf numFmtId="3" fontId="28" fillId="24" borderId="25" xfId="2" applyNumberFormat="1" applyFont="1" applyFill="1" applyBorder="1" applyAlignment="1">
      <alignment horizontal="center" vertical="center" wrapText="1"/>
    </xf>
    <xf numFmtId="0" fontId="37" fillId="16" borderId="4" xfId="2" applyFont="1" applyFill="1" applyBorder="1" applyAlignment="1">
      <alignment vertical="center"/>
    </xf>
    <xf numFmtId="0" fontId="25" fillId="16" borderId="0" xfId="1" applyFont="1" applyFill="1" applyAlignment="1">
      <alignment vertical="center"/>
    </xf>
    <xf numFmtId="0" fontId="37" fillId="16" borderId="11" xfId="2" applyFont="1" applyFill="1" applyBorder="1" applyAlignment="1">
      <alignment vertical="center"/>
    </xf>
    <xf numFmtId="0" fontId="37" fillId="16" borderId="6" xfId="2" applyFont="1" applyFill="1" applyBorder="1" applyAlignment="1">
      <alignment vertical="center"/>
    </xf>
    <xf numFmtId="9" fontId="38" fillId="16" borderId="6" xfId="5" applyFont="1" applyFill="1" applyBorder="1" applyAlignment="1">
      <alignment horizontal="center" vertical="center" wrapText="1"/>
    </xf>
    <xf numFmtId="0" fontId="28" fillId="24" borderId="20" xfId="2" applyFont="1" applyFill="1" applyBorder="1" applyAlignment="1">
      <alignment horizontal="right"/>
    </xf>
    <xf numFmtId="3" fontId="28" fillId="24" borderId="25" xfId="2" applyNumberFormat="1" applyFont="1" applyFill="1" applyBorder="1" applyAlignment="1">
      <alignment horizontal="center"/>
    </xf>
    <xf numFmtId="3" fontId="28" fillId="24" borderId="24" xfId="2" applyNumberFormat="1" applyFont="1" applyFill="1" applyBorder="1" applyAlignment="1">
      <alignment horizontal="center"/>
    </xf>
    <xf numFmtId="9" fontId="28" fillId="24" borderId="25" xfId="5" applyFont="1" applyFill="1" applyBorder="1" applyAlignment="1">
      <alignment horizontal="center"/>
    </xf>
    <xf numFmtId="3" fontId="28" fillId="24" borderId="20" xfId="2" applyNumberFormat="1" applyFont="1" applyFill="1" applyBorder="1" applyAlignment="1">
      <alignment horizontal="center" vertical="center" wrapText="1"/>
    </xf>
    <xf numFmtId="9" fontId="28" fillId="24" borderId="26" xfId="5" applyFont="1" applyFill="1" applyBorder="1" applyAlignment="1">
      <alignment horizontal="center" vertical="center" wrapText="1"/>
    </xf>
    <xf numFmtId="3" fontId="28" fillId="24" borderId="27" xfId="2" applyNumberFormat="1" applyFont="1" applyFill="1" applyBorder="1" applyAlignment="1">
      <alignment horizontal="center"/>
    </xf>
    <xf numFmtId="3" fontId="34" fillId="24" borderId="27" xfId="6" applyNumberFormat="1" applyFont="1" applyFill="1" applyBorder="1" applyAlignment="1">
      <alignment horizontal="center"/>
    </xf>
    <xf numFmtId="10" fontId="28" fillId="24" borderId="25" xfId="5" applyNumberFormat="1" applyFont="1" applyFill="1" applyBorder="1" applyAlignment="1">
      <alignment horizontal="center" wrapText="1"/>
    </xf>
    <xf numFmtId="3" fontId="28" fillId="24" borderId="22" xfId="2" applyNumberFormat="1" applyFont="1" applyFill="1" applyBorder="1" applyAlignment="1">
      <alignment horizontal="center"/>
    </xf>
    <xf numFmtId="0" fontId="28" fillId="25" borderId="20" xfId="2" applyFont="1" applyFill="1" applyBorder="1" applyAlignment="1">
      <alignment horizontal="center" vertical="center"/>
    </xf>
    <xf numFmtId="0" fontId="28" fillId="25" borderId="25" xfId="2" applyFont="1" applyFill="1" applyBorder="1" applyAlignment="1">
      <alignment horizontal="center" vertical="center"/>
    </xf>
    <xf numFmtId="3" fontId="28" fillId="25" borderId="24" xfId="2" applyNumberFormat="1" applyFont="1" applyFill="1" applyBorder="1" applyAlignment="1">
      <alignment horizontal="center" vertical="center"/>
    </xf>
    <xf numFmtId="3" fontId="28" fillId="25" borderId="25" xfId="2" applyNumberFormat="1" applyFont="1" applyFill="1" applyBorder="1" applyAlignment="1">
      <alignment horizontal="center" vertical="center"/>
    </xf>
    <xf numFmtId="3" fontId="28" fillId="25" borderId="25" xfId="2" applyNumberFormat="1" applyFont="1" applyFill="1" applyBorder="1" applyAlignment="1">
      <alignment horizontal="center" vertical="center" wrapText="1"/>
    </xf>
    <xf numFmtId="0" fontId="28" fillId="25" borderId="20" xfId="2" applyFont="1" applyFill="1" applyBorder="1" applyAlignment="1">
      <alignment horizontal="right"/>
    </xf>
    <xf numFmtId="3" fontId="28" fillId="25" borderId="25" xfId="2" applyNumberFormat="1" applyFont="1" applyFill="1" applyBorder="1" applyAlignment="1">
      <alignment horizontal="center"/>
    </xf>
    <xf numFmtId="3" fontId="28" fillId="25" borderId="24" xfId="2" applyNumberFormat="1" applyFont="1" applyFill="1" applyBorder="1" applyAlignment="1">
      <alignment horizontal="center"/>
    </xf>
    <xf numFmtId="9" fontId="28" fillId="25" borderId="25" xfId="5" applyFont="1" applyFill="1" applyBorder="1" applyAlignment="1">
      <alignment horizontal="center"/>
    </xf>
    <xf numFmtId="3" fontId="28" fillId="25" borderId="20" xfId="2" applyNumberFormat="1" applyFont="1" applyFill="1" applyBorder="1" applyAlignment="1">
      <alignment horizontal="center" vertical="center" wrapText="1"/>
    </xf>
    <xf numFmtId="9" fontId="28" fillId="25" borderId="26" xfId="5" applyFont="1" applyFill="1" applyBorder="1" applyAlignment="1">
      <alignment horizontal="center" wrapText="1"/>
    </xf>
    <xf numFmtId="3" fontId="28" fillId="25" borderId="27" xfId="2" applyNumberFormat="1" applyFont="1" applyFill="1" applyBorder="1" applyAlignment="1">
      <alignment horizontal="center"/>
    </xf>
    <xf numFmtId="3" fontId="34" fillId="25" borderId="27" xfId="6" applyNumberFormat="1" applyFont="1" applyFill="1" applyBorder="1" applyAlignment="1">
      <alignment horizontal="center"/>
    </xf>
    <xf numFmtId="10" fontId="28" fillId="25" borderId="25" xfId="5" applyNumberFormat="1" applyFont="1" applyFill="1" applyBorder="1" applyAlignment="1">
      <alignment horizontal="center" wrapText="1"/>
    </xf>
    <xf numFmtId="3" fontId="28" fillId="25" borderId="22" xfId="2" applyNumberFormat="1" applyFont="1" applyFill="1" applyBorder="1" applyAlignment="1">
      <alignment horizontal="center"/>
    </xf>
    <xf numFmtId="0" fontId="27" fillId="16" borderId="0" xfId="2" applyFill="1" applyBorder="1"/>
    <xf numFmtId="0" fontId="37" fillId="26" borderId="2" xfId="2" applyFont="1" applyFill="1" applyBorder="1" applyAlignment="1">
      <alignment horizontal="center" vertical="center"/>
    </xf>
    <xf numFmtId="0" fontId="37" fillId="16" borderId="15" xfId="2" applyFont="1" applyFill="1" applyBorder="1" applyAlignment="1">
      <alignment horizontal="center" vertical="center"/>
    </xf>
    <xf numFmtId="3" fontId="37" fillId="26" borderId="34" xfId="2" applyNumberFormat="1" applyFont="1" applyFill="1" applyBorder="1" applyAlignment="1">
      <alignment horizontal="center" vertical="center" wrapText="1"/>
    </xf>
    <xf numFmtId="3" fontId="37" fillId="26" borderId="2" xfId="2" applyNumberFormat="1" applyFont="1" applyFill="1" applyBorder="1" applyAlignment="1">
      <alignment horizontal="center" vertical="center" wrapText="1"/>
    </xf>
    <xf numFmtId="3" fontId="37" fillId="26" borderId="35" xfId="2" applyNumberFormat="1" applyFont="1" applyFill="1" applyBorder="1" applyAlignment="1">
      <alignment horizontal="center" vertical="center" wrapText="1"/>
    </xf>
    <xf numFmtId="3" fontId="37" fillId="16" borderId="9" xfId="2" applyNumberFormat="1" applyFont="1" applyFill="1" applyBorder="1" applyAlignment="1">
      <alignment horizontal="center" vertical="center" wrapText="1"/>
    </xf>
    <xf numFmtId="3" fontId="37" fillId="27" borderId="3" xfId="2" applyNumberFormat="1" applyFont="1" applyFill="1" applyBorder="1" applyAlignment="1">
      <alignment horizontal="center" vertical="center" wrapText="1"/>
    </xf>
    <xf numFmtId="3" fontId="37" fillId="26" borderId="3" xfId="2" applyNumberFormat="1" applyFont="1" applyFill="1" applyBorder="1" applyAlignment="1">
      <alignment horizontal="center" vertical="center" wrapText="1"/>
    </xf>
    <xf numFmtId="3" fontId="37" fillId="26" borderId="32" xfId="2" applyNumberFormat="1" applyFont="1" applyFill="1" applyBorder="1" applyAlignment="1">
      <alignment horizontal="center" vertical="center"/>
    </xf>
    <xf numFmtId="0" fontId="38" fillId="16" borderId="0" xfId="2" applyFont="1" applyFill="1" applyBorder="1"/>
    <xf numFmtId="3" fontId="38" fillId="16" borderId="0" xfId="2" applyNumberFormat="1" applyFont="1" applyFill="1" applyBorder="1"/>
    <xf numFmtId="3" fontId="37" fillId="27" borderId="31" xfId="2" applyNumberFormat="1" applyFont="1" applyFill="1" applyBorder="1" applyAlignment="1">
      <alignment horizontal="center" vertical="center" wrapText="1"/>
    </xf>
    <xf numFmtId="0" fontId="28" fillId="16" borderId="2" xfId="2" applyFont="1" applyFill="1" applyBorder="1" applyAlignment="1">
      <alignment horizontal="center" vertical="center"/>
    </xf>
    <xf numFmtId="0" fontId="28" fillId="16" borderId="15" xfId="2" applyFont="1" applyFill="1" applyBorder="1" applyAlignment="1">
      <alignment horizontal="center" vertical="center"/>
    </xf>
    <xf numFmtId="3" fontId="27" fillId="16" borderId="34" xfId="2" applyNumberFormat="1" applyFont="1" applyFill="1" applyBorder="1" applyAlignment="1">
      <alignment horizontal="center" vertical="center"/>
    </xf>
    <xf numFmtId="3" fontId="27" fillId="16" borderId="2" xfId="2" applyNumberFormat="1" applyFill="1" applyBorder="1" applyAlignment="1">
      <alignment horizontal="center" vertical="center"/>
    </xf>
    <xf numFmtId="10" fontId="27" fillId="16" borderId="2" xfId="5" applyNumberFormat="1" applyFill="1" applyBorder="1" applyAlignment="1">
      <alignment horizontal="center" vertical="center" wrapText="1"/>
    </xf>
    <xf numFmtId="3" fontId="27" fillId="16" borderId="35" xfId="2" applyNumberFormat="1" applyFill="1" applyBorder="1" applyAlignment="1">
      <alignment horizontal="center" vertical="center" wrapText="1"/>
    </xf>
    <xf numFmtId="3" fontId="27" fillId="16" borderId="9" xfId="2" applyNumberFormat="1" applyFill="1" applyBorder="1" applyAlignment="1">
      <alignment horizontal="center" vertical="center" wrapText="1"/>
    </xf>
    <xf numFmtId="10" fontId="30" fillId="16" borderId="11" xfId="3" applyNumberFormat="1" applyFont="1" applyFill="1" applyBorder="1" applyAlignment="1">
      <alignment horizontal="center" vertical="center"/>
    </xf>
    <xf numFmtId="3" fontId="27" fillId="16" borderId="36" xfId="2" applyNumberFormat="1" applyFill="1" applyBorder="1" applyAlignment="1">
      <alignment horizontal="center" vertical="center"/>
    </xf>
    <xf numFmtId="3" fontId="27" fillId="16" borderId="0" xfId="2" applyNumberFormat="1" applyFont="1" applyFill="1" applyBorder="1" applyAlignment="1">
      <alignment horizontal="center" vertical="center"/>
    </xf>
    <xf numFmtId="3" fontId="27" fillId="16" borderId="0" xfId="2" applyNumberFormat="1" applyFill="1" applyBorder="1" applyAlignment="1">
      <alignment horizontal="center" vertical="center"/>
    </xf>
    <xf numFmtId="0" fontId="27" fillId="16" borderId="0" xfId="2" applyFill="1" applyAlignment="1">
      <alignment horizontal="center" vertical="center"/>
    </xf>
    <xf numFmtId="3" fontId="27" fillId="0" borderId="34" xfId="2" applyNumberFormat="1" applyFont="1" applyFill="1" applyBorder="1" applyAlignment="1">
      <alignment horizontal="center" vertical="center"/>
    </xf>
    <xf numFmtId="0" fontId="28" fillId="16" borderId="0" xfId="2" applyFont="1" applyFill="1" applyAlignment="1">
      <alignment horizontal="center" vertical="center"/>
    </xf>
    <xf numFmtId="3" fontId="27" fillId="16" borderId="13" xfId="2" applyNumberFormat="1" applyFont="1" applyFill="1" applyBorder="1" applyAlignment="1">
      <alignment horizontal="center" vertical="center"/>
    </xf>
    <xf numFmtId="3" fontId="39" fillId="16" borderId="0" xfId="2" applyNumberFormat="1" applyFont="1" applyFill="1" applyAlignment="1">
      <alignment horizontal="center" vertical="center"/>
    </xf>
    <xf numFmtId="3" fontId="28" fillId="16" borderId="0" xfId="2" applyNumberFormat="1" applyFont="1" applyFill="1" applyBorder="1" applyAlignment="1">
      <alignment horizontal="center" vertical="center"/>
    </xf>
    <xf numFmtId="10" fontId="28" fillId="16" borderId="0" xfId="3" applyNumberFormat="1" applyFont="1" applyFill="1" applyAlignment="1">
      <alignment horizontal="center" vertical="center"/>
    </xf>
    <xf numFmtId="3" fontId="27" fillId="16" borderId="0" xfId="2" applyNumberFormat="1" applyFill="1" applyAlignment="1">
      <alignment horizontal="center" vertical="center"/>
    </xf>
    <xf numFmtId="0" fontId="28" fillId="26" borderId="2" xfId="2" applyFont="1" applyFill="1" applyBorder="1" applyAlignment="1">
      <alignment horizontal="center" vertical="center"/>
    </xf>
    <xf numFmtId="3" fontId="28" fillId="26" borderId="46" xfId="2" applyNumberFormat="1" applyFont="1" applyFill="1" applyBorder="1" applyAlignment="1">
      <alignment horizontal="right" vertical="center"/>
    </xf>
    <xf numFmtId="3" fontId="28" fillId="26" borderId="39" xfId="2" applyNumberFormat="1" applyFont="1" applyFill="1" applyBorder="1" applyAlignment="1">
      <alignment horizontal="right" vertical="center"/>
    </xf>
    <xf numFmtId="9" fontId="28" fillId="26" borderId="39" xfId="3" applyFont="1" applyFill="1" applyBorder="1" applyAlignment="1">
      <alignment horizontal="center" vertical="center"/>
    </xf>
    <xf numFmtId="3" fontId="28" fillId="26" borderId="45" xfId="2" applyNumberFormat="1" applyFont="1" applyFill="1" applyBorder="1" applyAlignment="1">
      <alignment horizontal="center" vertical="center"/>
    </xf>
    <xf numFmtId="3" fontId="28" fillId="16" borderId="9" xfId="2" applyNumberFormat="1" applyFont="1" applyFill="1" applyBorder="1" applyAlignment="1">
      <alignment horizontal="right" vertical="center"/>
    </xf>
    <xf numFmtId="3" fontId="28" fillId="26" borderId="39" xfId="2" applyNumberFormat="1" applyFont="1" applyFill="1" applyBorder="1" applyAlignment="1">
      <alignment horizontal="center" vertical="center"/>
    </xf>
    <xf numFmtId="9" fontId="28" fillId="26" borderId="47" xfId="3" applyFont="1" applyFill="1" applyBorder="1" applyAlignment="1">
      <alignment horizontal="center" vertical="center"/>
    </xf>
    <xf numFmtId="3" fontId="28" fillId="26" borderId="48" xfId="2" applyNumberFormat="1" applyFont="1" applyFill="1" applyBorder="1" applyAlignment="1">
      <alignment horizontal="right" vertical="center"/>
    </xf>
    <xf numFmtId="3" fontId="28" fillId="16" borderId="52" xfId="2" applyNumberFormat="1" applyFont="1" applyFill="1" applyBorder="1"/>
    <xf numFmtId="3" fontId="27" fillId="16" borderId="52" xfId="2" applyNumberFormat="1" applyFill="1" applyBorder="1"/>
    <xf numFmtId="3" fontId="27" fillId="16" borderId="0" xfId="2" applyNumberFormat="1" applyFill="1" applyBorder="1"/>
    <xf numFmtId="0" fontId="27" fillId="16" borderId="0" xfId="2" applyFont="1" applyFill="1"/>
    <xf numFmtId="3" fontId="27" fillId="16" borderId="0" xfId="2" applyNumberFormat="1" applyFont="1" applyFill="1"/>
    <xf numFmtId="0" fontId="28" fillId="28" borderId="20" xfId="2" applyFont="1" applyFill="1" applyBorder="1" applyAlignment="1">
      <alignment horizontal="center" vertical="center"/>
    </xf>
    <xf numFmtId="3" fontId="28" fillId="28" borderId="24" xfId="2" applyNumberFormat="1" applyFont="1" applyFill="1" applyBorder="1" applyAlignment="1">
      <alignment horizontal="center" vertical="center"/>
    </xf>
    <xf numFmtId="3" fontId="28" fillId="28" borderId="25" xfId="2" applyNumberFormat="1" applyFont="1" applyFill="1" applyBorder="1" applyAlignment="1">
      <alignment horizontal="center" vertical="center"/>
    </xf>
    <xf numFmtId="3" fontId="28" fillId="28" borderId="21" xfId="2" applyNumberFormat="1" applyFont="1" applyFill="1" applyBorder="1" applyAlignment="1">
      <alignment horizontal="center" vertical="center" wrapText="1"/>
    </xf>
    <xf numFmtId="3" fontId="28" fillId="28" borderId="24" xfId="2" applyNumberFormat="1" applyFont="1" applyFill="1" applyBorder="1" applyAlignment="1">
      <alignment horizontal="center" vertical="center" wrapText="1"/>
    </xf>
    <xf numFmtId="3" fontId="28" fillId="28" borderId="26" xfId="2" applyNumberFormat="1" applyFont="1" applyFill="1" applyBorder="1" applyAlignment="1">
      <alignment horizontal="center" vertical="center" wrapText="1"/>
    </xf>
    <xf numFmtId="3" fontId="28" fillId="29" borderId="27" xfId="2" applyNumberFormat="1" applyFont="1" applyFill="1" applyBorder="1" applyAlignment="1">
      <alignment horizontal="center" vertical="center" wrapText="1"/>
    </xf>
    <xf numFmtId="3" fontId="28" fillId="28" borderId="27" xfId="2" applyNumberFormat="1" applyFont="1" applyFill="1" applyBorder="1" applyAlignment="1">
      <alignment horizontal="center" vertical="center" wrapText="1"/>
    </xf>
    <xf numFmtId="3" fontId="28" fillId="29" borderId="25" xfId="2" applyNumberFormat="1" applyFont="1" applyFill="1" applyBorder="1" applyAlignment="1">
      <alignment horizontal="center" vertical="center" wrapText="1"/>
    </xf>
    <xf numFmtId="0" fontId="27" fillId="16" borderId="0" xfId="2" applyFill="1" applyAlignment="1">
      <alignment vertical="center"/>
    </xf>
    <xf numFmtId="0" fontId="28" fillId="16" borderId="49" xfId="2" applyFont="1" applyFill="1" applyBorder="1"/>
    <xf numFmtId="3" fontId="27" fillId="16" borderId="53" xfId="2" applyNumberFormat="1" applyFill="1" applyBorder="1"/>
    <xf numFmtId="10" fontId="27" fillId="16" borderId="54" xfId="5" applyNumberFormat="1" applyFill="1" applyBorder="1" applyAlignment="1">
      <alignment horizontal="center"/>
    </xf>
    <xf numFmtId="3" fontId="27" fillId="16" borderId="55" xfId="2" applyNumberFormat="1" applyFill="1" applyBorder="1"/>
    <xf numFmtId="0" fontId="28" fillId="16" borderId="33" xfId="2" applyFont="1" applyFill="1" applyBorder="1"/>
    <xf numFmtId="3" fontId="27" fillId="16" borderId="34" xfId="2" applyNumberFormat="1" applyFill="1" applyBorder="1"/>
    <xf numFmtId="10" fontId="27" fillId="16" borderId="35" xfId="5" applyNumberFormat="1" applyFill="1" applyBorder="1" applyAlignment="1">
      <alignment horizontal="center"/>
    </xf>
    <xf numFmtId="3" fontId="27" fillId="16" borderId="12" xfId="2" applyNumberFormat="1" applyFill="1" applyBorder="1"/>
    <xf numFmtId="9" fontId="27" fillId="16" borderId="2" xfId="5" applyFill="1" applyBorder="1" applyAlignment="1">
      <alignment horizontal="center" wrapText="1"/>
    </xf>
    <xf numFmtId="3" fontId="27" fillId="16" borderId="35" xfId="2" applyNumberFormat="1" applyFill="1" applyBorder="1"/>
    <xf numFmtId="0" fontId="28" fillId="29" borderId="20" xfId="2" applyFont="1" applyFill="1" applyBorder="1" applyAlignment="1">
      <alignment horizontal="center"/>
    </xf>
    <xf numFmtId="3" fontId="28" fillId="29" borderId="24" xfId="2" applyNumberFormat="1" applyFont="1" applyFill="1" applyBorder="1"/>
    <xf numFmtId="9" fontId="28" fillId="29" borderId="25" xfId="5" applyFont="1" applyFill="1" applyBorder="1" applyAlignment="1">
      <alignment horizontal="center"/>
    </xf>
    <xf numFmtId="3" fontId="28" fillId="29" borderId="20" xfId="2" applyNumberFormat="1" applyFont="1" applyFill="1" applyBorder="1"/>
    <xf numFmtId="9" fontId="28" fillId="29" borderId="26" xfId="3" applyFont="1" applyFill="1" applyBorder="1" applyAlignment="1">
      <alignment horizontal="center"/>
    </xf>
    <xf numFmtId="3" fontId="28" fillId="29" borderId="27" xfId="2" applyNumberFormat="1" applyFont="1" applyFill="1" applyBorder="1"/>
    <xf numFmtId="3" fontId="28" fillId="29" borderId="27" xfId="2" applyNumberFormat="1" applyFont="1" applyFill="1" applyBorder="1" applyAlignment="1">
      <alignment horizontal="right"/>
    </xf>
    <xf numFmtId="3" fontId="28" fillId="29" borderId="25" xfId="2" applyNumberFormat="1" applyFont="1" applyFill="1" applyBorder="1"/>
    <xf numFmtId="0" fontId="28" fillId="14" borderId="20" xfId="2" applyFont="1" applyFill="1" applyBorder="1" applyAlignment="1">
      <alignment vertical="center"/>
    </xf>
    <xf numFmtId="3" fontId="28" fillId="14" borderId="24" xfId="2" applyNumberFormat="1" applyFont="1" applyFill="1" applyBorder="1" applyAlignment="1">
      <alignment horizontal="center" vertical="center"/>
    </xf>
    <xf numFmtId="9" fontId="28" fillId="14" borderId="25" xfId="5" applyFont="1" applyFill="1" applyBorder="1" applyAlignment="1">
      <alignment horizontal="center" vertical="center"/>
    </xf>
    <xf numFmtId="3" fontId="28" fillId="14" borderId="21" xfId="2" applyNumberFormat="1" applyFont="1" applyFill="1" applyBorder="1" applyAlignment="1">
      <alignment horizontal="center" vertical="center" wrapText="1"/>
    </xf>
    <xf numFmtId="3" fontId="28" fillId="14" borderId="24" xfId="2" applyNumberFormat="1" applyFont="1" applyFill="1" applyBorder="1" applyAlignment="1">
      <alignment horizontal="center" vertical="center" wrapText="1"/>
    </xf>
    <xf numFmtId="3" fontId="28" fillId="14" borderId="27" xfId="2" applyNumberFormat="1" applyFont="1" applyFill="1" applyBorder="1" applyAlignment="1">
      <alignment horizontal="center" vertical="center" wrapText="1"/>
    </xf>
    <xf numFmtId="3" fontId="28" fillId="14" borderId="26" xfId="2" applyNumberFormat="1" applyFont="1" applyFill="1" applyBorder="1" applyAlignment="1">
      <alignment horizontal="center" vertical="center" wrapText="1"/>
    </xf>
    <xf numFmtId="3" fontId="28" fillId="30" borderId="27" xfId="2" applyNumberFormat="1" applyFont="1" applyFill="1" applyBorder="1" applyAlignment="1">
      <alignment horizontal="center" vertical="center" wrapText="1"/>
    </xf>
    <xf numFmtId="3" fontId="28" fillId="14" borderId="25" xfId="2" applyNumberFormat="1" applyFont="1" applyFill="1" applyBorder="1" applyAlignment="1">
      <alignment horizontal="center" vertical="center" wrapText="1"/>
    </xf>
    <xf numFmtId="0" fontId="28" fillId="16" borderId="4" xfId="2" applyFont="1" applyFill="1" applyBorder="1" applyAlignment="1">
      <alignment horizontal="center"/>
    </xf>
    <xf numFmtId="3" fontId="27" fillId="16" borderId="30" xfId="2" applyNumberFormat="1" applyFill="1" applyBorder="1"/>
    <xf numFmtId="9" fontId="27" fillId="16" borderId="31" xfId="5" applyFill="1" applyBorder="1"/>
    <xf numFmtId="3" fontId="27" fillId="16" borderId="5" xfId="2" applyNumberFormat="1" applyFill="1" applyBorder="1"/>
    <xf numFmtId="3" fontId="27" fillId="16" borderId="30" xfId="2" applyNumberFormat="1" applyFont="1" applyFill="1" applyBorder="1" applyAlignment="1">
      <alignment wrapText="1"/>
    </xf>
    <xf numFmtId="3" fontId="27" fillId="16" borderId="3" xfId="2" applyNumberFormat="1" applyFill="1" applyBorder="1"/>
    <xf numFmtId="10" fontId="27" fillId="16" borderId="4" xfId="5" applyNumberFormat="1" applyFill="1" applyBorder="1" applyAlignment="1">
      <alignment wrapText="1"/>
    </xf>
    <xf numFmtId="0" fontId="28" fillId="16" borderId="11" xfId="2" applyFont="1" applyFill="1" applyBorder="1" applyAlignment="1">
      <alignment horizontal="center"/>
    </xf>
    <xf numFmtId="9" fontId="27" fillId="16" borderId="35" xfId="5" applyFill="1" applyBorder="1"/>
    <xf numFmtId="3" fontId="27" fillId="16" borderId="34" xfId="2" applyNumberFormat="1" applyFont="1" applyFill="1" applyBorder="1"/>
    <xf numFmtId="10" fontId="27" fillId="16" borderId="11" xfId="5" applyNumberFormat="1" applyFill="1" applyBorder="1" applyAlignment="1">
      <alignment wrapText="1"/>
    </xf>
    <xf numFmtId="0" fontId="28" fillId="14" borderId="11" xfId="2" applyFont="1" applyFill="1" applyBorder="1" applyAlignment="1">
      <alignment horizontal="right" vertical="center"/>
    </xf>
    <xf numFmtId="3" fontId="28" fillId="14" borderId="46" xfId="2" applyNumberFormat="1" applyFont="1" applyFill="1" applyBorder="1" applyAlignment="1">
      <alignment vertical="center"/>
    </xf>
    <xf numFmtId="9" fontId="28" fillId="14" borderId="45" xfId="5" applyFont="1" applyFill="1" applyBorder="1" applyAlignment="1">
      <alignment vertical="center"/>
    </xf>
    <xf numFmtId="3" fontId="28" fillId="14" borderId="44" xfId="2" applyNumberFormat="1" applyFont="1" applyFill="1" applyBorder="1" applyAlignment="1">
      <alignment vertical="center"/>
    </xf>
    <xf numFmtId="3" fontId="28" fillId="14" borderId="39" xfId="2" applyNumberFormat="1" applyFont="1" applyFill="1" applyBorder="1" applyAlignment="1">
      <alignment vertical="center"/>
    </xf>
    <xf numFmtId="9" fontId="28" fillId="14" borderId="47" xfId="4" applyFont="1" applyFill="1" applyBorder="1" applyAlignment="1">
      <alignment vertical="center"/>
    </xf>
    <xf numFmtId="3" fontId="28" fillId="14" borderId="47" xfId="2" applyNumberFormat="1" applyFont="1" applyFill="1" applyBorder="1" applyAlignment="1">
      <alignment vertical="center"/>
    </xf>
    <xf numFmtId="3" fontId="28" fillId="14" borderId="45" xfId="2" applyNumberFormat="1" applyFont="1" applyFill="1" applyBorder="1" applyAlignment="1">
      <alignment vertical="center"/>
    </xf>
    <xf numFmtId="0" fontId="0" fillId="0" borderId="0" xfId="0" pivotButton="1"/>
    <xf numFmtId="3" fontId="0" fillId="0" borderId="0" xfId="0" applyNumberFormat="1"/>
    <xf numFmtId="9" fontId="28" fillId="21" borderId="24" xfId="8" applyFont="1" applyFill="1" applyBorder="1" applyAlignment="1">
      <alignment horizontal="center"/>
    </xf>
    <xf numFmtId="9" fontId="28" fillId="17" borderId="46" xfId="8" applyFont="1" applyFill="1" applyBorder="1" applyAlignment="1">
      <alignment horizontal="center"/>
    </xf>
    <xf numFmtId="0" fontId="0" fillId="9" borderId="0" xfId="0" applyFill="1" applyAlignment="1">
      <alignment horizontal="left"/>
    </xf>
    <xf numFmtId="3" fontId="0" fillId="9" borderId="0" xfId="0" applyNumberFormat="1" applyFill="1"/>
    <xf numFmtId="0" fontId="28" fillId="16" borderId="29" xfId="2" applyFont="1" applyFill="1" applyBorder="1"/>
    <xf numFmtId="10" fontId="27" fillId="16" borderId="31" xfId="5" applyNumberFormat="1" applyFill="1" applyBorder="1" applyAlignment="1">
      <alignment horizontal="center"/>
    </xf>
    <xf numFmtId="9" fontId="27" fillId="16" borderId="3" xfId="5" applyFill="1" applyBorder="1" applyAlignment="1">
      <alignment horizontal="center" wrapText="1"/>
    </xf>
    <xf numFmtId="3" fontId="27" fillId="16" borderId="31" xfId="2" applyNumberFormat="1" applyFill="1" applyBorder="1"/>
    <xf numFmtId="3" fontId="27" fillId="16" borderId="49" xfId="2" applyNumberFormat="1" applyFill="1" applyBorder="1"/>
    <xf numFmtId="9" fontId="27" fillId="16" borderId="55" xfId="8" applyFont="1" applyFill="1" applyBorder="1" applyAlignment="1">
      <alignment horizontal="center"/>
    </xf>
    <xf numFmtId="3" fontId="38" fillId="16" borderId="4" xfId="2" applyNumberFormat="1" applyFont="1" applyFill="1" applyBorder="1" applyAlignment="1">
      <alignment horizontal="center" vertical="center"/>
    </xf>
    <xf numFmtId="3" fontId="38" fillId="16" borderId="32" xfId="2" applyNumberFormat="1" applyFont="1" applyFill="1" applyBorder="1" applyAlignment="1">
      <alignment horizontal="center" vertical="center"/>
    </xf>
    <xf numFmtId="3" fontId="38" fillId="16" borderId="55" xfId="2" applyNumberFormat="1" applyFont="1" applyFill="1" applyBorder="1" applyAlignment="1">
      <alignment horizontal="center" vertical="center"/>
    </xf>
    <xf numFmtId="9" fontId="38" fillId="16" borderId="55" xfId="5" applyFont="1" applyFill="1" applyBorder="1" applyAlignment="1">
      <alignment horizontal="center" vertical="center" wrapText="1"/>
    </xf>
    <xf numFmtId="3" fontId="38" fillId="16" borderId="55" xfId="2" applyNumberFormat="1" applyFont="1" applyFill="1" applyBorder="1" applyAlignment="1">
      <alignment vertical="center"/>
    </xf>
    <xf numFmtId="3" fontId="38" fillId="16" borderId="3" xfId="2" applyNumberFormat="1" applyFont="1" applyFill="1" applyBorder="1" applyAlignment="1">
      <alignment horizontal="center" vertical="center"/>
    </xf>
    <xf numFmtId="9" fontId="38" fillId="16" borderId="2" xfId="5" applyFont="1" applyFill="1" applyBorder="1" applyAlignment="1">
      <alignment horizontal="center" vertical="center" wrapText="1"/>
    </xf>
    <xf numFmtId="3" fontId="28" fillId="17" borderId="26" xfId="2" applyNumberFormat="1" applyFont="1" applyFill="1" applyBorder="1" applyAlignment="1">
      <alignment horizontal="center" vertical="center" wrapText="1"/>
    </xf>
    <xf numFmtId="3" fontId="28" fillId="17" borderId="22" xfId="2" applyNumberFormat="1" applyFont="1" applyFill="1" applyBorder="1" applyAlignment="1">
      <alignment horizontal="center" vertical="center" wrapText="1"/>
    </xf>
    <xf numFmtId="3" fontId="28" fillId="17" borderId="40" xfId="2" applyNumberFormat="1" applyFont="1" applyFill="1" applyBorder="1" applyAlignment="1">
      <alignment horizontal="center" vertical="center" wrapText="1"/>
    </xf>
    <xf numFmtId="3" fontId="38" fillId="16" borderId="53" xfId="2" applyNumberFormat="1" applyFont="1" applyFill="1" applyBorder="1" applyAlignment="1">
      <alignment horizontal="center" vertical="center"/>
    </xf>
    <xf numFmtId="3" fontId="38" fillId="16" borderId="30" xfId="2" applyNumberFormat="1" applyFont="1" applyFill="1" applyBorder="1" applyAlignment="1">
      <alignment horizontal="center" vertical="center"/>
    </xf>
    <xf numFmtId="10" fontId="37" fillId="0" borderId="54" xfId="5" applyNumberFormat="1" applyFont="1" applyFill="1" applyBorder="1" applyAlignment="1">
      <alignment horizontal="center" vertical="center" wrapText="1"/>
    </xf>
    <xf numFmtId="10" fontId="37" fillId="0" borderId="35" xfId="5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vertical="center"/>
    </xf>
    <xf numFmtId="0" fontId="7" fillId="7" borderId="1" xfId="0" applyFont="1" applyFill="1" applyBorder="1" applyAlignment="1">
      <alignment horizontal="left"/>
    </xf>
    <xf numFmtId="9" fontId="7" fillId="5" borderId="2" xfId="0" applyNumberFormat="1" applyFont="1" applyFill="1" applyBorder="1" applyAlignment="1">
      <alignment horizontal="left"/>
    </xf>
    <xf numFmtId="0" fontId="5" fillId="2" borderId="1" xfId="9" applyFont="1" applyFill="1" applyBorder="1" applyAlignment="1">
      <alignment horizontal="center" vertical="center"/>
    </xf>
    <xf numFmtId="0" fontId="6" fillId="0" borderId="1" xfId="9" applyFont="1" applyFill="1" applyBorder="1" applyAlignment="1">
      <alignment horizontal="center" vertical="center"/>
    </xf>
    <xf numFmtId="0" fontId="41" fillId="0" borderId="1" xfId="9" applyFont="1" applyFill="1" applyBorder="1" applyAlignment="1">
      <alignment horizontal="center" vertical="center"/>
    </xf>
    <xf numFmtId="0" fontId="42" fillId="2" borderId="1" xfId="9" applyFont="1" applyFill="1" applyBorder="1" applyAlignment="1">
      <alignment horizontal="center" vertical="center"/>
    </xf>
    <xf numFmtId="0" fontId="5" fillId="0" borderId="1" xfId="9" applyFont="1" applyFill="1" applyBorder="1" applyAlignment="1">
      <alignment horizontal="center" vertical="center"/>
    </xf>
    <xf numFmtId="3" fontId="1" fillId="0" borderId="1" xfId="9" applyNumberFormat="1" applyFill="1" applyBorder="1" applyAlignment="1">
      <alignment horizontal="left"/>
    </xf>
    <xf numFmtId="3" fontId="1" fillId="0" borderId="8" xfId="9" applyNumberFormat="1" applyFill="1" applyBorder="1" applyAlignment="1">
      <alignment horizontal="left"/>
    </xf>
    <xf numFmtId="3" fontId="5" fillId="2" borderId="1" xfId="9" applyNumberFormat="1" applyFont="1" applyFill="1" applyBorder="1" applyAlignment="1">
      <alignment horizontal="center" vertical="center"/>
    </xf>
    <xf numFmtId="0" fontId="5" fillId="0" borderId="8" xfId="9" applyFont="1" applyFill="1" applyBorder="1" applyAlignment="1">
      <alignment horizontal="center" vertical="center"/>
    </xf>
    <xf numFmtId="0" fontId="44" fillId="0" borderId="14" xfId="9" applyFont="1" applyFill="1" applyBorder="1" applyAlignment="1">
      <alignment vertical="center" wrapText="1"/>
    </xf>
    <xf numFmtId="0" fontId="45" fillId="0" borderId="15" xfId="9" applyFont="1" applyFill="1" applyBorder="1" applyAlignment="1">
      <alignment horizontal="center" vertical="center"/>
    </xf>
    <xf numFmtId="0" fontId="44" fillId="2" borderId="10" xfId="9" applyFont="1" applyFill="1" applyBorder="1" applyAlignment="1">
      <alignment vertical="center" wrapText="1"/>
    </xf>
    <xf numFmtId="0" fontId="1" fillId="0" borderId="0" xfId="9" applyBorder="1"/>
    <xf numFmtId="0" fontId="5" fillId="2" borderId="3" xfId="9" applyFont="1" applyFill="1" applyBorder="1" applyAlignment="1">
      <alignment horizontal="center" vertical="top" wrapText="1"/>
    </xf>
    <xf numFmtId="0" fontId="4" fillId="2" borderId="3" xfId="9" applyFont="1" applyFill="1" applyBorder="1" applyAlignment="1">
      <alignment horizontal="center" vertical="center" textRotation="255" wrapText="1"/>
    </xf>
    <xf numFmtId="0" fontId="5" fillId="2" borderId="3" xfId="9" applyFont="1" applyFill="1" applyBorder="1" applyAlignment="1">
      <alignment horizontal="center" vertical="top"/>
    </xf>
    <xf numFmtId="0" fontId="6" fillId="0" borderId="3" xfId="9" applyFont="1" applyFill="1" applyBorder="1" applyAlignment="1">
      <alignment horizontal="center" vertical="top" wrapText="1"/>
    </xf>
    <xf numFmtId="0" fontId="6" fillId="0" borderId="3" xfId="9" applyFont="1" applyFill="1" applyBorder="1" applyAlignment="1">
      <alignment horizontal="center" vertical="top"/>
    </xf>
    <xf numFmtId="0" fontId="6" fillId="0" borderId="3" xfId="9" applyFont="1" applyFill="1" applyBorder="1" applyAlignment="1">
      <alignment horizontal="center" vertical="center"/>
    </xf>
    <xf numFmtId="3" fontId="5" fillId="2" borderId="3" xfId="9" applyNumberFormat="1" applyFont="1" applyFill="1" applyBorder="1" applyAlignment="1">
      <alignment horizontal="center" vertical="top"/>
    </xf>
    <xf numFmtId="3" fontId="5" fillId="2" borderId="3" xfId="9" applyNumberFormat="1" applyFont="1" applyFill="1" applyBorder="1" applyAlignment="1">
      <alignment horizontal="center" vertical="top" wrapText="1"/>
    </xf>
    <xf numFmtId="3" fontId="5" fillId="0" borderId="8" xfId="9" applyNumberFormat="1" applyFont="1" applyFill="1" applyBorder="1" applyAlignment="1">
      <alignment horizontal="center" vertical="top" wrapText="1"/>
    </xf>
    <xf numFmtId="3" fontId="6" fillId="0" borderId="3" xfId="9" applyNumberFormat="1" applyFont="1" applyFill="1" applyBorder="1" applyAlignment="1">
      <alignment horizontal="center" vertical="center" wrapText="1"/>
    </xf>
    <xf numFmtId="0" fontId="19" fillId="0" borderId="0" xfId="9" applyFont="1" applyBorder="1" applyAlignment="1">
      <alignment horizontal="center"/>
    </xf>
    <xf numFmtId="0" fontId="7" fillId="0" borderId="0" xfId="9" applyFont="1" applyBorder="1" applyAlignment="1">
      <alignment horizontal="center"/>
    </xf>
    <xf numFmtId="0" fontId="5" fillId="0" borderId="0" xfId="9" applyFont="1" applyFill="1" applyBorder="1" applyAlignment="1">
      <alignment horizontal="center" vertical="top" wrapText="1"/>
    </xf>
    <xf numFmtId="0" fontId="4" fillId="0" borderId="0" xfId="9" applyFont="1" applyFill="1" applyBorder="1" applyAlignment="1">
      <alignment horizontal="center" vertical="center" textRotation="255" wrapText="1"/>
    </xf>
    <xf numFmtId="0" fontId="5" fillId="0" borderId="0" xfId="9" applyFont="1" applyFill="1" applyBorder="1" applyAlignment="1">
      <alignment horizontal="center" vertical="top"/>
    </xf>
    <xf numFmtId="0" fontId="6" fillId="0" borderId="0" xfId="9" applyFont="1" applyFill="1" applyBorder="1" applyAlignment="1">
      <alignment horizontal="center" vertical="top" wrapText="1"/>
    </xf>
    <xf numFmtId="0" fontId="6" fillId="0" borderId="0" xfId="9" applyFont="1" applyFill="1" applyBorder="1" applyAlignment="1">
      <alignment horizontal="center" vertical="top"/>
    </xf>
    <xf numFmtId="0" fontId="6" fillId="0" borderId="0" xfId="9" applyFont="1" applyFill="1" applyBorder="1" applyAlignment="1">
      <alignment horizontal="center" vertical="center"/>
    </xf>
    <xf numFmtId="0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horizontal="center" vertical="top"/>
    </xf>
    <xf numFmtId="3" fontId="5" fillId="0" borderId="0" xfId="9" applyNumberFormat="1" applyFont="1" applyFill="1" applyBorder="1" applyAlignment="1">
      <alignment horizontal="center" vertical="top" wrapText="1"/>
    </xf>
    <xf numFmtId="3" fontId="6" fillId="0" borderId="0" xfId="9" applyNumberFormat="1" applyFont="1" applyFill="1" applyBorder="1" applyAlignment="1">
      <alignment horizontal="center" vertical="center" wrapText="1"/>
    </xf>
    <xf numFmtId="0" fontId="19" fillId="0" borderId="0" xfId="9" applyFont="1" applyFill="1" applyBorder="1" applyAlignment="1">
      <alignment horizontal="center"/>
    </xf>
    <xf numFmtId="0" fontId="7" fillId="0" borderId="0" xfId="9" applyFont="1" applyFill="1" applyBorder="1" applyAlignment="1">
      <alignment horizontal="center"/>
    </xf>
    <xf numFmtId="3" fontId="46" fillId="0" borderId="0" xfId="9" applyNumberFormat="1" applyFont="1" applyFill="1" applyBorder="1" applyAlignment="1">
      <alignment vertical="center"/>
    </xf>
    <xf numFmtId="0" fontId="5" fillId="0" borderId="0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 textRotation="255" wrapText="1"/>
    </xf>
    <xf numFmtId="0" fontId="42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horizontal="left" vertical="center"/>
    </xf>
    <xf numFmtId="3" fontId="5" fillId="0" borderId="0" xfId="9" applyNumberFormat="1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horizontal="center" vertical="center" wrapText="1"/>
    </xf>
    <xf numFmtId="0" fontId="7" fillId="0" borderId="0" xfId="9" applyFont="1" applyFill="1" applyAlignment="1">
      <alignment horizontal="center"/>
    </xf>
    <xf numFmtId="0" fontId="13" fillId="0" borderId="0" xfId="9" applyFont="1" applyFill="1" applyBorder="1" applyAlignment="1">
      <alignment horizontal="center"/>
    </xf>
    <xf numFmtId="0" fontId="13" fillId="0" borderId="0" xfId="9" applyFont="1" applyFill="1" applyBorder="1" applyAlignment="1">
      <alignment horizontal="left"/>
    </xf>
    <xf numFmtId="0" fontId="13" fillId="0" borderId="0" xfId="9" applyFont="1" applyFill="1" applyBorder="1"/>
    <xf numFmtId="0" fontId="9" fillId="3" borderId="5" xfId="9" applyFont="1" applyFill="1" applyBorder="1"/>
    <xf numFmtId="3" fontId="13" fillId="0" borderId="0" xfId="9" applyNumberFormat="1" applyFont="1" applyFill="1" applyBorder="1" applyAlignment="1">
      <alignment horizontal="left"/>
    </xf>
    <xf numFmtId="3" fontId="13" fillId="0" borderId="0" xfId="9" applyNumberFormat="1" applyFont="1" applyFill="1" applyBorder="1" applyAlignment="1">
      <alignment horizontal="center"/>
    </xf>
    <xf numFmtId="3" fontId="13" fillId="0" borderId="0" xfId="9" applyNumberFormat="1" applyFont="1" applyFill="1" applyBorder="1" applyAlignment="1">
      <alignment horizontal="center" wrapText="1"/>
    </xf>
    <xf numFmtId="0" fontId="13" fillId="0" borderId="0" xfId="9" applyFont="1" applyFill="1" applyBorder="1" applyAlignment="1">
      <alignment horizontal="left" wrapText="1"/>
    </xf>
    <xf numFmtId="0" fontId="13" fillId="0" borderId="0" xfId="9" applyFont="1" applyFill="1"/>
    <xf numFmtId="0" fontId="1" fillId="0" borderId="0" xfId="9"/>
    <xf numFmtId="0" fontId="7" fillId="10" borderId="2" xfId="9" applyFont="1" applyFill="1" applyBorder="1" applyAlignment="1">
      <alignment horizontal="center"/>
    </xf>
    <xf numFmtId="0" fontId="7" fillId="10" borderId="2" xfId="9" applyFont="1" applyFill="1" applyBorder="1" applyAlignment="1">
      <alignment horizontal="left"/>
    </xf>
    <xf numFmtId="0" fontId="7" fillId="10" borderId="13" xfId="9" applyFont="1" applyFill="1" applyBorder="1" applyAlignment="1">
      <alignment horizontal="center"/>
    </xf>
    <xf numFmtId="0" fontId="7" fillId="10" borderId="2" xfId="9" applyFont="1" applyFill="1" applyBorder="1"/>
    <xf numFmtId="0" fontId="14" fillId="10" borderId="2" xfId="9" applyFont="1" applyFill="1" applyBorder="1"/>
    <xf numFmtId="3" fontId="7" fillId="10" borderId="2" xfId="9" applyNumberFormat="1" applyFont="1" applyFill="1" applyBorder="1" applyAlignment="1">
      <alignment horizontal="left"/>
    </xf>
    <xf numFmtId="3" fontId="7" fillId="10" borderId="2" xfId="9" applyNumberFormat="1" applyFont="1" applyFill="1" applyBorder="1" applyAlignment="1">
      <alignment horizontal="center"/>
    </xf>
    <xf numFmtId="3" fontId="7" fillId="10" borderId="2" xfId="9" applyNumberFormat="1" applyFont="1" applyFill="1" applyBorder="1" applyAlignment="1">
      <alignment horizontal="center" wrapText="1"/>
    </xf>
    <xf numFmtId="3" fontId="7" fillId="0" borderId="2" xfId="9" applyNumberFormat="1" applyFont="1" applyFill="1" applyBorder="1" applyAlignment="1">
      <alignment horizontal="center" wrapText="1"/>
    </xf>
    <xf numFmtId="0" fontId="7" fillId="10" borderId="2" xfId="9" applyFont="1" applyFill="1" applyBorder="1" applyAlignment="1">
      <alignment horizontal="left" wrapText="1"/>
    </xf>
    <xf numFmtId="0" fontId="7" fillId="0" borderId="2" xfId="9" applyFont="1" applyFill="1" applyBorder="1" applyAlignment="1">
      <alignment horizontal="left" wrapText="1"/>
    </xf>
    <xf numFmtId="0" fontId="7" fillId="0" borderId="0" xfId="9" applyFont="1" applyFill="1"/>
    <xf numFmtId="0" fontId="7" fillId="0" borderId="0" xfId="9" applyFont="1" applyFill="1" applyBorder="1" applyAlignment="1">
      <alignment horizontal="center" vertical="center"/>
    </xf>
    <xf numFmtId="0" fontId="7" fillId="0" borderId="0" xfId="9" applyFont="1" applyFill="1" applyBorder="1" applyAlignment="1">
      <alignment vertical="center"/>
    </xf>
    <xf numFmtId="0" fontId="7" fillId="0" borderId="0" xfId="9" applyFont="1" applyFill="1" applyBorder="1" applyAlignment="1">
      <alignment horizontal="left" vertical="center"/>
    </xf>
    <xf numFmtId="0" fontId="10" fillId="4" borderId="2" xfId="9" applyFont="1" applyFill="1" applyBorder="1" applyAlignment="1">
      <alignment vertical="center"/>
    </xf>
    <xf numFmtId="3" fontId="10" fillId="0" borderId="9" xfId="9" applyNumberFormat="1" applyFont="1" applyFill="1" applyBorder="1" applyAlignment="1">
      <alignment horizontal="left" vertical="center"/>
    </xf>
    <xf numFmtId="3" fontId="10" fillId="0" borderId="0" xfId="9" applyNumberFormat="1" applyFont="1" applyFill="1" applyBorder="1" applyAlignment="1">
      <alignment horizontal="left" vertical="center"/>
    </xf>
    <xf numFmtId="3" fontId="10" fillId="4" borderId="2" xfId="9" applyNumberFormat="1" applyFont="1" applyFill="1" applyBorder="1" applyAlignment="1">
      <alignment horizontal="center" vertical="center"/>
    </xf>
    <xf numFmtId="3" fontId="10" fillId="0" borderId="8" xfId="9" applyNumberFormat="1" applyFont="1" applyFill="1" applyBorder="1" applyAlignment="1">
      <alignment horizontal="center" vertical="center"/>
    </xf>
    <xf numFmtId="3" fontId="10" fillId="0" borderId="0" xfId="9" applyNumberFormat="1" applyFont="1" applyFill="1" applyBorder="1" applyAlignment="1">
      <alignment horizontal="center" vertical="center"/>
    </xf>
    <xf numFmtId="0" fontId="7" fillId="0" borderId="0" xfId="9" applyFont="1" applyFill="1" applyBorder="1" applyAlignment="1">
      <alignment horizontal="left" vertical="center" wrapText="1"/>
    </xf>
    <xf numFmtId="0" fontId="7" fillId="0" borderId="0" xfId="9" applyFont="1" applyFill="1" applyAlignment="1">
      <alignment vertical="center"/>
    </xf>
    <xf numFmtId="0" fontId="7" fillId="0" borderId="0" xfId="9" applyFont="1" applyAlignment="1">
      <alignment vertical="center"/>
    </xf>
    <xf numFmtId="3" fontId="14" fillId="10" borderId="2" xfId="9" applyNumberFormat="1" applyFont="1" applyFill="1" applyBorder="1" applyAlignment="1">
      <alignment horizontal="center"/>
    </xf>
    <xf numFmtId="0" fontId="12" fillId="0" borderId="0" xfId="9" applyFont="1" applyAlignment="1">
      <alignment vertical="center"/>
    </xf>
    <xf numFmtId="0" fontId="1" fillId="0" borderId="0" xfId="9" applyAlignment="1">
      <alignment horizontal="center"/>
    </xf>
    <xf numFmtId="0" fontId="1" fillId="0" borderId="0" xfId="9" applyAlignment="1">
      <alignment horizontal="left"/>
    </xf>
    <xf numFmtId="0" fontId="1" fillId="0" borderId="0" xfId="9" applyFont="1" applyAlignment="1">
      <alignment horizontal="center"/>
    </xf>
    <xf numFmtId="0" fontId="1" fillId="0" borderId="0" xfId="9" applyFont="1" applyFill="1" applyAlignment="1">
      <alignment horizontal="left"/>
    </xf>
    <xf numFmtId="3" fontId="1" fillId="0" borderId="0" xfId="9" applyNumberFormat="1" applyFill="1" applyAlignment="1">
      <alignment horizontal="left"/>
    </xf>
    <xf numFmtId="3" fontId="1" fillId="0" borderId="0" xfId="9" applyNumberFormat="1" applyFill="1" applyBorder="1" applyAlignment="1">
      <alignment horizontal="left"/>
    </xf>
    <xf numFmtId="3" fontId="1" fillId="0" borderId="0" xfId="9" applyNumberFormat="1" applyFill="1" applyAlignment="1">
      <alignment horizontal="center"/>
    </xf>
    <xf numFmtId="3" fontId="1" fillId="0" borderId="0" xfId="9" applyNumberFormat="1" applyFill="1" applyBorder="1" applyAlignment="1">
      <alignment horizontal="center" wrapText="1"/>
    </xf>
    <xf numFmtId="3" fontId="12" fillId="0" borderId="0" xfId="9" applyNumberFormat="1" applyFont="1" applyAlignment="1">
      <alignment horizontal="center" wrapText="1"/>
    </xf>
    <xf numFmtId="3" fontId="1" fillId="0" borderId="0" xfId="9" applyNumberFormat="1" applyAlignment="1">
      <alignment horizontal="center" wrapText="1"/>
    </xf>
    <xf numFmtId="3" fontId="1" fillId="0" borderId="0" xfId="9" applyNumberFormat="1" applyFill="1" applyAlignment="1">
      <alignment horizontal="center" wrapText="1"/>
    </xf>
    <xf numFmtId="0" fontId="1" fillId="0" borderId="0" xfId="9" applyAlignment="1">
      <alignment horizontal="left" wrapText="1"/>
    </xf>
    <xf numFmtId="0" fontId="10" fillId="3" borderId="5" xfId="9" applyFont="1" applyFill="1" applyBorder="1"/>
    <xf numFmtId="3" fontId="10" fillId="0" borderId="9" xfId="9" applyNumberFormat="1" applyFont="1" applyFill="1" applyBorder="1" applyAlignment="1">
      <alignment horizontal="center" vertical="center"/>
    </xf>
    <xf numFmtId="3" fontId="10" fillId="4" borderId="13" xfId="9" applyNumberFormat="1" applyFont="1" applyFill="1" applyBorder="1" applyAlignment="1">
      <alignment vertical="center"/>
    </xf>
    <xf numFmtId="3" fontId="10" fillId="4" borderId="13" xfId="9" applyNumberFormat="1" applyFont="1" applyFill="1" applyBorder="1" applyAlignment="1">
      <alignment horizontal="center" vertical="center"/>
    </xf>
    <xf numFmtId="3" fontId="10" fillId="0" borderId="15" xfId="9" applyNumberFormat="1" applyFont="1" applyFill="1" applyBorder="1" applyAlignment="1">
      <alignment horizontal="center" vertical="center"/>
    </xf>
    <xf numFmtId="0" fontId="3" fillId="0" borderId="0" xfId="9" applyFont="1" applyFill="1" applyBorder="1"/>
    <xf numFmtId="0" fontId="7" fillId="0" borderId="0" xfId="9" applyFont="1" applyAlignment="1">
      <alignment horizontal="center" vertical="center"/>
    </xf>
    <xf numFmtId="0" fontId="7" fillId="0" borderId="0" xfId="9" applyFont="1" applyFill="1" applyAlignment="1">
      <alignment horizontal="left" vertical="center"/>
    </xf>
    <xf numFmtId="0" fontId="7" fillId="0" borderId="0" xfId="9" applyFont="1" applyAlignment="1">
      <alignment horizontal="left" vertical="center"/>
    </xf>
    <xf numFmtId="0" fontId="7" fillId="0" borderId="0" xfId="9" applyFont="1" applyAlignment="1">
      <alignment horizontal="left" vertical="center" wrapText="1"/>
    </xf>
    <xf numFmtId="3" fontId="9" fillId="4" borderId="13" xfId="9" applyNumberFormat="1" applyFont="1" applyFill="1" applyBorder="1" applyAlignment="1">
      <alignment vertical="center"/>
    </xf>
    <xf numFmtId="3" fontId="7" fillId="0" borderId="0" xfId="9" applyNumberFormat="1" applyFont="1" applyFill="1" applyAlignment="1">
      <alignment horizontal="center"/>
    </xf>
    <xf numFmtId="0" fontId="47" fillId="0" borderId="0" xfId="9" applyFont="1"/>
    <xf numFmtId="3" fontId="48" fillId="0" borderId="0" xfId="9" applyNumberFormat="1" applyFont="1" applyFill="1" applyAlignment="1">
      <alignment horizontal="center"/>
    </xf>
    <xf numFmtId="3" fontId="7" fillId="0" borderId="8" xfId="9" applyNumberFormat="1" applyFont="1" applyFill="1" applyBorder="1" applyAlignment="1">
      <alignment horizontal="left"/>
    </xf>
    <xf numFmtId="3" fontId="7" fillId="0" borderId="8" xfId="9" applyNumberFormat="1" applyFont="1" applyFill="1" applyBorder="1" applyAlignment="1">
      <alignment horizontal="center" wrapText="1"/>
    </xf>
    <xf numFmtId="0" fontId="7" fillId="20" borderId="2" xfId="0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7" fillId="20" borderId="6" xfId="0" applyFont="1" applyFill="1" applyBorder="1" applyAlignment="1">
      <alignment horizontal="center"/>
    </xf>
    <xf numFmtId="0" fontId="7" fillId="20" borderId="2" xfId="0" applyFont="1" applyFill="1" applyBorder="1" applyAlignment="1">
      <alignment horizontal="left"/>
    </xf>
    <xf numFmtId="0" fontId="7" fillId="20" borderId="14" xfId="0" applyFont="1" applyFill="1" applyBorder="1" applyAlignment="1">
      <alignment horizontal="center"/>
    </xf>
    <xf numFmtId="0" fontId="7" fillId="20" borderId="2" xfId="0" applyFont="1" applyFill="1" applyBorder="1"/>
    <xf numFmtId="3" fontId="7" fillId="20" borderId="10" xfId="0" applyNumberFormat="1" applyFont="1" applyFill="1" applyBorder="1" applyAlignment="1">
      <alignment horizontal="left"/>
    </xf>
    <xf numFmtId="3" fontId="7" fillId="20" borderId="10" xfId="0" applyNumberFormat="1" applyFont="1" applyFill="1" applyBorder="1" applyAlignment="1">
      <alignment horizontal="center" vertical="center" wrapText="1"/>
    </xf>
    <xf numFmtId="0" fontId="7" fillId="20" borderId="11" xfId="0" applyFont="1" applyFill="1" applyBorder="1" applyAlignment="1">
      <alignment horizontal="center"/>
    </xf>
    <xf numFmtId="3" fontId="7" fillId="20" borderId="13" xfId="0" applyNumberFormat="1" applyFont="1" applyFill="1" applyBorder="1" applyAlignment="1">
      <alignment horizontal="left"/>
    </xf>
    <xf numFmtId="3" fontId="7" fillId="20" borderId="13" xfId="0" applyNumberFormat="1" applyFont="1" applyFill="1" applyBorder="1" applyAlignment="1">
      <alignment horizontal="center" vertical="center" wrapText="1"/>
    </xf>
    <xf numFmtId="0" fontId="7" fillId="20" borderId="12" xfId="0" applyFont="1" applyFill="1" applyBorder="1" applyAlignment="1">
      <alignment horizontal="center"/>
    </xf>
    <xf numFmtId="0" fontId="14" fillId="20" borderId="3" xfId="0" applyFont="1" applyFill="1" applyBorder="1" applyAlignment="1">
      <alignment vertical="center"/>
    </xf>
    <xf numFmtId="3" fontId="15" fillId="20" borderId="0" xfId="0" applyNumberFormat="1" applyFont="1" applyFill="1" applyBorder="1" applyAlignment="1">
      <alignment horizontal="left"/>
    </xf>
    <xf numFmtId="3" fontId="14" fillId="20" borderId="3" xfId="0" applyNumberFormat="1" applyFont="1" applyFill="1" applyBorder="1" applyAlignment="1">
      <alignment horizontal="center" vertical="center"/>
    </xf>
    <xf numFmtId="0" fontId="3" fillId="0" borderId="0" xfId="0" applyFont="1" applyFill="1"/>
    <xf numFmtId="0" fontId="11" fillId="0" borderId="0" xfId="0" applyFont="1" applyFill="1" applyAlignment="1">
      <alignment vertical="center"/>
    </xf>
    <xf numFmtId="0" fontId="7" fillId="0" borderId="8" xfId="0" applyFont="1" applyFill="1" applyBorder="1"/>
    <xf numFmtId="0" fontId="24" fillId="0" borderId="13" xfId="0" applyFont="1" applyFill="1" applyBorder="1" applyAlignment="1">
      <alignment horizontal="center" vertical="center" textRotation="255" wrapText="1"/>
    </xf>
    <xf numFmtId="0" fontId="6" fillId="0" borderId="7" xfId="0" applyFont="1" applyFill="1" applyBorder="1" applyAlignment="1">
      <alignment horizontal="center" vertical="center" wrapText="1"/>
    </xf>
    <xf numFmtId="3" fontId="6" fillId="0" borderId="7" xfId="0" applyNumberFormat="1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/>
    </xf>
    <xf numFmtId="3" fontId="15" fillId="0" borderId="13" xfId="0" applyNumberFormat="1" applyFont="1" applyFill="1" applyBorder="1" applyAlignment="1">
      <alignment horizontal="left"/>
    </xf>
    <xf numFmtId="3" fontId="11" fillId="0" borderId="13" xfId="0" applyNumberFormat="1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/>
    </xf>
    <xf numFmtId="0" fontId="7" fillId="20" borderId="13" xfId="0" applyFont="1" applyFill="1" applyBorder="1" applyAlignment="1">
      <alignment horizontal="center"/>
    </xf>
    <xf numFmtId="0" fontId="7" fillId="20" borderId="10" xfId="0" applyFont="1" applyFill="1" applyBorder="1" applyAlignment="1">
      <alignment horizontal="center"/>
    </xf>
    <xf numFmtId="3" fontId="7" fillId="15" borderId="13" xfId="0" applyNumberFormat="1" applyFont="1" applyFill="1" applyBorder="1" applyAlignment="1">
      <alignment horizontal="left"/>
    </xf>
    <xf numFmtId="3" fontId="7" fillId="15" borderId="13" xfId="0" applyNumberFormat="1" applyFont="1" applyFill="1" applyBorder="1" applyAlignment="1">
      <alignment horizontal="center" vertical="center" wrapText="1"/>
    </xf>
    <xf numFmtId="3" fontId="7" fillId="12" borderId="13" xfId="0" applyNumberFormat="1" applyFont="1" applyFill="1" applyBorder="1" applyAlignment="1">
      <alignment horizontal="left"/>
    </xf>
    <xf numFmtId="3" fontId="7" fillId="12" borderId="13" xfId="0" applyNumberFormat="1" applyFont="1" applyFill="1" applyBorder="1" applyAlignment="1">
      <alignment horizontal="center" vertical="center" wrapText="1"/>
    </xf>
    <xf numFmtId="0" fontId="7" fillId="53" borderId="2" xfId="0" applyFont="1" applyFill="1" applyBorder="1"/>
    <xf numFmtId="0" fontId="33" fillId="16" borderId="18" xfId="2" applyFont="1" applyFill="1" applyBorder="1" applyAlignment="1">
      <alignment horizontal="center" vertical="center"/>
    </xf>
    <xf numFmtId="0" fontId="33" fillId="16" borderId="19" xfId="2" applyFont="1" applyFill="1" applyBorder="1" applyAlignment="1">
      <alignment horizontal="center" vertical="center"/>
    </xf>
    <xf numFmtId="0" fontId="33" fillId="16" borderId="20" xfId="2" applyFont="1" applyFill="1" applyBorder="1" applyAlignment="1">
      <alignment horizontal="center" vertical="center"/>
    </xf>
    <xf numFmtId="0" fontId="33" fillId="16" borderId="21" xfId="2" applyFont="1" applyFill="1" applyBorder="1" applyAlignment="1">
      <alignment horizontal="center" vertical="center"/>
    </xf>
    <xf numFmtId="0" fontId="33" fillId="16" borderId="22" xfId="2" applyFont="1" applyFill="1" applyBorder="1" applyAlignment="1">
      <alignment horizontal="center" vertical="center"/>
    </xf>
    <xf numFmtId="0" fontId="36" fillId="16" borderId="18" xfId="2" applyFont="1" applyFill="1" applyBorder="1" applyAlignment="1">
      <alignment horizontal="center" vertical="center"/>
    </xf>
    <xf numFmtId="0" fontId="36" fillId="16" borderId="19" xfId="2" applyFont="1" applyFill="1" applyBorder="1" applyAlignment="1">
      <alignment horizontal="center" vertical="center"/>
    </xf>
    <xf numFmtId="0" fontId="36" fillId="16" borderId="41" xfId="2" applyFont="1" applyFill="1" applyBorder="1" applyAlignment="1">
      <alignment horizontal="center" vertical="center"/>
    </xf>
    <xf numFmtId="0" fontId="36" fillId="16" borderId="42" xfId="2" applyFont="1" applyFill="1" applyBorder="1" applyAlignment="1">
      <alignment horizontal="center" vertical="center"/>
    </xf>
    <xf numFmtId="0" fontId="36" fillId="16" borderId="43" xfId="2" applyFont="1" applyFill="1" applyBorder="1" applyAlignment="1">
      <alignment horizontal="center" vertical="center"/>
    </xf>
    <xf numFmtId="0" fontId="36" fillId="16" borderId="49" xfId="2" applyFont="1" applyFill="1" applyBorder="1" applyAlignment="1">
      <alignment horizontal="center"/>
    </xf>
    <xf numFmtId="0" fontId="36" fillId="16" borderId="50" xfId="2" applyFont="1" applyFill="1" applyBorder="1" applyAlignment="1">
      <alignment horizontal="center"/>
    </xf>
    <xf numFmtId="0" fontId="36" fillId="16" borderId="51" xfId="2" applyFont="1" applyFill="1" applyBorder="1" applyAlignment="1">
      <alignment horizontal="center"/>
    </xf>
    <xf numFmtId="0" fontId="36" fillId="16" borderId="20" xfId="2" applyFont="1" applyFill="1" applyBorder="1" applyAlignment="1">
      <alignment horizontal="center"/>
    </xf>
    <xf numFmtId="0" fontId="36" fillId="16" borderId="21" xfId="2" applyFont="1" applyFill="1" applyBorder="1" applyAlignment="1">
      <alignment horizontal="center"/>
    </xf>
    <xf numFmtId="0" fontId="36" fillId="16" borderId="22" xfId="2" applyFont="1" applyFill="1" applyBorder="1" applyAlignment="1">
      <alignment horizontal="center"/>
    </xf>
    <xf numFmtId="0" fontId="33" fillId="16" borderId="18" xfId="2" applyFont="1" applyFill="1" applyBorder="1" applyAlignment="1">
      <alignment horizontal="center"/>
    </xf>
    <xf numFmtId="0" fontId="33" fillId="16" borderId="19" xfId="2" applyFont="1" applyFill="1" applyBorder="1" applyAlignment="1">
      <alignment horizontal="center"/>
    </xf>
    <xf numFmtId="0" fontId="33" fillId="16" borderId="41" xfId="2" applyFont="1" applyFill="1" applyBorder="1" applyAlignment="1">
      <alignment horizontal="center" wrapText="1"/>
    </xf>
    <xf numFmtId="0" fontId="33" fillId="16" borderId="42" xfId="2" applyFont="1" applyFill="1" applyBorder="1" applyAlignment="1">
      <alignment horizontal="center" wrapText="1"/>
    </xf>
    <xf numFmtId="0" fontId="33" fillId="16" borderId="43" xfId="2" applyFont="1" applyFill="1" applyBorder="1" applyAlignment="1">
      <alignment horizontal="center" wrapText="1"/>
    </xf>
    <xf numFmtId="0" fontId="33" fillId="16" borderId="41" xfId="2" applyFont="1" applyFill="1" applyBorder="1" applyAlignment="1">
      <alignment horizontal="center"/>
    </xf>
    <xf numFmtId="0" fontId="33" fillId="16" borderId="42" xfId="2" applyFont="1" applyFill="1" applyBorder="1" applyAlignment="1">
      <alignment horizontal="center"/>
    </xf>
    <xf numFmtId="0" fontId="33" fillId="16" borderId="43" xfId="2" applyFont="1" applyFill="1" applyBorder="1" applyAlignment="1">
      <alignment horizontal="center"/>
    </xf>
    <xf numFmtId="0" fontId="43" fillId="2" borderId="6" xfId="9" applyFont="1" applyFill="1" applyBorder="1" applyAlignment="1">
      <alignment horizontal="center" vertical="center"/>
    </xf>
    <xf numFmtId="0" fontId="43" fillId="2" borderId="14" xfId="9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left"/>
    </xf>
    <xf numFmtId="0" fontId="7" fillId="8" borderId="13" xfId="0" applyFont="1" applyFill="1" applyBorder="1" applyAlignment="1">
      <alignment horizontal="left"/>
    </xf>
    <xf numFmtId="0" fontId="16" fillId="7" borderId="13" xfId="0" applyFont="1" applyFill="1" applyBorder="1" applyAlignment="1">
      <alignment horizontal="left"/>
    </xf>
    <xf numFmtId="0" fontId="7" fillId="8" borderId="8" xfId="0" applyFont="1" applyFill="1" applyBorder="1"/>
    <xf numFmtId="3" fontId="7" fillId="8" borderId="8" xfId="0" applyNumberFormat="1" applyFont="1" applyFill="1" applyBorder="1" applyAlignment="1">
      <alignment horizontal="center" vertical="center"/>
    </xf>
    <xf numFmtId="3" fontId="7" fillId="8" borderId="8" xfId="0" applyNumberFormat="1" applyFont="1" applyFill="1" applyBorder="1" applyAlignment="1">
      <alignment horizontal="center" vertical="center" wrapText="1"/>
    </xf>
    <xf numFmtId="3" fontId="7" fillId="20" borderId="5" xfId="0" applyNumberFormat="1" applyFont="1" applyFill="1" applyBorder="1" applyAlignment="1">
      <alignment horizontal="center" vertical="center" wrapText="1"/>
    </xf>
    <xf numFmtId="0" fontId="7" fillId="53" borderId="3" xfId="0" applyFont="1" applyFill="1" applyBorder="1"/>
    <xf numFmtId="0" fontId="7" fillId="8" borderId="3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vertical="center"/>
    </xf>
    <xf numFmtId="0" fontId="7" fillId="8" borderId="3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vertical="center"/>
    </xf>
    <xf numFmtId="0" fontId="7" fillId="7" borderId="3" xfId="0" applyFont="1" applyFill="1" applyBorder="1" applyAlignment="1">
      <alignment horizontal="center"/>
    </xf>
    <xf numFmtId="0" fontId="7" fillId="7" borderId="3" xfId="0" applyFont="1" applyFill="1" applyBorder="1"/>
    <xf numFmtId="0" fontId="7" fillId="7" borderId="3" xfId="0" applyFont="1" applyFill="1" applyBorder="1" applyAlignment="1">
      <alignment horizontal="left"/>
    </xf>
    <xf numFmtId="3" fontId="7" fillId="7" borderId="3" xfId="0" applyNumberFormat="1" applyFont="1" applyFill="1" applyBorder="1" applyAlignment="1">
      <alignment horizontal="center" vertical="center"/>
    </xf>
    <xf numFmtId="3" fontId="7" fillId="7" borderId="3" xfId="0" applyNumberFormat="1" applyFont="1" applyFill="1" applyBorder="1" applyAlignment="1">
      <alignment horizontal="center" vertical="center" wrapText="1"/>
    </xf>
    <xf numFmtId="3" fontId="7" fillId="19" borderId="5" xfId="0" applyNumberFormat="1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left"/>
    </xf>
    <xf numFmtId="3" fontId="7" fillId="20" borderId="0" xfId="0" applyNumberFormat="1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textRotation="90" wrapText="1"/>
    </xf>
    <xf numFmtId="0" fontId="4" fillId="2" borderId="64" xfId="0" applyFont="1" applyFill="1" applyBorder="1" applyAlignment="1">
      <alignment horizontal="center" vertical="center" textRotation="255" wrapText="1"/>
    </xf>
    <xf numFmtId="0" fontId="5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/>
    </xf>
    <xf numFmtId="3" fontId="5" fillId="2" borderId="64" xfId="0" applyNumberFormat="1" applyFont="1" applyFill="1" applyBorder="1" applyAlignment="1">
      <alignment horizontal="center" vertical="center"/>
    </xf>
    <xf numFmtId="3" fontId="5" fillId="2" borderId="64" xfId="0" applyNumberFormat="1" applyFont="1" applyFill="1" applyBorder="1" applyAlignment="1">
      <alignment horizontal="center" vertical="center" wrapText="1"/>
    </xf>
    <xf numFmtId="0" fontId="7" fillId="7" borderId="64" xfId="0" applyFont="1" applyFill="1" applyBorder="1" applyAlignment="1">
      <alignment wrapText="1"/>
    </xf>
    <xf numFmtId="0" fontId="7" fillId="8" borderId="64" xfId="0" applyFont="1" applyFill="1" applyBorder="1" applyAlignment="1">
      <alignment wrapText="1"/>
    </xf>
    <xf numFmtId="14" fontId="5" fillId="2" borderId="64" xfId="0" applyNumberFormat="1" applyFont="1" applyFill="1" applyBorder="1" applyAlignment="1">
      <alignment horizontal="center" vertical="center" wrapText="1"/>
    </xf>
    <xf numFmtId="14" fontId="7" fillId="7" borderId="64" xfId="0" applyNumberFormat="1" applyFont="1" applyFill="1" applyBorder="1" applyAlignment="1">
      <alignment wrapText="1"/>
    </xf>
    <xf numFmtId="14" fontId="0" fillId="0" borderId="0" xfId="0" applyNumberFormat="1" applyFill="1"/>
    <xf numFmtId="0" fontId="7" fillId="54" borderId="64" xfId="0" applyFont="1" applyFill="1" applyBorder="1" applyAlignment="1">
      <alignment horizontal="center"/>
    </xf>
    <xf numFmtId="0" fontId="7" fillId="54" borderId="64" xfId="0" applyFont="1" applyFill="1" applyBorder="1"/>
    <xf numFmtId="0" fontId="7" fillId="54" borderId="64" xfId="0" applyFont="1" applyFill="1" applyBorder="1" applyAlignment="1">
      <alignment horizontal="left"/>
    </xf>
    <xf numFmtId="3" fontId="7" fillId="54" borderId="64" xfId="0" applyNumberFormat="1" applyFont="1" applyFill="1" applyBorder="1" applyAlignment="1">
      <alignment horizontal="center" vertical="center"/>
    </xf>
    <xf numFmtId="3" fontId="7" fillId="54" borderId="64" xfId="0" applyNumberFormat="1" applyFont="1" applyFill="1" applyBorder="1" applyAlignment="1">
      <alignment horizontal="center" vertical="center" wrapText="1"/>
    </xf>
    <xf numFmtId="0" fontId="7" fillId="54" borderId="64" xfId="0" applyFont="1" applyFill="1" applyBorder="1" applyAlignment="1">
      <alignment wrapText="1"/>
    </xf>
    <xf numFmtId="14" fontId="7" fillId="54" borderId="64" xfId="0" applyNumberFormat="1" applyFont="1" applyFill="1" applyBorder="1" applyAlignment="1">
      <alignment wrapText="1"/>
    </xf>
    <xf numFmtId="0" fontId="7" fillId="54" borderId="64" xfId="0" applyFont="1" applyFill="1" applyBorder="1" applyAlignment="1">
      <alignment horizontal="center" vertical="center"/>
    </xf>
    <xf numFmtId="0" fontId="7" fillId="54" borderId="64" xfId="0" applyFont="1" applyFill="1" applyBorder="1" applyAlignment="1">
      <alignment vertical="center"/>
    </xf>
    <xf numFmtId="0" fontId="7" fillId="54" borderId="64" xfId="0" applyFont="1" applyFill="1" applyBorder="1" applyAlignment="1">
      <alignment horizontal="left" vertical="center"/>
    </xf>
    <xf numFmtId="3" fontId="14" fillId="54" borderId="64" xfId="0" applyNumberFormat="1" applyFont="1" applyFill="1" applyBorder="1" applyAlignment="1">
      <alignment horizontal="center" vertical="center"/>
    </xf>
    <xf numFmtId="0" fontId="16" fillId="54" borderId="64" xfId="0" applyFont="1" applyFill="1" applyBorder="1" applyAlignment="1">
      <alignment horizontal="left"/>
    </xf>
    <xf numFmtId="0" fontId="7" fillId="54" borderId="64" xfId="0" applyFont="1" applyFill="1" applyBorder="1" applyAlignment="1">
      <alignment vertical="top" wrapText="1"/>
    </xf>
    <xf numFmtId="0" fontId="7" fillId="54" borderId="64" xfId="0" applyFont="1" applyFill="1" applyBorder="1" applyAlignment="1">
      <alignment horizontal="left" vertical="top" wrapText="1"/>
    </xf>
    <xf numFmtId="0" fontId="7" fillId="12" borderId="64" xfId="0" applyFont="1" applyFill="1" applyBorder="1" applyAlignment="1">
      <alignment wrapText="1"/>
    </xf>
  </cellXfs>
  <cellStyles count="150">
    <cellStyle name="20% - Accent1" xfId="10"/>
    <cellStyle name="20% - Accent2" xfId="11"/>
    <cellStyle name="20% - Accent3" xfId="12"/>
    <cellStyle name="20% - Accent4" xfId="13"/>
    <cellStyle name="20% - Accent5" xfId="14"/>
    <cellStyle name="20% - Accent6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60% - Accent1" xfId="22"/>
    <cellStyle name="60% - Accent2" xfId="23"/>
    <cellStyle name="60% - Accent3" xfId="24"/>
    <cellStyle name="60% - Accent4" xfId="25"/>
    <cellStyle name="60% - Accent5" xfId="26"/>
    <cellStyle name="60% - Accent6" xfId="27"/>
    <cellStyle name="Accent1" xfId="28"/>
    <cellStyle name="Accent2" xfId="29"/>
    <cellStyle name="Accent3" xfId="30"/>
    <cellStyle name="Accent4" xfId="31"/>
    <cellStyle name="Accent5" xfId="32"/>
    <cellStyle name="Accent6" xfId="33"/>
    <cellStyle name="Bad" xfId="34"/>
    <cellStyle name="Calculation" xfId="35"/>
    <cellStyle name="Check Cell" xfId="36"/>
    <cellStyle name="Euro" xfId="37"/>
    <cellStyle name="Explanatory Text" xfId="38"/>
    <cellStyle name="Good" xfId="39"/>
    <cellStyle name="Heading 1" xfId="40"/>
    <cellStyle name="Heading 2" xfId="41"/>
    <cellStyle name="Heading 3" xfId="42"/>
    <cellStyle name="Heading 4" xfId="43"/>
    <cellStyle name="Hipervínculo 2" xfId="44"/>
    <cellStyle name="Hipervínculo 3" xfId="45"/>
    <cellStyle name="Hipervínculo 4" xfId="46"/>
    <cellStyle name="Hipervínculo 5" xfId="47"/>
    <cellStyle name="Hipervínculo 6" xfId="48"/>
    <cellStyle name="Hipervínculo 7" xfId="49"/>
    <cellStyle name="Hyperlink" xfId="50"/>
    <cellStyle name="Incorrecto 2" xfId="51"/>
    <cellStyle name="Input" xfId="52"/>
    <cellStyle name="Linked Cell" xfId="53"/>
    <cellStyle name="Millares 10" xfId="54"/>
    <cellStyle name="Millares 2" xfId="55"/>
    <cellStyle name="Millares 2 2" xfId="56"/>
    <cellStyle name="Millares 2 3" xfId="57"/>
    <cellStyle name="Millares 3" xfId="58"/>
    <cellStyle name="Millares 3 2" xfId="59"/>
    <cellStyle name="Millares 4" xfId="60"/>
    <cellStyle name="Millares 5" xfId="61"/>
    <cellStyle name="Millares 6" xfId="62"/>
    <cellStyle name="Millares 7" xfId="63"/>
    <cellStyle name="Millares 8" xfId="7"/>
    <cellStyle name="Millares 9" xfId="64"/>
    <cellStyle name="Moneda [0] 2" xfId="65"/>
    <cellStyle name="Moneda 2" xfId="66"/>
    <cellStyle name="Moneda 2 2" xfId="67"/>
    <cellStyle name="Moneda 3" xfId="68"/>
    <cellStyle name="Moneda 4" xfId="69"/>
    <cellStyle name="Moneda 5" xfId="70"/>
    <cellStyle name="Moneda 6" xfId="71"/>
    <cellStyle name="Moneda 7" xfId="72"/>
    <cellStyle name="Moneda 8" xfId="73"/>
    <cellStyle name="Neutral 2" xfId="74"/>
    <cellStyle name="Normal" xfId="0" builtinId="0"/>
    <cellStyle name="Normal 10" xfId="75"/>
    <cellStyle name="Normal 11" xfId="76"/>
    <cellStyle name="Normal 12" xfId="77"/>
    <cellStyle name="Normal 13" xfId="78"/>
    <cellStyle name="Normal 14" xfId="79"/>
    <cellStyle name="Normal 15" xfId="80"/>
    <cellStyle name="Normal 16" xfId="81"/>
    <cellStyle name="Normal 17" xfId="82"/>
    <cellStyle name="Normal 18" xfId="83"/>
    <cellStyle name="Normal 19" xfId="84"/>
    <cellStyle name="Normal 2" xfId="1"/>
    <cellStyle name="Normal 2 2" xfId="85"/>
    <cellStyle name="Normal 2 2 2" xfId="86"/>
    <cellStyle name="Normal 2 3" xfId="87"/>
    <cellStyle name="Normal 2 3 2" xfId="88"/>
    <cellStyle name="Normal 2 4" xfId="89"/>
    <cellStyle name="Normal 2_FLUJOS AAC- DACG" xfId="90"/>
    <cellStyle name="Normal 20" xfId="91"/>
    <cellStyle name="Normal 21" xfId="92"/>
    <cellStyle name="Normal 22" xfId="93"/>
    <cellStyle name="Normal 23" xfId="94"/>
    <cellStyle name="Normal 24" xfId="95"/>
    <cellStyle name="Normal 25" xfId="96"/>
    <cellStyle name="Normal 26" xfId="97"/>
    <cellStyle name="Normal 27" xfId="98"/>
    <cellStyle name="Normal 28" xfId="99"/>
    <cellStyle name="Normal 29" xfId="100"/>
    <cellStyle name="Normal 3" xfId="6"/>
    <cellStyle name="Normal 3 2" xfId="101"/>
    <cellStyle name="Normal 3 3" xfId="102"/>
    <cellStyle name="Normal 30" xfId="103"/>
    <cellStyle name="Normal 31" xfId="104"/>
    <cellStyle name="Normal 32" xfId="105"/>
    <cellStyle name="Normal 33" xfId="106"/>
    <cellStyle name="Normal 34" xfId="107"/>
    <cellStyle name="Normal 35" xfId="108"/>
    <cellStyle name="Normal 36" xfId="109"/>
    <cellStyle name="Normal 37" xfId="110"/>
    <cellStyle name="Normal 38" xfId="111"/>
    <cellStyle name="Normal 39" xfId="112"/>
    <cellStyle name="Normal 4" xfId="2"/>
    <cellStyle name="Normal 40" xfId="113"/>
    <cellStyle name="Normal 41" xfId="114"/>
    <cellStyle name="Normal 42" xfId="115"/>
    <cellStyle name="Normal 43" xfId="116"/>
    <cellStyle name="Normal 44" xfId="117"/>
    <cellStyle name="Normal 45" xfId="118"/>
    <cellStyle name="Normal 46" xfId="119"/>
    <cellStyle name="Normal 47" xfId="120"/>
    <cellStyle name="Normal 48" xfId="121"/>
    <cellStyle name="Normal 49" xfId="122"/>
    <cellStyle name="Normal 5" xfId="9"/>
    <cellStyle name="Normal 5 2" xfId="123"/>
    <cellStyle name="Normal 50" xfId="124"/>
    <cellStyle name="Normal 51" xfId="125"/>
    <cellStyle name="Normal 52" xfId="126"/>
    <cellStyle name="Normal 53" xfId="127"/>
    <cellStyle name="Normal 54" xfId="128"/>
    <cellStyle name="Normal 55" xfId="129"/>
    <cellStyle name="Normal 56" xfId="130"/>
    <cellStyle name="Normal 57" xfId="131"/>
    <cellStyle name="Normal 58" xfId="132"/>
    <cellStyle name="Normal 58 2" xfId="133"/>
    <cellStyle name="Normal 59" xfId="134"/>
    <cellStyle name="Normal 59 2" xfId="135"/>
    <cellStyle name="Normal 6" xfId="136"/>
    <cellStyle name="Normal 6 2" xfId="137"/>
    <cellStyle name="Normal 60" xfId="138"/>
    <cellStyle name="Normal 7" xfId="139"/>
    <cellStyle name="Normal 8" xfId="140"/>
    <cellStyle name="Normal 9" xfId="141"/>
    <cellStyle name="Notas 2" xfId="142"/>
    <cellStyle name="Note" xfId="143"/>
    <cellStyle name="Output" xfId="144"/>
    <cellStyle name="Porcentaje" xfId="8" builtinId="5"/>
    <cellStyle name="Porcentaje 2" xfId="3"/>
    <cellStyle name="Porcentaje 2 2" xfId="145"/>
    <cellStyle name="Porcentaje 3" xfId="146"/>
    <cellStyle name="Porcentual 2" xfId="4"/>
    <cellStyle name="Porcentual 3" xfId="5"/>
    <cellStyle name="Porcentual 4" xfId="147"/>
    <cellStyle name="Title" xfId="148"/>
    <cellStyle name="Warning Text" xfId="149"/>
  </cellStyles>
  <dxfs count="30">
    <dxf>
      <fill>
        <patternFill patternType="solid">
          <fgColor rgb="FFDDEBF7"/>
          <bgColor rgb="FF000000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MARCO DECRETADO</c:v>
          </c:tx>
          <c:dLbls>
            <c:dLbl>
              <c:idx val="0"/>
              <c:layout>
                <c:manualLayout>
                  <c:x val="-5.632911481596186E-2"/>
                  <c:y val="5.4557195506131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C-46F2-847C-94944F9FD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6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GASTO!$B$37:$B$38</c:f>
              <c:strCache>
                <c:ptCount val="2"/>
                <c:pt idx="0">
                  <c:v>LEY PPTO</c:v>
                </c:pt>
                <c:pt idx="1">
                  <c:v>ENERO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GASTO!$B$37:$B$49</c15:sqref>
                  </c15:fullRef>
                </c:ext>
              </c:extLst>
            </c:strRef>
          </c:cat>
          <c:val>
            <c:numRef>
              <c:f>GASTO!$C$37:$C$38</c:f>
              <c:numCache>
                <c:formatCode>_-"$"\ * #,##0_-;\-"$"\ * #,##0_-;_-"$"\ * "-"??_-;_-@_-</c:formatCode>
                <c:ptCount val="2"/>
                <c:pt idx="0">
                  <c:v>82947650</c:v>
                </c:pt>
                <c:pt idx="1">
                  <c:v>84311481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GASTO!$C$37:$C$49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GASTO!$C$39</c15:sqref>
                  <c15:dLbl>
                    <c:idx val="1"/>
                    <c:layout>
                      <c:manualLayout>
                        <c:x val="-5.7902888357375601E-2"/>
                        <c:y val="-3.66635116235609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7C47-49B3-851C-EA061C88291F}"/>
                      </c:ext>
                    </c:extLst>
                  </c15:dLbl>
                </c15:categoryFilterException>
                <c15:categoryFilterException>
                  <c15:sqref>GASTO!$C$40</c15:sqref>
                  <c15:dLbl>
                    <c:idx val="1"/>
                    <c:layout>
                      <c:manualLayout>
                        <c:x val="-4.7356993662829298E-2"/>
                        <c:y val="-2.933094910873530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7C47-49B3-851C-EA061C88291F}"/>
                      </c:ext>
                    </c:extLst>
                  </c15:dLbl>
                </c15:categoryFilterException>
                <c15:categoryFilterException>
                  <c15:sqref>GASTO!$C$41</c15:sqref>
                  <c15:dLbl>
                    <c:idx val="1"/>
                    <c:layout>
                      <c:manualLayout>
                        <c:x val="-4.06547976683636E-2"/>
                        <c:y val="-4.524223345613240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47-49B3-851C-EA061C88291F}"/>
                      </c:ext>
                    </c:extLst>
                  </c15:dLbl>
                </c15:categoryFilterException>
                <c15:categoryFilterException>
                  <c15:sqref>GASTO!$C$42</c15:sqref>
                  <c15:dLbl>
                    <c:idx val="1"/>
                    <c:layout>
                      <c:manualLayout>
                        <c:x val="-5.5067971546335789E-2"/>
                        <c:y val="-4.530972946167046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47-49B3-851C-EA061C88291F}"/>
                      </c:ext>
                    </c:extLst>
                  </c15:dLbl>
                </c15:categoryFilterException>
                <c15:categoryFilterException>
                  <c15:sqref>GASTO!$C$43</c15:sqref>
                  <c15:dLbl>
                    <c:idx val="1"/>
                    <c:layout>
                      <c:manualLayout>
                        <c:x val="-5.2314572969018952E-2"/>
                        <c:y val="-4.247787137031607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47-49B3-851C-EA061C88291F}"/>
                      </c:ext>
                    </c:extLst>
                  </c15:dLbl>
                </c15:categoryFilterException>
                <c15:categoryFilterException>
                  <c15:sqref>GASTO!$C$44</c15:sqref>
                  <c15:dLbl>
                    <c:idx val="1"/>
                    <c:layout>
                      <c:manualLayout>
                        <c:x val="-4.956117439170217E-2"/>
                        <c:y val="-3.398229709625284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47-49B3-851C-EA061C88291F}"/>
                      </c:ext>
                    </c:extLst>
                  </c15:dLbl>
                </c15:categoryFilterException>
                <c15:categoryFilterException>
                  <c15:sqref>GASTO!$C$45</c15:sqref>
                  <c15:dLbl>
                    <c:idx val="1"/>
                    <c:layout>
                      <c:manualLayout>
                        <c:x val="-6.0574768700969318E-2"/>
                        <c:y val="1.982300663948080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47-49B3-851C-EA061C88291F}"/>
                      </c:ext>
                    </c:extLst>
                  </c15:dLbl>
                </c15:categoryFilterException>
                <c15:categoryFilterException>
                  <c15:sqref>GASTO!$C$46</c15:sqref>
                  <c15:dLbl>
                    <c:idx val="1"/>
                    <c:layout>
                      <c:manualLayout>
                        <c:x val="-6.6081565855602792E-2"/>
                        <c:y val="-2.548672282218963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47-49B3-851C-EA061C88291F}"/>
                      </c:ext>
                    </c:extLst>
                  </c15:dLbl>
                </c15:categoryFilterException>
                <c15:categoryFilterException>
                  <c15:sqref>GASTO!$C$47</c15:sqref>
                  <c15:dLbl>
                    <c:idx val="1"/>
                    <c:layout>
                      <c:manualLayout>
                        <c:x val="-6.4704866566944602E-2"/>
                        <c:y val="3.398229709625282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47-49B3-851C-EA061C88291F}"/>
                      </c:ext>
                    </c:extLst>
                  </c15:dLbl>
                </c15:categoryFilterException>
                <c15:categoryFilterException>
                  <c15:sqref>GASTO!$C$48</c15:sqref>
                  <c15:dLbl>
                    <c:idx val="1"/>
                    <c:layout>
                      <c:manualLayout>
                        <c:x val="-7.7095160164870044E-2"/>
                        <c:y val="-4.53097294616704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47-49B3-851C-EA061C88291F}"/>
                      </c:ext>
                    </c:extLst>
                  </c15:dLbl>
                </c15:categoryFilterException>
                <c15:categoryFilterException>
                  <c15:sqref>GASTO!$C$49</c15:sqref>
                  <c15:dLbl>
                    <c:idx val="1"/>
                    <c:layout>
                      <c:manualLayout>
                        <c:x val="-1.0095678157359314E-16"/>
                        <c:y val="-3.398229709625284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47-49B3-851C-EA061C88291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FC6C-46F2-847C-94944F9FD5AF}"/>
            </c:ext>
          </c:extLst>
        </c:ser>
        <c:ser>
          <c:idx val="2"/>
          <c:order val="1"/>
          <c:tx>
            <c:strRef>
              <c:f>GASTO!$D$36</c:f>
              <c:strCache>
                <c:ptCount val="1"/>
                <c:pt idx="0">
                  <c:v>PAGADO </c:v>
                </c:pt>
              </c:strCache>
            </c:strRef>
          </c:tx>
          <c:dLbls>
            <c:dLbl>
              <c:idx val="0"/>
              <c:layout>
                <c:manualLayout>
                  <c:x val="-6.7597845450041605E-2"/>
                  <c:y val="-2.3674504404986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6C-46F2-847C-94944F9FD5AF}"/>
                </c:ext>
              </c:extLst>
            </c:dLbl>
            <c:dLbl>
              <c:idx val="1"/>
              <c:layout>
                <c:manualLayout>
                  <c:x val="-5.4862008660630946E-3"/>
                  <c:y val="3.9646013278961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6C-46F2-847C-94944F9FD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GASTO!$B$37:$B$38</c:f>
              <c:strCache>
                <c:ptCount val="2"/>
                <c:pt idx="0">
                  <c:v>LEY PPTO</c:v>
                </c:pt>
                <c:pt idx="1">
                  <c:v>ENERO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GASTO!$B$37:$B$49</c15:sqref>
                  </c15:fullRef>
                </c:ext>
              </c:extLst>
            </c:strRef>
          </c:cat>
          <c:val>
            <c:numRef>
              <c:f>GASTO!$D$37:$D$38</c:f>
              <c:numCache>
                <c:formatCode>#,##0</c:formatCode>
                <c:ptCount val="2"/>
                <c:pt idx="0">
                  <c:v>0</c:v>
                </c:pt>
                <c:pt idx="1">
                  <c:v>6032412.7130000005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GASTO!$D$37:$D$49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GASTO!$D$39</c15:sqref>
                  <c15:dLbl>
                    <c:idx val="1"/>
                    <c:layout>
                      <c:manualLayout>
                        <c:x val="-4.7114147882276497E-2"/>
                        <c:y val="4.37986663526868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47-49B3-851C-EA061C88291F}"/>
                      </c:ext>
                    </c:extLst>
                  </c15:dLbl>
                </c15:categoryFilterException>
                <c15:categoryFilterException>
                  <c15:sqref>GASTO!$D$40</c15:sqref>
                  <c15:dLbl>
                    <c:idx val="1"/>
                    <c:layout>
                      <c:manualLayout>
                        <c:x val="-4.8060486294287899E-2"/>
                        <c:y val="-5.0308257498120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47-49B3-851C-EA061C88291F}"/>
                      </c:ext>
                    </c:extLst>
                  </c15:dLbl>
                </c15:categoryFilterException>
                <c15:categoryFilterException>
                  <c15:sqref>GASTO!$D$41</c15:sqref>
                  <c15:dLbl>
                    <c:idx val="1"/>
                    <c:layout>
                      <c:manualLayout>
                        <c:x val="-4.9203232576651032E-2"/>
                        <c:y val="-4.814158755302497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47-49B3-851C-EA061C88291F}"/>
                      </c:ext>
                    </c:extLst>
                  </c15:dLbl>
                </c15:categoryFilterException>
                <c15:categoryFilterException>
                  <c15:sqref>GASTO!$D$42</c15:sqref>
                  <c15:dLbl>
                    <c:idx val="1"/>
                    <c:layout>
                      <c:manualLayout>
                        <c:x val="-4.541048023715661E-2"/>
                        <c:y val="-2.831858091354414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47-49B3-851C-EA061C88291F}"/>
                      </c:ext>
                    </c:extLst>
                  </c15:dLbl>
                </c15:categoryFilterException>
                <c15:categoryFilterException>
                  <c15:sqref>GASTO!$D$43</c15:sqref>
                  <c15:dLbl>
                    <c:idx val="1"/>
                    <c:layout>
                      <c:manualLayout>
                        <c:x val="-4.5804953364040495E-2"/>
                        <c:y val="-5.380530373573378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47-49B3-851C-EA061C88291F}"/>
                      </c:ext>
                    </c:extLst>
                  </c15:dLbl>
                </c15:categoryFilterException>
                <c15:categoryFilterException>
                  <c15:sqref>GASTO!$D$44</c15:sqref>
                  <c15:dLbl>
                    <c:idx val="1"/>
                    <c:layout>
                      <c:manualLayout>
                        <c:x val="-4.4580449807766265E-2"/>
                        <c:y val="-3.398229709625284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47-49B3-851C-EA061C88291F}"/>
                      </c:ext>
                    </c:extLst>
                  </c15:dLbl>
                </c15:categoryFilterException>
                <c15:categoryFilterException>
                  <c15:sqref>GASTO!$D$45</c15:sqref>
                  <c15:dLbl>
                    <c:idx val="1"/>
                    <c:layout>
                      <c:manualLayout>
                        <c:x val="-6.1805125939258507E-2"/>
                        <c:y val="-7.07966752648122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47-49B3-851C-EA061C88291F}"/>
                      </c:ext>
                    </c:extLst>
                  </c15:dLbl>
                </c15:categoryFilterException>
                <c15:categoryFilterException>
                  <c15:sqref>GASTO!$D$46</c15:sqref>
                  <c15:dLbl>
                    <c:idx val="1"/>
                    <c:layout>
                      <c:manualLayout>
                        <c:x val="-6.3926218457461562E-2"/>
                        <c:y val="-3.115043900489844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47-49B3-851C-EA061C88291F}"/>
                      </c:ext>
                    </c:extLst>
                  </c15:dLbl>
                </c15:categoryFilterException>
                <c15:categoryFilterException>
                  <c15:sqref>GASTO!$D$47</c15:sqref>
                  <c15:dLbl>
                    <c:idx val="1"/>
                    <c:layout>
                      <c:manualLayout>
                        <c:x val="-6.4521668000186022E-2"/>
                        <c:y val="-4.8141587553024869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47-49B3-851C-EA061C88291F}"/>
                      </c:ext>
                    </c:extLst>
                  </c15:dLbl>
                </c15:categoryFilterException>
                <c15:categoryFilterException>
                  <c15:sqref>GASTO!$D$48</c15:sqref>
                  <c15:dLbl>
                    <c:idx val="1"/>
                    <c:layout>
                      <c:manualLayout>
                        <c:x val="-5.6373234234110205E-2"/>
                        <c:y val="3.96460132789616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47-49B3-851C-EA061C88291F}"/>
                      </c:ext>
                    </c:extLst>
                  </c15:dLbl>
                </c15:categoryFilterException>
                <c15:categoryFilterException>
                  <c15:sqref>GASTO!$D$49</c15:sqref>
                  <c15:dLbl>
                    <c:idx val="1"/>
                    <c:layout>
                      <c:manualLayout>
                        <c:x val="-7.5385668213519197E-3"/>
                        <c:y val="-2.548672282218963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47-49B3-851C-EA061C88291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9-FC6C-46F2-847C-94944F9FD5AF}"/>
            </c:ext>
          </c:extLst>
        </c:ser>
        <c:ser>
          <c:idx val="1"/>
          <c:order val="2"/>
          <c:tx>
            <c:strRef>
              <c:f>GASTO!$E$36</c:f>
              <c:strCache>
                <c:ptCount val="1"/>
                <c:pt idx="0">
                  <c:v>ACUMULADO 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6C-46F2-847C-94944F9FD5AF}"/>
                </c:ext>
              </c:extLst>
            </c:dLbl>
            <c:dLbl>
              <c:idx val="1"/>
              <c:layout>
                <c:manualLayout>
                  <c:x val="-5.782137012365253E-2"/>
                  <c:y val="-5.3805303735733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6C-46F2-847C-94944F9FD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GASTO!$B$37:$B$38</c:f>
              <c:strCache>
                <c:ptCount val="2"/>
                <c:pt idx="0">
                  <c:v>LEY PPTO</c:v>
                </c:pt>
                <c:pt idx="1">
                  <c:v>ENERO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GASTO!$B$37:$B$49</c15:sqref>
                  </c15:fullRef>
                </c:ext>
              </c:extLst>
            </c:strRef>
          </c:cat>
          <c:val>
            <c:numRef>
              <c:f>GASTO!$E$37:$E$38</c:f>
              <c:numCache>
                <c:formatCode>#,##0</c:formatCode>
                <c:ptCount val="2"/>
                <c:pt idx="0">
                  <c:v>0</c:v>
                </c:pt>
                <c:pt idx="1">
                  <c:v>6032412.7130000005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GASTO!$E$37:$E$49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GASTO!$E$39</c15:sqref>
                  <c15:dLbl>
                    <c:idx val="1"/>
                    <c:layout>
                      <c:manualLayout>
                        <c:x val="-8.5145925110132206E-2"/>
                        <c:y val="-3.988474370639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47-49B3-851C-EA061C88291F}"/>
                      </c:ext>
                    </c:extLst>
                  </c15:dLbl>
                </c15:categoryFilterException>
                <c15:categoryFilterException>
                  <c15:sqref>GASTO!$E$40</c15:sqref>
                  <c15:dLbl>
                    <c:idx val="1"/>
                    <c:layout>
                      <c:manualLayout>
                        <c:x val="-5.4240088105726898E-2"/>
                        <c:y val="-5.68698817106459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47-49B3-851C-EA061C88291F}"/>
                      </c:ext>
                    </c:extLst>
                  </c15:dLbl>
                </c15:categoryFilterException>
                <c15:categoryFilterException>
                  <c15:sqref>GASTO!$E$41</c15:sqref>
                  <c15:dLbl>
                    <c:idx val="1"/>
                    <c:layout>
                      <c:manualLayout>
                        <c:x val="-6.3129789499204295E-2"/>
                        <c:y val="-5.94015312702360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47-49B3-851C-EA061C88291F}"/>
                      </c:ext>
                    </c:extLst>
                  </c15:dLbl>
                </c15:categoryFilterException>
                <c15:categoryFilterException>
                  <c15:sqref>GASTO!$E$42</c15:sqref>
                  <c15:dLbl>
                    <c:idx val="1"/>
                    <c:layout>
                      <c:manualLayout>
                        <c:x val="-3.7170880793776624E-2"/>
                        <c:y val="-4.530972946167046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47-49B3-851C-EA061C88291F}"/>
                      </c:ext>
                    </c:extLst>
                  </c15:dLbl>
                </c15:categoryFilterException>
                <c15:categoryFilterException>
                  <c15:sqref>GASTO!$E$43</c15:sqref>
                  <c15:dLbl>
                    <c:idx val="1"/>
                    <c:layout>
                      <c:manualLayout>
                        <c:x val="-4.4054377237068593E-2"/>
                        <c:y val="-5.38053037357337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47-49B3-851C-EA061C88291F}"/>
                      </c:ext>
                    </c:extLst>
                  </c15:dLbl>
                </c15:categoryFilterException>
                <c15:categoryFilterException>
                  <c15:sqref>GASTO!$E$44</c15:sqref>
                  <c15:dLbl>
                    <c:idx val="1"/>
                    <c:layout>
                      <c:manualLayout>
                        <c:x val="-6.1951576391146401E-2"/>
                        <c:y val="-5.097344564437922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47-49B3-851C-EA061C88291F}"/>
                      </c:ext>
                    </c:extLst>
                  </c15:dLbl>
                </c15:categoryFilterException>
                <c15:categoryFilterException>
                  <c15:sqref>GASTO!$E$45</c15:sqref>
                  <c15:dLbl>
                    <c:idx val="1"/>
                    <c:layout>
                      <c:manualLayout>
                        <c:x val="-5.9198069412310823E-2"/>
                        <c:y val="-2.831858091354404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47-49B3-851C-EA061C88291F}"/>
                      </c:ext>
                    </c:extLst>
                  </c15:dLbl>
                </c15:categoryFilterException>
                <c15:categoryFilterException>
                  <c15:sqref>GASTO!$E$46</c15:sqref>
                  <c15:dLbl>
                    <c:idx val="1"/>
                    <c:layout>
                      <c:manualLayout>
                        <c:x val="-8.5355355896820292E-2"/>
                        <c:y val="-3.115043900489844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47-49B3-851C-EA061C88291F}"/>
                      </c:ext>
                    </c:extLst>
                  </c15:dLbl>
                </c15:categoryFilterException>
                <c15:categoryFilterException>
                  <c15:sqref>GASTO!$E$47</c15:sqref>
                  <c15:dLbl>
                    <c:idx val="1"/>
                    <c:layout>
                      <c:manualLayout>
                        <c:x val="-0.10187574736072122"/>
                        <c:y val="-5.6637161827088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47-49B3-851C-EA061C88291F}"/>
                      </c:ext>
                    </c:extLst>
                  </c15:dLbl>
                </c15:categoryFilterException>
                <c15:categoryFilterException>
                  <c15:sqref>GASTO!$E$48</c15:sqref>
                  <c15:dLbl>
                    <c:idx val="1"/>
                    <c:layout>
                      <c:manualLayout>
                        <c:x val="-0.11013594309267158"/>
                        <c:y val="-8.4955742740632119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47-49B3-851C-EA061C88291F}"/>
                      </c:ext>
                    </c:extLst>
                  </c15:dLbl>
                </c15:categoryFilterException>
                <c15:categoryFilterException>
                  <c15:sqref>GASTO!$E$49</c15:sqref>
                  <c15:dLbl>
                    <c:idx val="1"/>
                    <c:layout>
                      <c:manualLayout>
                        <c:x val="-2.0191356314718628E-16"/>
                        <c:y val="6.23008780097968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C47-49B3-851C-EA061C88291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6-FC6C-46F2-847C-94944F9FD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60064"/>
        <c:axId val="141578240"/>
      </c:lineChart>
      <c:catAx>
        <c:axId val="14156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1578240"/>
        <c:crosses val="autoZero"/>
        <c:auto val="1"/>
        <c:lblAlgn val="ctr"/>
        <c:lblOffset val="100"/>
        <c:noMultiLvlLbl val="0"/>
      </c:catAx>
      <c:valAx>
        <c:axId val="141578240"/>
        <c:scaling>
          <c:orientation val="minMax"/>
        </c:scaling>
        <c:delete val="0"/>
        <c:axPos val="l"/>
        <c:majorGridlines/>
        <c:numFmt formatCode="_-&quot;$&quot;\ * #,##0_-;\-&quot;$&quot;\ * #,##0_-;_-&quot;$&quot;\ * &quot;-&quot;??_-;_-@_-" sourceLinked="1"/>
        <c:majorTickMark val="none"/>
        <c:minorTickMark val="none"/>
        <c:tickLblPos val="nextTo"/>
        <c:spPr>
          <a:ln w="9525" cap="flat" cmpd="sng" algn="ctr">
            <a:noFill/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1560064"/>
        <c:crosses val="autoZero"/>
        <c:crossBetween val="between"/>
      </c:valAx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Gasto Acumulado por Sector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484534766655505E-2"/>
          <c:y val="0.11840526263331"/>
          <c:w val="0.91889236899413096"/>
          <c:h val="0.43328801621316299"/>
        </c:manualLayout>
      </c:layout>
      <c:barChart>
        <c:barDir val="col"/>
        <c:grouping val="stacked"/>
        <c:varyColors val="0"/>
        <c:ser>
          <c:idx val="0"/>
          <c:order val="0"/>
          <c:tx>
            <c:v>PAGOS 2020</c:v>
          </c:tx>
          <c:invertIfNegative val="0"/>
          <c:dLbls>
            <c:dLbl>
              <c:idx val="0"/>
              <c:layout>
                <c:manualLayout>
                  <c:x val="-2.2584014122960798E-3"/>
                  <c:y val="-8.43881856540083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6-42A2-8CA5-6A27BFE523E9}"/>
                </c:ext>
              </c:extLst>
            </c:dLbl>
            <c:dLbl>
              <c:idx val="1"/>
              <c:layout>
                <c:manualLayout>
                  <c:x val="-2.5375775426138801E-3"/>
                  <c:y val="-3.37555400511644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6-42A2-8CA5-6A27BFE523E9}"/>
                </c:ext>
              </c:extLst>
            </c:dLbl>
            <c:dLbl>
              <c:idx val="2"/>
              <c:layout>
                <c:manualLayout>
                  <c:x val="0"/>
                  <c:y val="-3.37552742616033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6-42A2-8CA5-6A27BFE523E9}"/>
                </c:ext>
              </c:extLst>
            </c:dLbl>
            <c:dLbl>
              <c:idx val="3"/>
              <c:layout>
                <c:manualLayout>
                  <c:x val="0"/>
                  <c:y val="-5.40084388185654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6-42A2-8CA5-6A27BFE523E9}"/>
                </c:ext>
              </c:extLst>
            </c:dLbl>
            <c:dLbl>
              <c:idx val="4"/>
              <c:layout>
                <c:manualLayout>
                  <c:x val="-1.0692758195793299E-3"/>
                  <c:y val="-4.050632911392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6-42A2-8CA5-6A27BFE523E9}"/>
                </c:ext>
              </c:extLst>
            </c:dLbl>
            <c:dLbl>
              <c:idx val="5"/>
              <c:layout>
                <c:manualLayout>
                  <c:x val="1.2022844540644001E-3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6-42A2-8CA5-6A27BFE523E9}"/>
                </c:ext>
              </c:extLst>
            </c:dLbl>
            <c:dLbl>
              <c:idx val="6"/>
              <c:layout>
                <c:manualLayout>
                  <c:x val="-2.1487757904215601E-3"/>
                  <c:y val="-2.362869198312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6-42A2-8CA5-6A27BFE523E9}"/>
                </c:ext>
              </c:extLst>
            </c:dLbl>
            <c:dLbl>
              <c:idx val="7"/>
              <c:layout>
                <c:manualLayout>
                  <c:x val="1.06918115151216E-3"/>
                  <c:y val="-2.70042194092827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6-42A2-8CA5-6A27BFE523E9}"/>
                </c:ext>
              </c:extLst>
            </c:dLbl>
            <c:dLbl>
              <c:idx val="8"/>
              <c:layout>
                <c:manualLayout>
                  <c:x val="1.0692758195793299E-3"/>
                  <c:y val="-1.35021097046414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6-42A2-8CA5-6A27BFE523E9}"/>
                </c:ext>
              </c:extLst>
            </c:dLbl>
            <c:dLbl>
              <c:idx val="9"/>
              <c:layout>
                <c:manualLayout>
                  <c:x val="-1.0692758195793299E-3"/>
                  <c:y val="-1.68779029203626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6-42A2-8CA5-6A27BFE523E9}"/>
                </c:ext>
              </c:extLst>
            </c:dLbl>
            <c:dLbl>
              <c:idx val="10"/>
              <c:layout>
                <c:manualLayout>
                  <c:x val="1.0692329154681299E-3"/>
                  <c:y val="-1.0126582278481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6-42A2-8CA5-6A27BFE52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SECTOR!$B$10:$B$22</c:f>
              <c:strCache>
                <c:ptCount val="13"/>
                <c:pt idx="0">
                  <c:v>TRANSPORTE</c:v>
                </c:pt>
                <c:pt idx="1">
                  <c:v>VIVIENDA</c:v>
                </c:pt>
                <c:pt idx="2">
                  <c:v>EDUCACION Y CULTURA</c:v>
                </c:pt>
                <c:pt idx="3">
                  <c:v>SALUD</c:v>
                </c:pt>
                <c:pt idx="4">
                  <c:v>MULTISECTORIAL</c:v>
                </c:pt>
                <c:pt idx="5">
                  <c:v>AGUA POTABLE Y ALCANTARILLADO</c:v>
                </c:pt>
                <c:pt idx="6">
                  <c:v>DEFENSA Y SEGURIDAD</c:v>
                </c:pt>
                <c:pt idx="7">
                  <c:v>JUSTICIA</c:v>
                </c:pt>
                <c:pt idx="8">
                  <c:v>DEPORTE</c:v>
                </c:pt>
                <c:pt idx="9">
                  <c:v>SILVOAGROPECUARIO</c:v>
                </c:pt>
                <c:pt idx="10">
                  <c:v>INDUSTRIA, COMERCIO, FINANZAS Y TURISMO</c:v>
                </c:pt>
                <c:pt idx="11">
                  <c:v>ENERGIA</c:v>
                </c:pt>
                <c:pt idx="12">
                  <c:v>PESCA</c:v>
                </c:pt>
              </c:strCache>
            </c:strRef>
          </c:cat>
          <c:val>
            <c:numRef>
              <c:f>SECTOR!$H$10:$H$22</c:f>
              <c:numCache>
                <c:formatCode>#,##0</c:formatCode>
                <c:ptCount val="13"/>
                <c:pt idx="0">
                  <c:v>1120827919</c:v>
                </c:pt>
                <c:pt idx="1">
                  <c:v>593107095</c:v>
                </c:pt>
                <c:pt idx="2">
                  <c:v>2085213121</c:v>
                </c:pt>
                <c:pt idx="3">
                  <c:v>176828995</c:v>
                </c:pt>
                <c:pt idx="4">
                  <c:v>719852886</c:v>
                </c:pt>
                <c:pt idx="5">
                  <c:v>176446245</c:v>
                </c:pt>
                <c:pt idx="6">
                  <c:v>973057335</c:v>
                </c:pt>
                <c:pt idx="7">
                  <c:v>0</c:v>
                </c:pt>
                <c:pt idx="8">
                  <c:v>125141259</c:v>
                </c:pt>
                <c:pt idx="9">
                  <c:v>0</c:v>
                </c:pt>
                <c:pt idx="10">
                  <c:v>61937858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996-42A2-8CA5-6A27BFE523E9}"/>
            </c:ext>
          </c:extLst>
        </c:ser>
        <c:ser>
          <c:idx val="1"/>
          <c:order val="1"/>
          <c:tx>
            <c:v>SALDO COMPROMISO 2020</c:v>
          </c:tx>
          <c:invertIfNegative val="0"/>
          <c:dLbls>
            <c:dLbl>
              <c:idx val="1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6-42A2-8CA5-6A27BFE523E9}"/>
                </c:ext>
              </c:extLst>
            </c:dLbl>
            <c:dLbl>
              <c:idx val="4"/>
              <c:layout>
                <c:manualLayout>
                  <c:x val="0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96-42A2-8CA5-6A27BFE523E9}"/>
                </c:ext>
              </c:extLst>
            </c:dLbl>
            <c:dLbl>
              <c:idx val="5"/>
              <c:layout>
                <c:manualLayout>
                  <c:x val="-2.4045689081288102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6-42A2-8CA5-6A27BFE523E9}"/>
                </c:ext>
              </c:extLst>
            </c:dLbl>
            <c:dLbl>
              <c:idx val="6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96-42A2-8CA5-6A27BFE523E9}"/>
                </c:ext>
              </c:extLst>
            </c:dLbl>
            <c:dLbl>
              <c:idx val="7"/>
              <c:layout>
                <c:manualLayout>
                  <c:x val="-1.2022844540643101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6-42A2-8CA5-6A27BFE523E9}"/>
                </c:ext>
              </c:extLst>
            </c:dLbl>
            <c:dLbl>
              <c:idx val="8"/>
              <c:layout>
                <c:manualLayout>
                  <c:x val="0"/>
                  <c:y val="-3.375527426160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96-42A2-8CA5-6A27BFE523E9}"/>
                </c:ext>
              </c:extLst>
            </c:dLbl>
            <c:dLbl>
              <c:idx val="9"/>
              <c:layout>
                <c:manualLayout>
                  <c:x val="0"/>
                  <c:y val="-3.7130801687763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6-42A2-8CA5-6A27BFE523E9}"/>
                </c:ext>
              </c:extLst>
            </c:dLbl>
            <c:dLbl>
              <c:idx val="10"/>
              <c:layout>
                <c:manualLayout>
                  <c:x val="0"/>
                  <c:y val="-3.0379746835442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96-42A2-8CA5-6A27BFE523E9}"/>
                </c:ext>
              </c:extLst>
            </c:dLbl>
            <c:dLbl>
              <c:idx val="12"/>
              <c:layout>
                <c:manualLayout>
                  <c:x val="-1.2022844540644031E-3"/>
                  <c:y val="-2.70042194092827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9-446F-9025-20CE0E2F7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SECTOR!$B$10:$B$22</c:f>
              <c:strCache>
                <c:ptCount val="13"/>
                <c:pt idx="0">
                  <c:v>TRANSPORTE</c:v>
                </c:pt>
                <c:pt idx="1">
                  <c:v>VIVIENDA</c:v>
                </c:pt>
                <c:pt idx="2">
                  <c:v>EDUCACION Y CULTURA</c:v>
                </c:pt>
                <c:pt idx="3">
                  <c:v>SALUD</c:v>
                </c:pt>
                <c:pt idx="4">
                  <c:v>MULTISECTORIAL</c:v>
                </c:pt>
                <c:pt idx="5">
                  <c:v>AGUA POTABLE Y ALCANTARILLADO</c:v>
                </c:pt>
                <c:pt idx="6">
                  <c:v>DEFENSA Y SEGURIDAD</c:v>
                </c:pt>
                <c:pt idx="7">
                  <c:v>JUSTICIA</c:v>
                </c:pt>
                <c:pt idx="8">
                  <c:v>DEPORTE</c:v>
                </c:pt>
                <c:pt idx="9">
                  <c:v>SILVOAGROPECUARIO</c:v>
                </c:pt>
                <c:pt idx="10">
                  <c:v>INDUSTRIA, COMERCIO, FINANZAS Y TURISMO</c:v>
                </c:pt>
                <c:pt idx="11">
                  <c:v>ENERGIA</c:v>
                </c:pt>
                <c:pt idx="12">
                  <c:v>PESCA</c:v>
                </c:pt>
              </c:strCache>
            </c:strRef>
          </c:cat>
          <c:val>
            <c:numRef>
              <c:f>SECTOR!$I$10:$I$22</c:f>
              <c:numCache>
                <c:formatCode>#,##0</c:formatCode>
                <c:ptCount val="13"/>
                <c:pt idx="0">
                  <c:v>14897820329.333332</c:v>
                </c:pt>
                <c:pt idx="1">
                  <c:v>8935993761.6666298</c:v>
                </c:pt>
                <c:pt idx="2">
                  <c:v>8354327336</c:v>
                </c:pt>
                <c:pt idx="3">
                  <c:v>7557433886.3333693</c:v>
                </c:pt>
                <c:pt idx="4">
                  <c:v>17807767082.666668</c:v>
                </c:pt>
                <c:pt idx="5">
                  <c:v>3328381330.333333</c:v>
                </c:pt>
                <c:pt idx="6">
                  <c:v>8443810553.666667</c:v>
                </c:pt>
                <c:pt idx="7">
                  <c:v>61160000</c:v>
                </c:pt>
                <c:pt idx="8">
                  <c:v>3969723570</c:v>
                </c:pt>
                <c:pt idx="9">
                  <c:v>1868483694</c:v>
                </c:pt>
                <c:pt idx="10">
                  <c:v>5640975848</c:v>
                </c:pt>
                <c:pt idx="11">
                  <c:v>4523462000</c:v>
                </c:pt>
                <c:pt idx="12">
                  <c:v>500000000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996-42A2-8CA5-6A27BFE52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43364864"/>
        <c:axId val="143366400"/>
      </c:barChart>
      <c:catAx>
        <c:axId val="1433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3366400"/>
        <c:crosses val="autoZero"/>
        <c:auto val="1"/>
        <c:lblAlgn val="ctr"/>
        <c:lblOffset val="100"/>
        <c:noMultiLvlLbl val="0"/>
      </c:catAx>
      <c:valAx>
        <c:axId val="1433664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3364864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74535321791907505"/>
          <c:y val="0.92668221535599204"/>
          <c:w val="0.25337870332012302"/>
          <c:h val="7.1445828765075298E-2"/>
        </c:manualLayout>
      </c:layout>
      <c:overlay val="0"/>
      <c:spPr>
        <a:ln w="38100">
          <a:solidFill>
            <a:schemeClr val="tx2">
              <a:lumMod val="60000"/>
              <a:lumOff val="40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PAGOS 2020</c:v>
          </c:tx>
          <c:invertIfNegative val="0"/>
          <c:dLbls>
            <c:dLbl>
              <c:idx val="0"/>
              <c:layout>
                <c:manualLayout>
                  <c:x val="-1.05540897097625E-2"/>
                  <c:y val="-1.90930739748873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F8-4F7D-A026-39896DF12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SUBTITULO!$B$11:$B$16</c:f>
              <c:numCache>
                <c:formatCode>General</c:formatCode>
                <c:ptCount val="6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</c:numCache>
            </c:numRef>
          </c:cat>
          <c:val>
            <c:numRef>
              <c:f>SUBTITULO!$I$11:$I$16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5412852359</c:v>
                </c:pt>
                <c:pt idx="5">
                  <c:v>619560354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F8-4F7D-A026-39896DF12184}"/>
            </c:ext>
          </c:extLst>
        </c:ser>
        <c:ser>
          <c:idx val="1"/>
          <c:order val="1"/>
          <c:tx>
            <c:v>SALDO COMPROMISO 2020</c:v>
          </c:tx>
          <c:invertIfNegative val="0"/>
          <c:dLbls>
            <c:dLbl>
              <c:idx val="0"/>
              <c:layout>
                <c:manualLayout>
                  <c:x val="1.05540897097625E-2"/>
                  <c:y val="-3.1821789958145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8-4F7D-A026-39896DF12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SUBTITULO!$B$11:$B$16</c:f>
              <c:numCache>
                <c:formatCode>General</c:formatCode>
                <c:ptCount val="6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</c:numCache>
            </c:numRef>
          </c:cat>
          <c:val>
            <c:numRef>
              <c:f>SUBTITULO!$J$11:$J$16</c:f>
              <c:numCache>
                <c:formatCode>#,##0</c:formatCode>
                <c:ptCount val="6"/>
                <c:pt idx="0">
                  <c:v>545000000</c:v>
                </c:pt>
                <c:pt idx="1">
                  <c:v>8018499000</c:v>
                </c:pt>
                <c:pt idx="2">
                  <c:v>7810849134</c:v>
                </c:pt>
                <c:pt idx="3">
                  <c:v>0</c:v>
                </c:pt>
                <c:pt idx="4">
                  <c:v>47174909060</c:v>
                </c:pt>
                <c:pt idx="5">
                  <c:v>22340082198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DF8-4F7D-A026-39896DF121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43449472"/>
        <c:axId val="144520320"/>
      </c:barChart>
      <c:catAx>
        <c:axId val="1434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4520320"/>
        <c:crosses val="autoZero"/>
        <c:auto val="1"/>
        <c:lblAlgn val="ctr"/>
        <c:lblOffset val="100"/>
        <c:noMultiLvlLbl val="0"/>
      </c:catAx>
      <c:valAx>
        <c:axId val="144520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3449472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715070428203E-2"/>
          <c:y val="5.1406987724268202E-2"/>
          <c:w val="0.93949940226773898"/>
          <c:h val="0.66209571742143702"/>
        </c:manualLayout>
      </c:layout>
      <c:lineChart>
        <c:grouping val="standard"/>
        <c:varyColors val="0"/>
        <c:ser>
          <c:idx val="0"/>
          <c:order val="0"/>
          <c:tx>
            <c:strRef>
              <c:f>GASTO!$I$36</c:f>
              <c:strCache>
                <c:ptCount val="1"/>
                <c:pt idx="0">
                  <c:v>EFICIENCIA REGION DE LOS LAGOS</c:v>
                </c:pt>
              </c:strCache>
            </c:strRef>
          </c:tx>
          <c:spPr>
            <a:ln w="25400" cap="rnd" cmpd="sng" algn="ctr">
              <a:solidFill>
                <a:srgbClr val="0000FF"/>
              </a:solidFill>
              <a:prstDash val="solid"/>
              <a:round/>
            </a:ln>
          </c:spPr>
          <c:marker>
            <c:symbol val="diamond"/>
            <c:size val="7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7873063246126507E-2"/>
                  <c:y val="-3.3010193116119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9-497E-A85D-04CD8F6C29CD}"/>
                </c:ext>
              </c:extLst>
            </c:dLbl>
            <c:dLbl>
              <c:idx val="1"/>
              <c:layout>
                <c:manualLayout>
                  <c:x val="-5.7566058899979497E-2"/>
                  <c:y val="-1.8056160758149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9-497E-A85D-04CD8F6C29CD}"/>
                </c:ext>
              </c:extLst>
            </c:dLbl>
            <c:dLbl>
              <c:idx val="2"/>
              <c:layout>
                <c:manualLayout>
                  <c:x val="-5.8703009906019801E-2"/>
                  <c:y val="-1.575216774634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9-497E-A85D-04CD8F6C29CD}"/>
                </c:ext>
              </c:extLst>
            </c:dLbl>
            <c:dLbl>
              <c:idx val="3"/>
              <c:layout>
                <c:manualLayout>
                  <c:x val="-5.8354871184229003E-2"/>
                  <c:y val="-2.6437000020070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9-497E-A85D-04CD8F6C29CD}"/>
                </c:ext>
              </c:extLst>
            </c:dLbl>
            <c:dLbl>
              <c:idx val="4"/>
              <c:layout>
                <c:manualLayout>
                  <c:x val="-6.1176128185589707E-2"/>
                  <c:y val="-3.055401652133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9-497E-A85D-04CD8F6C29CD}"/>
                </c:ext>
              </c:extLst>
            </c:dLbl>
            <c:dLbl>
              <c:idx val="5"/>
              <c:layout>
                <c:manualLayout>
                  <c:x val="-6.2520214207094985E-2"/>
                  <c:y val="-3.813097033135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9-497E-A85D-04CD8F6C29CD}"/>
                </c:ext>
              </c:extLst>
            </c:dLbl>
            <c:dLbl>
              <c:idx val="6"/>
              <c:layout>
                <c:manualLayout>
                  <c:x val="-6.9240644314622055E-2"/>
                  <c:y val="-2.0451411441319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9-497E-A85D-04CD8F6C29CD}"/>
                </c:ext>
              </c:extLst>
            </c:dLbl>
            <c:dLbl>
              <c:idx val="7"/>
              <c:layout>
                <c:manualLayout>
                  <c:x val="-6.5208386250105832E-2"/>
                  <c:y val="-2.802836525133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9-497E-A85D-04CD8F6C29CD}"/>
                </c:ext>
              </c:extLst>
            </c:dLbl>
            <c:dLbl>
              <c:idx val="8"/>
              <c:layout>
                <c:manualLayout>
                  <c:x val="-6.2520214207095179E-2"/>
                  <c:y val="-4.570792414136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9-497E-A85D-04CD8F6C29CD}"/>
                </c:ext>
              </c:extLst>
            </c:dLbl>
            <c:dLbl>
              <c:idx val="9"/>
              <c:layout>
                <c:manualLayout>
                  <c:x val="-6.351409702819405E-2"/>
                  <c:y val="-1.5400108901309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9-497E-A85D-04CD8F6C29CD}"/>
                </c:ext>
              </c:extLst>
            </c:dLbl>
            <c:dLbl>
              <c:idx val="10"/>
              <c:layout>
                <c:manualLayout>
                  <c:x val="-6.0587693675387348E-2"/>
                  <c:y val="-1.0348806361300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C9-497E-A85D-04CD8F6C29CD}"/>
                </c:ext>
              </c:extLst>
            </c:dLbl>
            <c:dLbl>
              <c:idx val="11"/>
              <c:layout>
                <c:manualLayout>
                  <c:x val="-5.4340868681737362E-2"/>
                  <c:y val="-2.297706271132442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s-ES" sz="1600" b="1" i="0" u="none" strike="noStrike" kern="1200" baseline="0">
                      <a:solidFill>
                        <a:srgbClr val="FF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es-C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D6-42DB-88C8-9049D2B35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rgbClr val="FF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GASTO!$B$38:$B$49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GASTO!$B$37:$B$49</c15:sqref>
                  </c15:fullRef>
                </c:ext>
              </c:extLst>
            </c:strRef>
          </c:cat>
          <c:val>
            <c:numRef>
              <c:f>GASTO!$I$38:$I$49</c:f>
              <c:numCache>
                <c:formatCode>0.00%</c:formatCode>
                <c:ptCount val="12"/>
                <c:pt idx="0">
                  <c:v>7.1549125237166694E-2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GASTO!$I$37:$I$49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GASTO!$I$37</c15:sqref>
                  <c15:dLbl>
                    <c:idx val="-1"/>
                    <c:layout>
                      <c:manualLayout>
                        <c:x val="-3.0178012022690701E-2"/>
                        <c:y val="-3.8482322545256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E678-4C0F-A31A-8593155D937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5BC9-497E-A85D-04CD8F6C29CD}"/>
            </c:ext>
          </c:extLst>
        </c:ser>
        <c:ser>
          <c:idx val="1"/>
          <c:order val="1"/>
          <c:tx>
            <c:strRef>
              <c:f>GASTO!$J$36</c:f>
              <c:strCache>
                <c:ptCount val="1"/>
                <c:pt idx="0">
                  <c:v>EFICIENCIA PROMEDIO NACIONAL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dLbls>
            <c:dLbl>
              <c:idx val="1"/>
              <c:layout>
                <c:manualLayout>
                  <c:x val="-2.6218047657598298E-3"/>
                  <c:y val="1.6675767371356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C9-497E-A85D-04CD8F6C29CD}"/>
                </c:ext>
              </c:extLst>
            </c:dLbl>
            <c:dLbl>
              <c:idx val="2"/>
              <c:layout>
                <c:manualLayout>
                  <c:x val="-2.6218047657598099E-3"/>
                  <c:y val="1.6675767371356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C9-497E-A85D-04CD8F6C29CD}"/>
                </c:ext>
              </c:extLst>
            </c:dLbl>
            <c:dLbl>
              <c:idx val="3"/>
              <c:layout>
                <c:manualLayout>
                  <c:x val="-2.6218047657598099E-3"/>
                  <c:y val="2.382252481622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C9-497E-A85D-04CD8F6C29CD}"/>
                </c:ext>
              </c:extLst>
            </c:dLbl>
            <c:dLbl>
              <c:idx val="4"/>
              <c:layout>
                <c:manualLayout>
                  <c:x val="-2.0161290322580645E-2"/>
                  <c:y val="3.2833466510062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C9-497E-A85D-04CD8F6C29CD}"/>
                </c:ext>
              </c:extLst>
            </c:dLbl>
            <c:dLbl>
              <c:idx val="5"/>
              <c:layout>
                <c:manualLayout>
                  <c:x val="-5.3763440860215058E-3"/>
                  <c:y val="1.767955889003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C9-497E-A85D-04CD8F6C29CD}"/>
                </c:ext>
              </c:extLst>
            </c:dLbl>
            <c:dLbl>
              <c:idx val="6"/>
              <c:layout>
                <c:manualLayout>
                  <c:x val="-9.4086021505377336E-3"/>
                  <c:y val="2.5256512700048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C9-497E-A85D-04CD8F6C29CD}"/>
                </c:ext>
              </c:extLst>
            </c:dLbl>
            <c:dLbl>
              <c:idx val="7"/>
              <c:layout>
                <c:manualLayout>
                  <c:x val="-6.7204301075269807E-3"/>
                  <c:y val="3.03078152400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C9-497E-A85D-04CD8F6C29CD}"/>
                </c:ext>
              </c:extLst>
            </c:dLbl>
            <c:dLbl>
              <c:idx val="8"/>
              <c:layout>
                <c:manualLayout>
                  <c:x val="-8.0645161290323567E-3"/>
                  <c:y val="2.5256512700048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6-42DB-88C8-9049D2B35606}"/>
                </c:ext>
              </c:extLst>
            </c:dLbl>
            <c:dLbl>
              <c:idx val="11"/>
              <c:layout>
                <c:manualLayout>
                  <c:x val="0"/>
                  <c:y val="3.0307815240058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1200" b="1" i="0" u="none" strike="noStrike" kern="1200" baseline="0">
                      <a:solidFill>
                        <a:srgbClr val="FF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es-C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D6-42DB-88C8-9049D2B35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rgbClr val="FF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GASTO!$B$38:$B$49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GASTO!$B$37:$B$49</c15:sqref>
                  </c15:fullRef>
                </c:ext>
              </c:extLst>
            </c:strRef>
          </c:cat>
          <c:val>
            <c:numRef>
              <c:f>GASTO!$J$38:$J$49</c:f>
              <c:numCache>
                <c:formatCode>0.00%</c:formatCode>
                <c:ptCount val="12"/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GASTO!$J$37:$J$49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GASTO!$J$37</c15:sqref>
                  <c15:dLbl>
                    <c:idx val="-1"/>
                    <c:layout>
                      <c:manualLayout>
                        <c:x val="-2.6218047657598199E-3"/>
                        <c:y val="9.529009926489600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E678-4C0F-A31A-8593155D937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7-5BC9-497E-A85D-04CD8F6C2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02112"/>
        <c:axId val="142279040"/>
      </c:lineChart>
      <c:catAx>
        <c:axId val="1418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es-ES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142279040"/>
        <c:crosses val="autoZero"/>
        <c:auto val="1"/>
        <c:lblAlgn val="ctr"/>
        <c:lblOffset val="100"/>
        <c:tickLblSkip val="1"/>
        <c:noMultiLvlLbl val="0"/>
      </c:catAx>
      <c:valAx>
        <c:axId val="142279040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%" sourceLinked="0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s-ES" sz="825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14180211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26767420201503"/>
          <c:y val="0.85941128269976397"/>
          <c:w val="0.32652897722462099"/>
          <c:h val="0.11314351284798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875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es-ES" sz="875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EFICIENCIA DEL GASTO INTERNO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PAGOS 2020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PROVINCIA!$H$7:$H$12</c:f>
              <c:numCache>
                <c:formatCode>#,##0</c:formatCode>
                <c:ptCount val="6"/>
                <c:pt idx="0">
                  <c:v>1798080313</c:v>
                </c:pt>
                <c:pt idx="1">
                  <c:v>3144418618</c:v>
                </c:pt>
                <c:pt idx="2">
                  <c:v>678320859</c:v>
                </c:pt>
                <c:pt idx="3">
                  <c:v>398234113</c:v>
                </c:pt>
                <c:pt idx="4">
                  <c:v>13358810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E8-421E-9083-2AFCB11A0070}"/>
            </c:ext>
          </c:extLst>
        </c:ser>
        <c:ser>
          <c:idx val="1"/>
          <c:order val="1"/>
          <c:tx>
            <c:v>COMPROMISO 2020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3.6330603341185401E-3"/>
                  <c:y val="-2.5225218067612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8-421E-9083-2AFCB11A0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PROVINCIA!$I$7:$I$12</c:f>
              <c:numCache>
                <c:formatCode>#,##0</c:formatCode>
                <c:ptCount val="6"/>
                <c:pt idx="0">
                  <c:v>13879510560.666664</c:v>
                </c:pt>
                <c:pt idx="1">
                  <c:v>19265384482.666634</c:v>
                </c:pt>
                <c:pt idx="2">
                  <c:v>14286019808.666702</c:v>
                </c:pt>
                <c:pt idx="3">
                  <c:v>9989125219</c:v>
                </c:pt>
                <c:pt idx="4">
                  <c:v>16616571769</c:v>
                </c:pt>
                <c:pt idx="5">
                  <c:v>11852727552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E8-421E-9083-2AFCB11A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39682944"/>
        <c:axId val="139684480"/>
      </c:barChart>
      <c:catAx>
        <c:axId val="1396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684480"/>
        <c:crosses val="autoZero"/>
        <c:auto val="1"/>
        <c:lblAlgn val="ctr"/>
        <c:lblOffset val="100"/>
        <c:noMultiLvlLbl val="0"/>
      </c:catAx>
      <c:valAx>
        <c:axId val="1396844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682944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OSORNO!$I$5:$I$12</c:f>
              <c:numCache>
                <c:formatCode>#,##0</c:formatCode>
                <c:ptCount val="8"/>
                <c:pt idx="0">
                  <c:v>1002676489</c:v>
                </c:pt>
                <c:pt idx="1">
                  <c:v>1300000</c:v>
                </c:pt>
                <c:pt idx="2">
                  <c:v>330943961</c:v>
                </c:pt>
                <c:pt idx="3">
                  <c:v>25212039</c:v>
                </c:pt>
                <c:pt idx="4">
                  <c:v>0</c:v>
                </c:pt>
                <c:pt idx="5">
                  <c:v>61942026</c:v>
                </c:pt>
                <c:pt idx="6">
                  <c:v>15666931</c:v>
                </c:pt>
                <c:pt idx="7">
                  <c:v>360338867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70-4C77-B784-904C27E718D4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OSORNO!$J$5:$J$12</c:f>
              <c:numCache>
                <c:formatCode>#,##0</c:formatCode>
                <c:ptCount val="8"/>
                <c:pt idx="0">
                  <c:v>3253402685.3333302</c:v>
                </c:pt>
                <c:pt idx="1">
                  <c:v>5888564144.666667</c:v>
                </c:pt>
                <c:pt idx="2">
                  <c:v>618507145</c:v>
                </c:pt>
                <c:pt idx="3">
                  <c:v>1273633198.6666665</c:v>
                </c:pt>
                <c:pt idx="4">
                  <c:v>564666839</c:v>
                </c:pt>
                <c:pt idx="5">
                  <c:v>378962708</c:v>
                </c:pt>
                <c:pt idx="6">
                  <c:v>1227459768</c:v>
                </c:pt>
                <c:pt idx="7">
                  <c:v>674314072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70-4C77-B784-904C27E71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0378880"/>
        <c:axId val="140380416"/>
      </c:barChart>
      <c:catAx>
        <c:axId val="1403788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0380416"/>
        <c:crosses val="autoZero"/>
        <c:auto val="1"/>
        <c:lblAlgn val="ctr"/>
        <c:lblOffset val="100"/>
        <c:noMultiLvlLbl val="0"/>
      </c:catAx>
      <c:valAx>
        <c:axId val="140380416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0378880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LLANQUIHUE!$I$5:$I$14</c:f>
              <c:numCache>
                <c:formatCode>#,##0</c:formatCode>
                <c:ptCount val="10"/>
                <c:pt idx="0">
                  <c:v>512383901</c:v>
                </c:pt>
                <c:pt idx="1">
                  <c:v>2580813</c:v>
                </c:pt>
                <c:pt idx="2">
                  <c:v>40123134</c:v>
                </c:pt>
                <c:pt idx="3">
                  <c:v>63815489</c:v>
                </c:pt>
                <c:pt idx="4">
                  <c:v>1870905369</c:v>
                </c:pt>
                <c:pt idx="5">
                  <c:v>6329255</c:v>
                </c:pt>
                <c:pt idx="6">
                  <c:v>268772416</c:v>
                </c:pt>
                <c:pt idx="7">
                  <c:v>4552196</c:v>
                </c:pt>
                <c:pt idx="8">
                  <c:v>55138454</c:v>
                </c:pt>
                <c:pt idx="9">
                  <c:v>319817591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4F-4ED4-AC23-D21037874497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LLANQUIHUE!$J$5:$J$14</c:f>
              <c:numCache>
                <c:formatCode>#,##0</c:formatCode>
                <c:ptCount val="10"/>
                <c:pt idx="0">
                  <c:v>4018616027</c:v>
                </c:pt>
                <c:pt idx="1">
                  <c:v>3179460737</c:v>
                </c:pt>
                <c:pt idx="2">
                  <c:v>879546862</c:v>
                </c:pt>
                <c:pt idx="3">
                  <c:v>1673898334</c:v>
                </c:pt>
                <c:pt idx="4">
                  <c:v>417479925</c:v>
                </c:pt>
                <c:pt idx="5">
                  <c:v>1020725113</c:v>
                </c:pt>
                <c:pt idx="6">
                  <c:v>1052302288</c:v>
                </c:pt>
                <c:pt idx="7">
                  <c:v>982953804</c:v>
                </c:pt>
                <c:pt idx="8">
                  <c:v>3353505245.6666331</c:v>
                </c:pt>
                <c:pt idx="9">
                  <c:v>2686896147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4F-4ED4-AC23-D2103787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2833152"/>
        <c:axId val="142834688"/>
      </c:barChart>
      <c:catAx>
        <c:axId val="1428331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2834688"/>
        <c:crosses val="autoZero"/>
        <c:auto val="1"/>
        <c:lblAlgn val="ctr"/>
        <c:lblOffset val="100"/>
        <c:noMultiLvlLbl val="0"/>
      </c:catAx>
      <c:valAx>
        <c:axId val="142834688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2833152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CHILOE!$I$5:$I$15</c:f>
              <c:numCache>
                <c:formatCode>#,##0</c:formatCode>
                <c:ptCount val="11"/>
                <c:pt idx="0">
                  <c:v>12960778</c:v>
                </c:pt>
                <c:pt idx="1">
                  <c:v>180989073</c:v>
                </c:pt>
                <c:pt idx="2">
                  <c:v>85989325</c:v>
                </c:pt>
                <c:pt idx="3">
                  <c:v>57781035</c:v>
                </c:pt>
                <c:pt idx="4">
                  <c:v>113651927</c:v>
                </c:pt>
                <c:pt idx="5">
                  <c:v>40429878</c:v>
                </c:pt>
                <c:pt idx="6">
                  <c:v>0</c:v>
                </c:pt>
                <c:pt idx="7">
                  <c:v>117404362</c:v>
                </c:pt>
                <c:pt idx="8">
                  <c:v>62039496</c:v>
                </c:pt>
                <c:pt idx="9">
                  <c:v>0</c:v>
                </c:pt>
                <c:pt idx="10">
                  <c:v>7074985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A6C-8DDC-3F28DF206AF8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CHILOE!$J$5:$J$15</c:f>
              <c:numCache>
                <c:formatCode>#,##0</c:formatCode>
                <c:ptCount val="11"/>
                <c:pt idx="0">
                  <c:v>1997502976.666702</c:v>
                </c:pt>
                <c:pt idx="1">
                  <c:v>1313638933</c:v>
                </c:pt>
                <c:pt idx="2">
                  <c:v>2383678229</c:v>
                </c:pt>
                <c:pt idx="3">
                  <c:v>970094595</c:v>
                </c:pt>
                <c:pt idx="4">
                  <c:v>564566589</c:v>
                </c:pt>
                <c:pt idx="5">
                  <c:v>1857007910</c:v>
                </c:pt>
                <c:pt idx="6">
                  <c:v>252389548</c:v>
                </c:pt>
                <c:pt idx="7">
                  <c:v>856037850</c:v>
                </c:pt>
                <c:pt idx="8">
                  <c:v>2103525113</c:v>
                </c:pt>
                <c:pt idx="9">
                  <c:v>1090561050</c:v>
                </c:pt>
                <c:pt idx="10">
                  <c:v>897017015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69-4A6C-8DDC-3F28DF206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2514432"/>
        <c:axId val="142520320"/>
      </c:barChart>
      <c:catAx>
        <c:axId val="1425144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2520320"/>
        <c:crosses val="autoZero"/>
        <c:auto val="1"/>
        <c:lblAlgn val="ctr"/>
        <c:lblOffset val="100"/>
        <c:noMultiLvlLbl val="0"/>
      </c:catAx>
      <c:valAx>
        <c:axId val="142520320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2514432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005063785272696"/>
          <c:y val="2.2918982000177456E-2"/>
          <c:w val="0.27939506516690321"/>
          <c:h val="9.5812473400295667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PALENA!$I$6:$I$10</c:f>
              <c:numCache>
                <c:formatCode>#,##0</c:formatCode>
                <c:ptCount val="5"/>
                <c:pt idx="0">
                  <c:v>96539007</c:v>
                </c:pt>
                <c:pt idx="1">
                  <c:v>0</c:v>
                </c:pt>
                <c:pt idx="2">
                  <c:v>49512258</c:v>
                </c:pt>
                <c:pt idx="3">
                  <c:v>35723661</c:v>
                </c:pt>
                <c:pt idx="4">
                  <c:v>216459187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26-46FD-AB29-CFF55A517EA9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PALENA!$J$6:$J$10</c:f>
              <c:numCache>
                <c:formatCode>#,##0</c:formatCode>
                <c:ptCount val="5"/>
                <c:pt idx="0">
                  <c:v>5823680477</c:v>
                </c:pt>
                <c:pt idx="1">
                  <c:v>619084227</c:v>
                </c:pt>
                <c:pt idx="2">
                  <c:v>825214007</c:v>
                </c:pt>
                <c:pt idx="3">
                  <c:v>1478619143</c:v>
                </c:pt>
                <c:pt idx="4">
                  <c:v>1242527365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26-46FD-AB29-CFF55A51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2879744"/>
        <c:axId val="142897920"/>
      </c:barChart>
      <c:catAx>
        <c:axId val="1428797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2897920"/>
        <c:crosses val="autoZero"/>
        <c:auto val="1"/>
        <c:lblAlgn val="ctr"/>
        <c:lblOffset val="100"/>
        <c:noMultiLvlLbl val="0"/>
      </c:catAx>
      <c:valAx>
        <c:axId val="142897920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2879744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Marco</a:t>
            </a:r>
            <a:r>
              <a:rPr lang="es-CL" baseline="0"/>
              <a:t> Decretado</a:t>
            </a:r>
            <a:r>
              <a:rPr lang="es-CL"/>
              <a:t> Versus Compromiso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MARCO DECRETADO</c:v>
          </c:tx>
          <c:spPr>
            <a:solidFill>
              <a:srgbClr val="C00000"/>
            </a:solidFill>
          </c:spPr>
          <c:invertIfNegative val="0"/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PV</c:v>
                </c:pt>
                <c:pt idx="2">
                  <c:v>FRIL</c:v>
                </c:pt>
                <c:pt idx="3">
                  <c:v>ENERGIZACION</c:v>
                </c:pt>
                <c:pt idx="4">
                  <c:v>FIE</c:v>
                </c:pt>
                <c:pt idx="5">
                  <c:v>RSD</c:v>
                </c:pt>
                <c:pt idx="6">
                  <c:v>FIC</c:v>
                </c:pt>
                <c:pt idx="7">
                  <c:v>PIR</c:v>
                </c:pt>
                <c:pt idx="8">
                  <c:v>SS</c:v>
                </c:pt>
                <c:pt idx="9">
                  <c:v>FDL</c:v>
                </c:pt>
                <c:pt idx="10">
                  <c:v>FAR</c:v>
                </c:pt>
                <c:pt idx="11">
                  <c:v>PVP</c:v>
                </c:pt>
              </c:strCache>
            </c:strRef>
          </c:cat>
          <c:val>
            <c:numRef>
              <c:f>PROVISION!$D$7:$D$18</c:f>
              <c:numCache>
                <c:formatCode>#,##0</c:formatCode>
                <c:ptCount val="12"/>
                <c:pt idx="0">
                  <c:v>64264103000</c:v>
                </c:pt>
                <c:pt idx="1">
                  <c:v>0</c:v>
                </c:pt>
                <c:pt idx="2">
                  <c:v>7219742000</c:v>
                </c:pt>
                <c:pt idx="3">
                  <c:v>4934833000</c:v>
                </c:pt>
                <c:pt idx="4">
                  <c:v>511250000</c:v>
                </c:pt>
                <c:pt idx="5">
                  <c:v>979281000</c:v>
                </c:pt>
                <c:pt idx="6">
                  <c:v>1577281000</c:v>
                </c:pt>
                <c:pt idx="7">
                  <c:v>1138226000</c:v>
                </c:pt>
                <c:pt idx="8">
                  <c:v>506421000</c:v>
                </c:pt>
                <c:pt idx="9">
                  <c:v>0</c:v>
                </c:pt>
                <c:pt idx="10">
                  <c:v>2606915000</c:v>
                </c:pt>
                <c:pt idx="11">
                  <c:v>573429000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87-45A4-91F5-552B04DD544A}"/>
            </c:ext>
          </c:extLst>
        </c:ser>
        <c:ser>
          <c:idx val="1"/>
          <c:order val="1"/>
          <c:tx>
            <c:v>COMPROMISO</c:v>
          </c:tx>
          <c:spPr>
            <a:solidFill>
              <a:prstClr val="white">
                <a:lumMod val="85000"/>
              </a:prst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8.81542699724518E-3"/>
                  <c:y val="-1.36402387041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7-45A4-91F5-552B04DD544A}"/>
                </c:ext>
              </c:extLst>
            </c:dLbl>
            <c:dLbl>
              <c:idx val="6"/>
              <c:layout>
                <c:manualLayout>
                  <c:x val="6.6115702479338E-3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7-45A4-91F5-552B04DD544A}"/>
                </c:ext>
              </c:extLst>
            </c:dLbl>
            <c:dLbl>
              <c:idx val="7"/>
              <c:layout>
                <c:manualLayout>
                  <c:x val="1.1019283746556601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7-45A4-91F5-552B04DD544A}"/>
                </c:ext>
              </c:extLst>
            </c:dLbl>
            <c:dLbl>
              <c:idx val="8"/>
              <c:layout>
                <c:manualLayout>
                  <c:x val="1.3223140495867799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7-45A4-91F5-552B04DD544A}"/>
                </c:ext>
              </c:extLst>
            </c:dLbl>
            <c:dLbl>
              <c:idx val="9"/>
              <c:layout>
                <c:manualLayout>
                  <c:x val="8.81542699724518E-3"/>
                  <c:y val="-3.75106564364875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7-45A4-91F5-552B04DD544A}"/>
                </c:ext>
              </c:extLst>
            </c:dLbl>
            <c:dLbl>
              <c:idx val="10"/>
              <c:layout>
                <c:manualLayout>
                  <c:x val="1.3223140495867799E-2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7-45A4-91F5-552B04DD5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PV</c:v>
                </c:pt>
                <c:pt idx="2">
                  <c:v>FRIL</c:v>
                </c:pt>
                <c:pt idx="3">
                  <c:v>ENERGIZACION</c:v>
                </c:pt>
                <c:pt idx="4">
                  <c:v>FIE</c:v>
                </c:pt>
                <c:pt idx="5">
                  <c:v>RSD</c:v>
                </c:pt>
                <c:pt idx="6">
                  <c:v>FIC</c:v>
                </c:pt>
                <c:pt idx="7">
                  <c:v>PIR</c:v>
                </c:pt>
                <c:pt idx="8">
                  <c:v>SS</c:v>
                </c:pt>
                <c:pt idx="9">
                  <c:v>FDL</c:v>
                </c:pt>
                <c:pt idx="10">
                  <c:v>FAR</c:v>
                </c:pt>
                <c:pt idx="11">
                  <c:v>PVP</c:v>
                </c:pt>
              </c:strCache>
            </c:strRef>
          </c:cat>
          <c:val>
            <c:numRef>
              <c:f>PROVISION!$E$7:$E$18</c:f>
              <c:numCache>
                <c:formatCode>#,##0</c:formatCode>
                <c:ptCount val="12"/>
                <c:pt idx="0">
                  <c:v>64117722640</c:v>
                </c:pt>
                <c:pt idx="1">
                  <c:v>7369671250</c:v>
                </c:pt>
                <c:pt idx="2">
                  <c:v>6050000000</c:v>
                </c:pt>
                <c:pt idx="3">
                  <c:v>3660581000</c:v>
                </c:pt>
                <c:pt idx="4">
                  <c:v>1937213162</c:v>
                </c:pt>
                <c:pt idx="5">
                  <c:v>2468884750</c:v>
                </c:pt>
                <c:pt idx="6">
                  <c:v>1577281000</c:v>
                </c:pt>
                <c:pt idx="7">
                  <c:v>311243092</c:v>
                </c:pt>
                <c:pt idx="8">
                  <c:v>217176211</c:v>
                </c:pt>
                <c:pt idx="9">
                  <c:v>1605064000</c:v>
                </c:pt>
                <c:pt idx="10">
                  <c:v>2606915000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F87-45A4-91F5-552B04DD5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44288000"/>
        <c:axId val="144289792"/>
      </c:barChart>
      <c:catAx>
        <c:axId val="1442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4289792"/>
        <c:crosses val="autoZero"/>
        <c:auto val="1"/>
        <c:lblAlgn val="ctr"/>
        <c:lblOffset val="100"/>
        <c:noMultiLvlLbl val="0"/>
      </c:catAx>
      <c:valAx>
        <c:axId val="1442897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4288000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Compromiso Versus</a:t>
            </a:r>
            <a:r>
              <a:rPr lang="es-CL" baseline="0"/>
              <a:t> Pagos 2021 </a:t>
            </a:r>
          </a:p>
        </c:rich>
      </c:tx>
      <c:layout>
        <c:manualLayout>
          <c:xMode val="edge"/>
          <c:yMode val="edge"/>
          <c:x val="0.20433255816125401"/>
          <c:y val="3.2293672633596502E-4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PAGOS A LA FECHA</c:v>
          </c:tx>
          <c:spPr>
            <a:solidFill>
              <a:srgbClr val="C0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4.8404832098120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8-4166-B0D6-923023715CF4}"/>
                </c:ext>
              </c:extLst>
            </c:dLbl>
            <c:dLbl>
              <c:idx val="4"/>
              <c:layout>
                <c:manualLayout>
                  <c:x val="5.2474655154746497E-3"/>
                  <c:y val="3.22698880654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8-4166-B0D6-923023715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PV</c:v>
                </c:pt>
                <c:pt idx="2">
                  <c:v>FRIL</c:v>
                </c:pt>
                <c:pt idx="3">
                  <c:v>ENERGIZACION</c:v>
                </c:pt>
                <c:pt idx="4">
                  <c:v>FIE</c:v>
                </c:pt>
                <c:pt idx="5">
                  <c:v>RSD</c:v>
                </c:pt>
                <c:pt idx="6">
                  <c:v>FIC</c:v>
                </c:pt>
                <c:pt idx="7">
                  <c:v>PIR</c:v>
                </c:pt>
                <c:pt idx="8">
                  <c:v>SS</c:v>
                </c:pt>
                <c:pt idx="9">
                  <c:v>FDL</c:v>
                </c:pt>
                <c:pt idx="10">
                  <c:v>FAR</c:v>
                </c:pt>
                <c:pt idx="11">
                  <c:v>PVP</c:v>
                </c:pt>
              </c:strCache>
            </c:strRef>
          </c:cat>
          <c:val>
            <c:numRef>
              <c:f>PROVISION!$J$7:$J$18</c:f>
              <c:numCache>
                <c:formatCode>#,##0</c:formatCode>
                <c:ptCount val="12"/>
                <c:pt idx="0">
                  <c:v>5059685774</c:v>
                </c:pt>
                <c:pt idx="1">
                  <c:v>156806578</c:v>
                </c:pt>
                <c:pt idx="2">
                  <c:v>619560354</c:v>
                </c:pt>
                <c:pt idx="3">
                  <c:v>0</c:v>
                </c:pt>
                <c:pt idx="4">
                  <c:v>187000007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9360000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1C8-4166-B0D6-923023715CF4}"/>
            </c:ext>
          </c:extLst>
        </c:ser>
        <c:ser>
          <c:idx val="1"/>
          <c:order val="1"/>
          <c:tx>
            <c:v>SALDO A DICIEMBRE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7.1252610548231303E-3"/>
                  <c:y val="-9.69338717021540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8-4166-B0D6-923023715CF4}"/>
                </c:ext>
              </c:extLst>
            </c:dLbl>
            <c:dLbl>
              <c:idx val="1"/>
              <c:layout>
                <c:manualLayout>
                  <c:x val="-4.0795954454177904E-3"/>
                  <c:y val="-2.6035946340067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8-4166-B0D6-923023715CF4}"/>
                </c:ext>
              </c:extLst>
            </c:dLbl>
            <c:dLbl>
              <c:idx val="2"/>
              <c:layout>
                <c:manualLayout>
                  <c:x val="2.4835875002634602E-3"/>
                  <c:y val="-2.0012298221487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8-4166-B0D6-923023715CF4}"/>
                </c:ext>
              </c:extLst>
            </c:dLbl>
            <c:dLbl>
              <c:idx val="3"/>
              <c:layout>
                <c:manualLayout>
                  <c:x val="2.4387088615506702E-3"/>
                  <c:y val="-3.0690465532676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8-4166-B0D6-923023715CF4}"/>
                </c:ext>
              </c:extLst>
            </c:dLbl>
            <c:dLbl>
              <c:idx val="4"/>
              <c:layout>
                <c:manualLayout>
                  <c:x val="4.7280645205834901E-3"/>
                  <c:y val="-3.5733774654126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8-4166-B0D6-923023715CF4}"/>
                </c:ext>
              </c:extLst>
            </c:dLbl>
            <c:dLbl>
              <c:idx val="5"/>
              <c:layout>
                <c:manualLayout>
                  <c:x val="-2.3990993747515302E-3"/>
                  <c:y val="3.4747090420769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8-4166-B0D6-923023715CF4}"/>
                </c:ext>
              </c:extLst>
            </c:dLbl>
            <c:dLbl>
              <c:idx val="6"/>
              <c:layout>
                <c:manualLayout>
                  <c:x val="3.1936511443506899E-3"/>
                  <c:y val="-1.463903681621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8-4166-B0D6-923023715CF4}"/>
                </c:ext>
              </c:extLst>
            </c:dLbl>
            <c:dLbl>
              <c:idx val="7"/>
              <c:layout>
                <c:manualLayout>
                  <c:x val="-1.4462913528493E-4"/>
                  <c:y val="-3.58041490922850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8-4166-B0D6-923023715CF4}"/>
                </c:ext>
              </c:extLst>
            </c:dLbl>
            <c:dLbl>
              <c:idx val="8"/>
              <c:layout>
                <c:manualLayout>
                  <c:x val="1.41628730399595E-2"/>
                  <c:y val="-4.7740835464620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8-4166-B0D6-923023715CF4}"/>
                </c:ext>
              </c:extLst>
            </c:dLbl>
            <c:dLbl>
              <c:idx val="9"/>
              <c:layout>
                <c:manualLayout>
                  <c:x val="-2.2110451599024099E-3"/>
                  <c:y val="-1.5429307146351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8-4166-B0D6-923023715CF4}"/>
                </c:ext>
              </c:extLst>
            </c:dLbl>
            <c:dLbl>
              <c:idx val="10"/>
              <c:layout>
                <c:manualLayout>
                  <c:x val="2.1747061811874299E-3"/>
                  <c:y val="-3.6918314889846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C8-4166-B0D6-923023715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PV</c:v>
                </c:pt>
                <c:pt idx="2">
                  <c:v>FRIL</c:v>
                </c:pt>
                <c:pt idx="3">
                  <c:v>ENERGIZACION</c:v>
                </c:pt>
                <c:pt idx="4">
                  <c:v>FIE</c:v>
                </c:pt>
                <c:pt idx="5">
                  <c:v>RSD</c:v>
                </c:pt>
                <c:pt idx="6">
                  <c:v>FIC</c:v>
                </c:pt>
                <c:pt idx="7">
                  <c:v>PIR</c:v>
                </c:pt>
                <c:pt idx="8">
                  <c:v>SS</c:v>
                </c:pt>
                <c:pt idx="9">
                  <c:v>FDL</c:v>
                </c:pt>
                <c:pt idx="10">
                  <c:v>FAR</c:v>
                </c:pt>
                <c:pt idx="11">
                  <c:v>PVP</c:v>
                </c:pt>
              </c:strCache>
            </c:strRef>
          </c:cat>
          <c:val>
            <c:numRef>
              <c:f>PROVISION!$P$7:$P$18</c:f>
              <c:numCache>
                <c:formatCode>#,##0</c:formatCode>
                <c:ptCount val="12"/>
                <c:pt idx="0">
                  <c:v>59058036866</c:v>
                </c:pt>
                <c:pt idx="1">
                  <c:v>7212864672</c:v>
                </c:pt>
                <c:pt idx="2">
                  <c:v>5430439646</c:v>
                </c:pt>
                <c:pt idx="3">
                  <c:v>3660581000</c:v>
                </c:pt>
                <c:pt idx="4">
                  <c:v>1750213155</c:v>
                </c:pt>
                <c:pt idx="5">
                  <c:v>2468884750</c:v>
                </c:pt>
                <c:pt idx="6">
                  <c:v>1577281000</c:v>
                </c:pt>
                <c:pt idx="7">
                  <c:v>311243092</c:v>
                </c:pt>
                <c:pt idx="8">
                  <c:v>207816211</c:v>
                </c:pt>
                <c:pt idx="9">
                  <c:v>1605064000</c:v>
                </c:pt>
                <c:pt idx="10">
                  <c:v>2606915000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1C8-4166-B0D6-923023715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43748480"/>
        <c:axId val="143754368"/>
      </c:barChart>
      <c:catAx>
        <c:axId val="1437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3754368"/>
        <c:crosses val="autoZero"/>
        <c:auto val="1"/>
        <c:lblAlgn val="ctr"/>
        <c:lblOffset val="100"/>
        <c:noMultiLvlLbl val="0"/>
      </c:catAx>
      <c:valAx>
        <c:axId val="143754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3748480"/>
        <c:crosses val="autoZero"/>
        <c:crossBetween val="between"/>
        <c:dispUnits>
          <c:builtInUnit val="million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123265</xdr:colOff>
      <xdr:row>23</xdr:row>
      <xdr:rowOff>95699</xdr:rowOff>
    </xdr:from>
    <xdr:to>
      <xdr:col>12</xdr:col>
      <xdr:colOff>1367118</xdr:colOff>
      <xdr:row>33</xdr:row>
      <xdr:rowOff>123265</xdr:rowOff>
    </xdr:to>
    <xdr:pic>
      <xdr:nvPicPr>
        <xdr:cNvPr id="13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9" b="26400"/>
        <a:stretch>
          <a:fillRect/>
        </a:stretch>
      </xdr:blipFill>
      <xdr:spPr>
        <a:xfrm>
          <a:off x="123265" y="4477199"/>
          <a:ext cx="10387853" cy="1932566"/>
        </a:xfrm>
        <a:prstGeom prst="rect">
          <a:avLst/>
        </a:prstGeom>
      </xdr:spPr>
    </xdr:pic>
    <xdr:clientData/>
  </xdr:twoCellAnchor>
  <xdr:twoCellAnchor>
    <xdr:from>
      <xdr:col>0</xdr:col>
      <xdr:colOff>123266</xdr:colOff>
      <xdr:row>18</xdr:row>
      <xdr:rowOff>145672</xdr:rowOff>
    </xdr:from>
    <xdr:to>
      <xdr:col>12</xdr:col>
      <xdr:colOff>1367118</xdr:colOff>
      <xdr:row>23</xdr:row>
      <xdr:rowOff>95697</xdr:rowOff>
    </xdr:to>
    <xdr:sp macro="" textlink="">
      <xdr:nvSpPr>
        <xdr:cNvPr id="14" name="4 Rectángulo"/>
        <xdr:cNvSpPr/>
      </xdr:nvSpPr>
      <xdr:spPr>
        <a:xfrm>
          <a:off x="123266" y="3574672"/>
          <a:ext cx="10387852" cy="90252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1</xdr:col>
      <xdr:colOff>730251</xdr:colOff>
      <xdr:row>19</xdr:row>
      <xdr:rowOff>67235</xdr:rowOff>
    </xdr:from>
    <xdr:to>
      <xdr:col>12</xdr:col>
      <xdr:colOff>1301751</xdr:colOff>
      <xdr:row>22</xdr:row>
      <xdr:rowOff>89039</xdr:rowOff>
    </xdr:to>
    <xdr:sp macro="" textlink="">
      <xdr:nvSpPr>
        <xdr:cNvPr id="15" name="6 CuadroTexto"/>
        <xdr:cNvSpPr txBox="1"/>
      </xdr:nvSpPr>
      <xdr:spPr>
        <a:xfrm>
          <a:off x="1492251" y="3686735"/>
          <a:ext cx="8953500" cy="5933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ESTADO SITUACION  </a:t>
          </a:r>
          <a:r>
            <a:rPr lang="es-CL" sz="3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-  ENERO 2021</a:t>
          </a:r>
          <a:endParaRPr lang="es-CL" sz="3200">
            <a:solidFill>
              <a:schemeClr val="bg1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142534</xdr:colOff>
      <xdr:row>0</xdr:row>
      <xdr:rowOff>31749</xdr:rowOff>
    </xdr:from>
    <xdr:to>
      <xdr:col>4</xdr:col>
      <xdr:colOff>201084</xdr:colOff>
      <xdr:row>18</xdr:row>
      <xdr:rowOff>148166</xdr:rowOff>
    </xdr:to>
    <xdr:pic>
      <xdr:nvPicPr>
        <xdr:cNvPr id="17" name="18 Imagen" descr="Resultado de imagen para universidad los lagos cast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534" y="31749"/>
          <a:ext cx="3106550" cy="354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717174</xdr:colOff>
      <xdr:row>12</xdr:row>
      <xdr:rowOff>11206</xdr:rowOff>
    </xdr:from>
    <xdr:to>
      <xdr:col>11</xdr:col>
      <xdr:colOff>48118</xdr:colOff>
      <xdr:row>18</xdr:row>
      <xdr:rowOff>146206</xdr:rowOff>
    </xdr:to>
    <xdr:pic>
      <xdr:nvPicPr>
        <xdr:cNvPr id="19" name="20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37174" y="2297206"/>
          <a:ext cx="92944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18</xdr:row>
      <xdr:rowOff>100852</xdr:rowOff>
    </xdr:from>
    <xdr:to>
      <xdr:col>2</xdr:col>
      <xdr:colOff>258668</xdr:colOff>
      <xdr:row>27</xdr:row>
      <xdr:rowOff>7202</xdr:rowOff>
    </xdr:to>
    <xdr:pic>
      <xdr:nvPicPr>
        <xdr:cNvPr id="21" name="23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529852"/>
          <a:ext cx="1512793" cy="1620850"/>
        </a:xfrm>
        <a:prstGeom prst="rect">
          <a:avLst/>
        </a:prstGeom>
      </xdr:spPr>
    </xdr:pic>
    <xdr:clientData/>
  </xdr:twoCellAnchor>
  <xdr:twoCellAnchor editAs="oneCell">
    <xdr:from>
      <xdr:col>8</xdr:col>
      <xdr:colOff>615207</xdr:colOff>
      <xdr:row>0</xdr:row>
      <xdr:rowOff>31750</xdr:rowOff>
    </xdr:from>
    <xdr:to>
      <xdr:col>12</xdr:col>
      <xdr:colOff>1365249</xdr:colOff>
      <xdr:row>18</xdr:row>
      <xdr:rowOff>169333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207" y="31750"/>
          <a:ext cx="3798042" cy="3566583"/>
        </a:xfrm>
        <a:prstGeom prst="rect">
          <a:avLst/>
        </a:prstGeom>
      </xdr:spPr>
    </xdr:pic>
    <xdr:clientData/>
  </xdr:twoCellAnchor>
  <xdr:twoCellAnchor editAs="oneCell">
    <xdr:from>
      <xdr:col>4</xdr:col>
      <xdr:colOff>186973</xdr:colOff>
      <xdr:row>0</xdr:row>
      <xdr:rowOff>42332</xdr:rowOff>
    </xdr:from>
    <xdr:to>
      <xdr:col>8</xdr:col>
      <xdr:colOff>613833</xdr:colOff>
      <xdr:row>18</xdr:row>
      <xdr:rowOff>158749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973" y="42332"/>
          <a:ext cx="3474860" cy="35454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390526</xdr:colOff>
      <xdr:row>23</xdr:row>
      <xdr:rowOff>85725</xdr:rowOff>
    </xdr:from>
    <xdr:to>
      <xdr:col>10</xdr:col>
      <xdr:colOff>161925</xdr:colOff>
      <xdr:row>46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1440661</xdr:colOff>
      <xdr:row>2</xdr:row>
      <xdr:rowOff>103299</xdr:rowOff>
    </xdr:from>
    <xdr:to>
      <xdr:col>2</xdr:col>
      <xdr:colOff>343610</xdr:colOff>
      <xdr:row>6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0761" y="427149"/>
          <a:ext cx="1255624" cy="6872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133350</xdr:rowOff>
    </xdr:from>
    <xdr:to>
      <xdr:col>1</xdr:col>
      <xdr:colOff>1234163</xdr:colOff>
      <xdr:row>7</xdr:row>
      <xdr:rowOff>142875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95275"/>
          <a:ext cx="1148438" cy="1171575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2</xdr:row>
      <xdr:rowOff>114302</xdr:rowOff>
    </xdr:from>
    <xdr:to>
      <xdr:col>9</xdr:col>
      <xdr:colOff>761999</xdr:colOff>
      <xdr:row>6</xdr:row>
      <xdr:rowOff>47626</xdr:rowOff>
    </xdr:to>
    <xdr:sp macro="" textlink="">
      <xdr:nvSpPr>
        <xdr:cNvPr id="5" name="Title 7"/>
        <xdr:cNvSpPr txBox="1"/>
      </xdr:nvSpPr>
      <xdr:spPr>
        <a:xfrm>
          <a:off x="4314824" y="438152"/>
          <a:ext cx="6257925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Sector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Enero 2021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 – 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17</xdr:row>
      <xdr:rowOff>142875</xdr:rowOff>
    </xdr:from>
    <xdr:to>
      <xdr:col>10</xdr:col>
      <xdr:colOff>0</xdr:colOff>
      <xdr:row>42</xdr:row>
      <xdr:rowOff>85726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691862</xdr:colOff>
      <xdr:row>0</xdr:row>
      <xdr:rowOff>76200</xdr:rowOff>
    </xdr:from>
    <xdr:to>
      <xdr:col>10</xdr:col>
      <xdr:colOff>0</xdr:colOff>
      <xdr:row>7</xdr:row>
      <xdr:rowOff>76200</xdr:rowOff>
    </xdr:to>
    <xdr:sp macro="" textlink="">
      <xdr:nvSpPr>
        <xdr:cNvPr id="3" name="Title 7"/>
        <xdr:cNvSpPr txBox="1"/>
      </xdr:nvSpPr>
      <xdr:spPr>
        <a:xfrm>
          <a:off x="3196937" y="76200"/>
          <a:ext cx="5299363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Distribucion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por Sub Titulo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6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1600" b="1">
              <a:solidFill>
                <a:srgbClr val="006CB7"/>
              </a:solidFill>
              <a:latin typeface="Verdana" panose="020B0604030504040204" pitchFamily="34" charset="0"/>
            </a:rPr>
            <a:t>31 de Enero </a:t>
          </a:r>
          <a:r>
            <a:rPr lang="es-ES_tradnl" altLang="es-CL" sz="1600" b="1">
              <a:solidFill>
                <a:srgbClr val="006CB7"/>
              </a:solidFill>
              <a:latin typeface="Verdana" panose="020B0604030504040204" pitchFamily="34" charset="0"/>
            </a:rPr>
            <a:t>2021 – %</a:t>
          </a:r>
        </a:p>
      </xdr:txBody>
    </xdr:sp>
    <xdr:clientData/>
  </xdr:twoCellAnchor>
  <xdr:twoCellAnchor editAs="oneCell">
    <xdr:from>
      <xdr:col>2</xdr:col>
      <xdr:colOff>716760</xdr:colOff>
      <xdr:row>0</xdr:row>
      <xdr:rowOff>153305</xdr:rowOff>
    </xdr:from>
    <xdr:to>
      <xdr:col>4</xdr:col>
      <xdr:colOff>340255</xdr:colOff>
      <xdr:row>5</xdr:row>
      <xdr:rowOff>108772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9260" y="153305"/>
          <a:ext cx="1176070" cy="76509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11907</xdr:rowOff>
    </xdr:from>
    <xdr:to>
      <xdr:col>2</xdr:col>
      <xdr:colOff>645319</xdr:colOff>
      <xdr:row>6</xdr:row>
      <xdr:rowOff>145655</xdr:rowOff>
    </xdr:to>
    <xdr:pic>
      <xdr:nvPicPr>
        <xdr:cNvPr id="5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907"/>
          <a:ext cx="1083469" cy="1105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590550</xdr:colOff>
      <xdr:row>0</xdr:row>
      <xdr:rowOff>0</xdr:rowOff>
    </xdr:from>
    <xdr:ext cx="184731" cy="258845"/>
    <xdr:sp macro="" textlink="">
      <xdr:nvSpPr>
        <xdr:cNvPr id="2" name="3 CuadroTexto"/>
        <xdr:cNvSpPr txBox="1"/>
      </xdr:nvSpPr>
      <xdr:spPr>
        <a:xfrm>
          <a:off x="590550" y="0"/>
          <a:ext cx="184731" cy="258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>
    <xdr:from>
      <xdr:col>0</xdr:col>
      <xdr:colOff>428625</xdr:colOff>
      <xdr:row>6</xdr:row>
      <xdr:rowOff>190500</xdr:rowOff>
    </xdr:from>
    <xdr:to>
      <xdr:col>10</xdr:col>
      <xdr:colOff>533400</xdr:colOff>
      <xdr:row>31</xdr:row>
      <xdr:rowOff>79375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204549</xdr:colOff>
      <xdr:row>1</xdr:row>
      <xdr:rowOff>144573</xdr:rowOff>
    </xdr:from>
    <xdr:to>
      <xdr:col>2</xdr:col>
      <xdr:colOff>306917</xdr:colOff>
      <xdr:row>5</xdr:row>
      <xdr:rowOff>438185</xdr:rowOff>
    </xdr:to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8949" y="306498"/>
          <a:ext cx="959618" cy="607937"/>
        </a:xfrm>
        <a:prstGeom prst="rect">
          <a:avLst/>
        </a:prstGeom>
      </xdr:spPr>
    </xdr:pic>
    <xdr:clientData/>
  </xdr:twoCellAnchor>
  <xdr:twoCellAnchor editAs="oneCell">
    <xdr:from>
      <xdr:col>0</xdr:col>
      <xdr:colOff>69869</xdr:colOff>
      <xdr:row>1</xdr:row>
      <xdr:rowOff>48683</xdr:rowOff>
    </xdr:from>
    <xdr:to>
      <xdr:col>1</xdr:col>
      <xdr:colOff>238938</xdr:colOff>
      <xdr:row>5</xdr:row>
      <xdr:rowOff>814256</xdr:rowOff>
    </xdr:to>
    <xdr:pic>
      <xdr:nvPicPr>
        <xdr:cNvPr id="5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69" y="210608"/>
          <a:ext cx="1083469" cy="1079898"/>
        </a:xfrm>
        <a:prstGeom prst="rect">
          <a:avLst/>
        </a:prstGeom>
      </xdr:spPr>
    </xdr:pic>
    <xdr:clientData/>
  </xdr:twoCellAnchor>
  <xdr:twoCellAnchor>
    <xdr:from>
      <xdr:col>2</xdr:col>
      <xdr:colOff>359833</xdr:colOff>
      <xdr:row>1</xdr:row>
      <xdr:rowOff>89952</xdr:rowOff>
    </xdr:from>
    <xdr:to>
      <xdr:col>10</xdr:col>
      <xdr:colOff>889000</xdr:colOff>
      <xdr:row>5</xdr:row>
      <xdr:rowOff>698498</xdr:rowOff>
    </xdr:to>
    <xdr:sp macro="" textlink="">
      <xdr:nvSpPr>
        <xdr:cNvPr id="6" name="Title 7"/>
        <xdr:cNvSpPr txBox="1"/>
      </xdr:nvSpPr>
      <xdr:spPr>
        <a:xfrm>
          <a:off x="2131483" y="251877"/>
          <a:ext cx="7882467" cy="922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Marco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Decretado FNDR 2021</a:t>
          </a:r>
        </a:p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al</a:t>
          </a: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 31 Enero </a:t>
          </a: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FNDR 2020</a:t>
          </a:r>
          <a:endParaRPr lang="es-ES" altLang="es-CL" sz="1600" b="1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endParaRPr lang="es-ES_tradnl" altLang="es-CL" sz="16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262731</xdr:colOff>
      <xdr:row>9</xdr:row>
      <xdr:rowOff>41011</xdr:rowOff>
    </xdr:from>
    <xdr:to>
      <xdr:col>11</xdr:col>
      <xdr:colOff>1043781</xdr:colOff>
      <xdr:row>40</xdr:row>
      <xdr:rowOff>63500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497417</xdr:colOff>
      <xdr:row>1</xdr:row>
      <xdr:rowOff>33072</xdr:rowOff>
    </xdr:from>
    <xdr:to>
      <xdr:col>11</xdr:col>
      <xdr:colOff>889000</xdr:colOff>
      <xdr:row>6</xdr:row>
      <xdr:rowOff>158749</xdr:rowOff>
    </xdr:to>
    <xdr:sp macro="" textlink="">
      <xdr:nvSpPr>
        <xdr:cNvPr id="3" name="Title 7"/>
        <xdr:cNvSpPr txBox="1"/>
      </xdr:nvSpPr>
      <xdr:spPr>
        <a:xfrm>
          <a:off x="2857500" y="191822"/>
          <a:ext cx="6699250" cy="919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FNDR al 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31 Enero 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2021 – %</a:t>
          </a:r>
        </a:p>
      </xdr:txBody>
    </xdr:sp>
    <xdr:clientData/>
  </xdr:twoCellAnchor>
  <xdr:twoCellAnchor editAs="oneCell">
    <xdr:from>
      <xdr:col>2</xdr:col>
      <xdr:colOff>129668</xdr:colOff>
      <xdr:row>2</xdr:row>
      <xdr:rowOff>6461</xdr:rowOff>
    </xdr:from>
    <xdr:to>
      <xdr:col>3</xdr:col>
      <xdr:colOff>332072</xdr:colOff>
      <xdr:row>6</xdr:row>
      <xdr:rowOff>136553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318" y="330311"/>
          <a:ext cx="1173954" cy="777792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1</xdr:row>
      <xdr:rowOff>23813</xdr:rowOff>
    </xdr:from>
    <xdr:to>
      <xdr:col>2</xdr:col>
      <xdr:colOff>111142</xdr:colOff>
      <xdr:row>8</xdr:row>
      <xdr:rowOff>17861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90" y="185738"/>
          <a:ext cx="1087702" cy="1127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13</xdr:row>
      <xdr:rowOff>180975</xdr:rowOff>
    </xdr:from>
    <xdr:to>
      <xdr:col>12</xdr:col>
      <xdr:colOff>0</xdr:colOff>
      <xdr:row>33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640560</xdr:colOff>
      <xdr:row>1</xdr:row>
      <xdr:rowOff>8048</xdr:rowOff>
    </xdr:from>
    <xdr:to>
      <xdr:col>2</xdr:col>
      <xdr:colOff>959380</xdr:colOff>
      <xdr:row>2</xdr:row>
      <xdr:rowOff>39715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235" y="198548"/>
          <a:ext cx="1176070" cy="765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120650</xdr:rowOff>
    </xdr:from>
    <xdr:to>
      <xdr:col>1</xdr:col>
      <xdr:colOff>638969</xdr:colOff>
      <xdr:row>3</xdr:row>
      <xdr:rowOff>111523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"/>
          <a:ext cx="1086644" cy="1105298"/>
        </a:xfrm>
        <a:prstGeom prst="rect">
          <a:avLst/>
        </a:prstGeom>
      </xdr:spPr>
    </xdr:pic>
    <xdr:clientData/>
  </xdr:twoCellAnchor>
  <xdr:twoCellAnchor>
    <xdr:from>
      <xdr:col>2</xdr:col>
      <xdr:colOff>924984</xdr:colOff>
      <xdr:row>0</xdr:row>
      <xdr:rowOff>73023</xdr:rowOff>
    </xdr:from>
    <xdr:to>
      <xdr:col>12</xdr:col>
      <xdr:colOff>395817</xdr:colOff>
      <xdr:row>2</xdr:row>
      <xdr:rowOff>0</xdr:rowOff>
    </xdr:to>
    <xdr:sp macro="" textlink="">
      <xdr:nvSpPr>
        <xdr:cNvPr id="5" name="Title 7"/>
        <xdr:cNvSpPr txBox="1"/>
      </xdr:nvSpPr>
      <xdr:spPr>
        <a:xfrm>
          <a:off x="2229909" y="73023"/>
          <a:ext cx="8195733" cy="850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 por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Provincia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a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l 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31 de Enero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2021 – %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1488286</xdr:colOff>
      <xdr:row>0</xdr:row>
      <xdr:rowOff>93774</xdr:rowOff>
    </xdr:from>
    <xdr:to>
      <xdr:col>3</xdr:col>
      <xdr:colOff>180976</xdr:colOff>
      <xdr:row>1</xdr:row>
      <xdr:rowOff>576829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5961" y="93774"/>
          <a:ext cx="1073940" cy="58783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1</xdr:col>
      <xdr:colOff>1381125</xdr:colOff>
      <xdr:row>2</xdr:row>
      <xdr:rowOff>172357</xdr:rowOff>
    </xdr:to>
    <xdr:pic>
      <xdr:nvPicPr>
        <xdr:cNvPr id="3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990600" cy="1010557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0</xdr:row>
      <xdr:rowOff>102660</xdr:rowOff>
    </xdr:from>
    <xdr:to>
      <xdr:col>11</xdr:col>
      <xdr:colOff>171450</xdr:colOff>
      <xdr:row>1</xdr:row>
      <xdr:rowOff>571500</xdr:rowOff>
    </xdr:to>
    <xdr:sp macro="" textlink="">
      <xdr:nvSpPr>
        <xdr:cNvPr id="4" name="Title 7"/>
        <xdr:cNvSpPr txBox="1"/>
      </xdr:nvSpPr>
      <xdr:spPr>
        <a:xfrm>
          <a:off x="3648075" y="102660"/>
          <a:ext cx="5857875" cy="57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Osorno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Enero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2021 – %</a:t>
          </a:r>
        </a:p>
      </xdr:txBody>
    </xdr:sp>
    <xdr:clientData/>
  </xdr:twoCellAnchor>
  <xdr:twoCellAnchor>
    <xdr:from>
      <xdr:col>1</xdr:col>
      <xdr:colOff>685799</xdr:colOff>
      <xdr:row>13</xdr:row>
      <xdr:rowOff>90487</xdr:rowOff>
    </xdr:from>
    <xdr:to>
      <xdr:col>12</xdr:col>
      <xdr:colOff>28574</xdr:colOff>
      <xdr:row>27</xdr:row>
      <xdr:rowOff>142875</xdr:rowOff>
    </xdr:to>
    <xdr:graphicFrame macro="">
      <xdr:nvGraphicFramePr>
        <xdr:cNvPr id="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516736</xdr:colOff>
      <xdr:row>0</xdr:row>
      <xdr:rowOff>84249</xdr:rowOff>
    </xdr:from>
    <xdr:to>
      <xdr:col>3</xdr:col>
      <xdr:colOff>695325</xdr:colOff>
      <xdr:row>1</xdr:row>
      <xdr:rowOff>520381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836" y="84249"/>
          <a:ext cx="988214" cy="540907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47625</xdr:rowOff>
    </xdr:from>
    <xdr:to>
      <xdr:col>2</xdr:col>
      <xdr:colOff>523875</xdr:colOff>
      <xdr:row>2</xdr:row>
      <xdr:rowOff>201083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47625"/>
          <a:ext cx="904875" cy="914400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0</xdr:row>
      <xdr:rowOff>47627</xdr:rowOff>
    </xdr:from>
    <xdr:to>
      <xdr:col>12</xdr:col>
      <xdr:colOff>533399</xdr:colOff>
      <xdr:row>1</xdr:row>
      <xdr:rowOff>542926</xdr:rowOff>
    </xdr:to>
    <xdr:sp macro="" textlink="">
      <xdr:nvSpPr>
        <xdr:cNvPr id="4" name="Title 7"/>
        <xdr:cNvSpPr txBox="1"/>
      </xdr:nvSpPr>
      <xdr:spPr>
        <a:xfrm>
          <a:off x="3905249" y="47627"/>
          <a:ext cx="6581775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Llanquihue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Enero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– %</a:t>
          </a:r>
        </a:p>
      </xdr:txBody>
    </xdr:sp>
    <xdr:clientData/>
  </xdr:twoCellAnchor>
  <xdr:twoCellAnchor>
    <xdr:from>
      <xdr:col>1</xdr:col>
      <xdr:colOff>685798</xdr:colOff>
      <xdr:row>15</xdr:row>
      <xdr:rowOff>90487</xdr:rowOff>
    </xdr:from>
    <xdr:to>
      <xdr:col>12</xdr:col>
      <xdr:colOff>180974</xdr:colOff>
      <xdr:row>28</xdr:row>
      <xdr:rowOff>171450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1053597</xdr:colOff>
      <xdr:row>1</xdr:row>
      <xdr:rowOff>75590</xdr:rowOff>
    </xdr:from>
    <xdr:to>
      <xdr:col>2</xdr:col>
      <xdr:colOff>703981</xdr:colOff>
      <xdr:row>1</xdr:row>
      <xdr:rowOff>615631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272" y="180365"/>
          <a:ext cx="993409" cy="540041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0</xdr:row>
      <xdr:rowOff>30307</xdr:rowOff>
    </xdr:from>
    <xdr:to>
      <xdr:col>1</xdr:col>
      <xdr:colOff>958561</xdr:colOff>
      <xdr:row>2</xdr:row>
      <xdr:rowOff>190546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31" y="30307"/>
          <a:ext cx="909205" cy="922239"/>
        </a:xfrm>
        <a:prstGeom prst="rect">
          <a:avLst/>
        </a:prstGeom>
      </xdr:spPr>
    </xdr:pic>
    <xdr:clientData/>
  </xdr:twoCellAnchor>
  <xdr:twoCellAnchor>
    <xdr:from>
      <xdr:col>3</xdr:col>
      <xdr:colOff>295277</xdr:colOff>
      <xdr:row>0</xdr:row>
      <xdr:rowOff>81397</xdr:rowOff>
    </xdr:from>
    <xdr:to>
      <xdr:col>10</xdr:col>
      <xdr:colOff>190499</xdr:colOff>
      <xdr:row>1</xdr:row>
      <xdr:rowOff>536864</xdr:rowOff>
    </xdr:to>
    <xdr:sp macro="" textlink="">
      <xdr:nvSpPr>
        <xdr:cNvPr id="4" name="Title 7"/>
        <xdr:cNvSpPr txBox="1"/>
      </xdr:nvSpPr>
      <xdr:spPr>
        <a:xfrm>
          <a:off x="2895602" y="81397"/>
          <a:ext cx="5638797" cy="560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algn="ctr"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Chiloe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Enero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2021 – %</a:t>
          </a:r>
        </a:p>
      </xdr:txBody>
    </xdr:sp>
    <xdr:clientData/>
  </xdr:twoCellAnchor>
  <xdr:twoCellAnchor>
    <xdr:from>
      <xdr:col>1</xdr:col>
      <xdr:colOff>695324</xdr:colOff>
      <xdr:row>16</xdr:row>
      <xdr:rowOff>80962</xdr:rowOff>
    </xdr:from>
    <xdr:to>
      <xdr:col>12</xdr:col>
      <xdr:colOff>152401</xdr:colOff>
      <xdr:row>28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316711</xdr:colOff>
      <xdr:row>1</xdr:row>
      <xdr:rowOff>55674</xdr:rowOff>
    </xdr:from>
    <xdr:to>
      <xdr:col>3</xdr:col>
      <xdr:colOff>762710</xdr:colOff>
      <xdr:row>2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6011" y="160449"/>
          <a:ext cx="1255624" cy="68727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0</xdr:row>
      <xdr:rowOff>28575</xdr:rowOff>
    </xdr:from>
    <xdr:to>
      <xdr:col>2</xdr:col>
      <xdr:colOff>110213</xdr:colOff>
      <xdr:row>3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8575"/>
          <a:ext cx="1148438" cy="117157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1</xdr:row>
      <xdr:rowOff>66677</xdr:rowOff>
    </xdr:from>
    <xdr:to>
      <xdr:col>12</xdr:col>
      <xdr:colOff>533399</xdr:colOff>
      <xdr:row>1</xdr:row>
      <xdr:rowOff>647701</xdr:rowOff>
    </xdr:to>
    <xdr:sp macro="" textlink="">
      <xdr:nvSpPr>
        <xdr:cNvPr id="4" name="Title 7"/>
        <xdr:cNvSpPr txBox="1"/>
      </xdr:nvSpPr>
      <xdr:spPr>
        <a:xfrm>
          <a:off x="4295774" y="171452"/>
          <a:ext cx="632460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Palena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Enero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2021 – %</a:t>
          </a:r>
        </a:p>
      </xdr:txBody>
    </xdr:sp>
    <xdr:clientData/>
  </xdr:twoCellAnchor>
  <xdr:twoCellAnchor>
    <xdr:from>
      <xdr:col>1</xdr:col>
      <xdr:colOff>704849</xdr:colOff>
      <xdr:row>12</xdr:row>
      <xdr:rowOff>176212</xdr:rowOff>
    </xdr:from>
    <xdr:to>
      <xdr:col>12</xdr:col>
      <xdr:colOff>161926</xdr:colOff>
      <xdr:row>25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70137</xdr:colOff>
      <xdr:row>20</xdr:row>
      <xdr:rowOff>86591</xdr:rowOff>
    </xdr:from>
    <xdr:to>
      <xdr:col>6</xdr:col>
      <xdr:colOff>822614</xdr:colOff>
      <xdr:row>41</xdr:row>
      <xdr:rowOff>60614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909205</xdr:colOff>
      <xdr:row>20</xdr:row>
      <xdr:rowOff>90055</xdr:rowOff>
    </xdr:from>
    <xdr:to>
      <xdr:col>17</xdr:col>
      <xdr:colOff>587100</xdr:colOff>
      <xdr:row>41</xdr:row>
      <xdr:rowOff>65878</xdr:rowOff>
    </xdr:to>
    <xdr:graphicFrame macro="">
      <xdr:nvGraphicFramePr>
        <xdr:cNvPr id="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90709</xdr:colOff>
      <xdr:row>0</xdr:row>
      <xdr:rowOff>45282</xdr:rowOff>
    </xdr:from>
    <xdr:to>
      <xdr:col>4</xdr:col>
      <xdr:colOff>59286</xdr:colOff>
      <xdr:row>3</xdr:row>
      <xdr:rowOff>60613</xdr:rowOff>
    </xdr:to>
    <xdr:pic>
      <xdr:nvPicPr>
        <xdr:cNvPr id="4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9484" y="45282"/>
          <a:ext cx="930602" cy="501106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0</xdr:row>
      <xdr:rowOff>0</xdr:rowOff>
    </xdr:from>
    <xdr:to>
      <xdr:col>2</xdr:col>
      <xdr:colOff>8659</xdr:colOff>
      <xdr:row>4</xdr:row>
      <xdr:rowOff>190279</xdr:rowOff>
    </xdr:to>
    <xdr:pic>
      <xdr:nvPicPr>
        <xdr:cNvPr id="5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6" y="0"/>
          <a:ext cx="850323" cy="846638"/>
        </a:xfrm>
        <a:prstGeom prst="rect">
          <a:avLst/>
        </a:prstGeom>
      </xdr:spPr>
    </xdr:pic>
    <xdr:clientData/>
  </xdr:twoCellAnchor>
  <xdr:twoCellAnchor>
    <xdr:from>
      <xdr:col>4</xdr:col>
      <xdr:colOff>736022</xdr:colOff>
      <xdr:row>0</xdr:row>
      <xdr:rowOff>34638</xdr:rowOff>
    </xdr:from>
    <xdr:to>
      <xdr:col>15</xdr:col>
      <xdr:colOff>199159</xdr:colOff>
      <xdr:row>3</xdr:row>
      <xdr:rowOff>155865</xdr:rowOff>
    </xdr:to>
    <xdr:sp macro="" textlink="">
      <xdr:nvSpPr>
        <xdr:cNvPr id="6" name="Title 7"/>
        <xdr:cNvSpPr txBox="1"/>
      </xdr:nvSpPr>
      <xdr:spPr>
        <a:xfrm>
          <a:off x="3326822" y="34638"/>
          <a:ext cx="5844887" cy="6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Provision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Enero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2021 – %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ESS%202020/12.20%20Estado%20de%20Situacion%20Diciembre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GASTO"/>
      <sheetName val="EFICIENCIA"/>
      <sheetName val="PROVINCIA"/>
      <sheetName val="OSORNO"/>
      <sheetName val="LLANQUIHUE"/>
      <sheetName val="CHILOE"/>
      <sheetName val="PALENA"/>
      <sheetName val="PROVISION"/>
      <sheetName val="SECTOR"/>
      <sheetName val="SUBTITULO"/>
      <sheetName val="ESTADO SITUACION"/>
      <sheetName val="RESUMEN"/>
      <sheetName val="VALIDACION"/>
      <sheetName val="PORTADA FRIL"/>
      <sheetName val="FRIL"/>
      <sheetName val="RS"/>
      <sheetName val="AC. SOCIAL"/>
      <sheetName val="FRIL AC.SOCIAL"/>
      <sheetName val="AC. SOC. COMPLEMENTARIO"/>
      <sheetName val="ELECTRICOS EN EJECUCION"/>
      <sheetName val="Hoja1"/>
      <sheetName val="TRANSF. MUNICIPIOS COV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8">
          <cell r="A18" t="str">
            <v>ENERGIZACION</v>
          </cell>
          <cell r="B18">
            <v>2662925000</v>
          </cell>
          <cell r="C18">
            <v>0</v>
          </cell>
          <cell r="D18">
            <v>2292154000</v>
          </cell>
          <cell r="E18">
            <v>2263752370</v>
          </cell>
          <cell r="F18">
            <v>28401630</v>
          </cell>
          <cell r="G18">
            <v>370771000</v>
          </cell>
        </row>
        <row r="19">
          <cell r="A19" t="str">
            <v>FIC</v>
          </cell>
          <cell r="B19">
            <v>542573000</v>
          </cell>
          <cell r="C19">
            <v>0</v>
          </cell>
          <cell r="D19">
            <v>542573000</v>
          </cell>
          <cell r="E19">
            <v>542573000</v>
          </cell>
          <cell r="F19">
            <v>0</v>
          </cell>
          <cell r="G19">
            <v>0</v>
          </cell>
        </row>
        <row r="20">
          <cell r="A20" t="str">
            <v>FIE</v>
          </cell>
          <cell r="B20">
            <v>9624221521</v>
          </cell>
          <cell r="C20">
            <v>4083963405</v>
          </cell>
          <cell r="D20">
            <v>3308022627</v>
          </cell>
          <cell r="E20">
            <v>3308022627</v>
          </cell>
          <cell r="F20">
            <v>0</v>
          </cell>
          <cell r="G20">
            <v>2232235489</v>
          </cell>
        </row>
        <row r="21">
          <cell r="A21" t="str">
            <v>FRIL</v>
          </cell>
          <cell r="B21">
            <v>4492840000</v>
          </cell>
          <cell r="C21">
            <v>0</v>
          </cell>
          <cell r="D21">
            <v>4492840000</v>
          </cell>
          <cell r="E21">
            <v>4492839999</v>
          </cell>
          <cell r="F21">
            <v>1</v>
          </cell>
          <cell r="G21">
            <v>0</v>
          </cell>
        </row>
        <row r="22">
          <cell r="A22" t="str">
            <v>LIBRE</v>
          </cell>
          <cell r="B22">
            <v>346426312964</v>
          </cell>
          <cell r="C22">
            <v>89424752158</v>
          </cell>
          <cell r="D22">
            <v>57976478833</v>
          </cell>
          <cell r="E22">
            <v>57813580559</v>
          </cell>
          <cell r="F22">
            <v>162898274</v>
          </cell>
          <cell r="G22">
            <v>199025081973</v>
          </cell>
        </row>
        <row r="23">
          <cell r="A23" t="str">
            <v>PIR</v>
          </cell>
          <cell r="B23">
            <v>435500000</v>
          </cell>
          <cell r="C23">
            <v>0</v>
          </cell>
          <cell r="D23">
            <v>234500000</v>
          </cell>
          <cell r="E23">
            <v>234500000</v>
          </cell>
          <cell r="F23">
            <v>0</v>
          </cell>
          <cell r="G23">
            <v>201000000</v>
          </cell>
        </row>
        <row r="24">
          <cell r="A24" t="str">
            <v>PV</v>
          </cell>
          <cell r="B24">
            <v>80603931959</v>
          </cell>
          <cell r="C24">
            <v>16140994536</v>
          </cell>
          <cell r="D24">
            <v>9168760783</v>
          </cell>
          <cell r="E24">
            <v>9168335107</v>
          </cell>
          <cell r="F24">
            <v>425676</v>
          </cell>
          <cell r="G24">
            <v>55294176640</v>
          </cell>
        </row>
        <row r="25">
          <cell r="A25" t="str">
            <v>RSD</v>
          </cell>
          <cell r="B25">
            <v>1553691000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1553691000</v>
          </cell>
        </row>
        <row r="26">
          <cell r="A26" t="str">
            <v>PMB</v>
          </cell>
          <cell r="B26">
            <v>907653441</v>
          </cell>
          <cell r="C26">
            <v>421356397</v>
          </cell>
          <cell r="D26">
            <v>388784757</v>
          </cell>
          <cell r="E26">
            <v>388784107</v>
          </cell>
          <cell r="F26">
            <v>650</v>
          </cell>
          <cell r="G26">
            <v>97512287</v>
          </cell>
        </row>
        <row r="27">
          <cell r="A27" t="str">
            <v>FDL</v>
          </cell>
          <cell r="B27">
            <v>2873634904</v>
          </cell>
          <cell r="C27">
            <v>0</v>
          </cell>
          <cell r="D27">
            <v>150730000</v>
          </cell>
          <cell r="E27">
            <v>150730000</v>
          </cell>
          <cell r="F27">
            <v>0</v>
          </cell>
          <cell r="G27">
            <v>2722904904</v>
          </cell>
        </row>
        <row r="28">
          <cell r="A28" t="str">
            <v>TOTAL</v>
          </cell>
          <cell r="B28">
            <v>450123283789</v>
          </cell>
          <cell r="C28">
            <v>110071066496</v>
          </cell>
          <cell r="D28">
            <v>78554844000</v>
          </cell>
          <cell r="E28">
            <v>78363117769</v>
          </cell>
          <cell r="F28">
            <v>191726231</v>
          </cell>
          <cell r="G28">
            <v>261497373293</v>
          </cell>
        </row>
        <row r="35">
          <cell r="A35">
            <v>22</v>
          </cell>
        </row>
        <row r="36">
          <cell r="A36">
            <v>24</v>
          </cell>
        </row>
        <row r="37">
          <cell r="A37">
            <v>29</v>
          </cell>
        </row>
        <row r="38">
          <cell r="A38">
            <v>31</v>
          </cell>
        </row>
        <row r="39">
          <cell r="A39">
            <v>33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gundo Alarcón Segovia" refreshedDate="44236.399142245369" createdVersion="4" refreshedVersion="4" minRefreshableVersion="3" recordCount="805">
  <cacheSource type="worksheet">
    <worksheetSource ref="A1:AL807" sheet="ESTADO SITUACION"/>
  </cacheSource>
  <cacheFields count="37">
    <cacheField name="PLAN" numFmtId="0">
      <sharedItems containsBlank="1"/>
    </cacheField>
    <cacheField name="SUBT." numFmtId="0">
      <sharedItems containsString="0" containsBlank="1" containsNumber="1" containsInteger="1" minValue="22" maxValue="33" count="6">
        <m/>
        <n v="31"/>
        <n v="33"/>
        <n v="29"/>
        <n v="22"/>
        <n v="24"/>
      </sharedItems>
    </cacheField>
    <cacheField name="Item" numFmtId="0">
      <sharedItems containsString="0" containsBlank="1" containsNumber="1" containsInteger="1" minValue="1" maxValue="1"/>
    </cacheField>
    <cacheField name="ITEM2" numFmtId="0">
      <sharedItems containsBlank="1"/>
    </cacheField>
    <cacheField name="ESTADO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SECTOR " numFmtId="0">
      <sharedItems containsBlank="1" count="14">
        <m/>
        <s v="TRANSPORTE"/>
        <s v="DEFENSA Y SEGURIDAD"/>
        <s v="EDUCACION Y CULTURA"/>
        <s v="DEPORTE"/>
        <s v="JUSTICIA"/>
        <s v="MULTISECTORIAL"/>
        <s v="VIVIENDA"/>
        <s v="AGUA POTABLE Y ALCANTARILLADO"/>
        <s v="SALUD"/>
        <s v="ENERGIA"/>
        <s v="INDUSTRIA, COMERCIO, FINANZAS Y TURISMO"/>
        <s v="SILVOAGROPECUARIO"/>
        <s v="PESCA"/>
      </sharedItems>
    </cacheField>
    <cacheField name="PROVINCIA" numFmtId="0">
      <sharedItems containsBlank="1" count="8">
        <m/>
        <s v="OSORNO"/>
        <s v="LLANQUIHUE"/>
        <s v="CHILOE"/>
        <s v="PALENA"/>
        <s v="REGIONAL"/>
        <s v="FOMENTO"/>
        <s v="PROGRAMAS" u="1"/>
      </sharedItems>
    </cacheField>
    <cacheField name="COMUNA" numFmtId="0">
      <sharedItems containsBlank="1" count="37">
        <m/>
        <s v="OSORNO"/>
        <s v="PTO. OCTAY"/>
        <s v="PURRANQUE"/>
        <s v="PUYEHUE"/>
        <s v="RIO NEGRO"/>
        <s v="SAN JUAN DE LA COSTA"/>
        <s v="SAN PABLO"/>
        <s v="PROV. OSORNO"/>
        <s v="P. MONTT"/>
        <s v="CALBUCO"/>
        <s v="COCHAMO"/>
        <s v="FRESIA"/>
        <s v="FRUTILLAR"/>
        <s v="LLANQUIHUE"/>
        <s v="LOS MUERMOS"/>
        <s v="MAULLIN"/>
        <s v="P.VARAS"/>
        <s v="PROV.LLANQUIHUE"/>
        <s v="ANCUD"/>
        <s v="CASTRO"/>
        <s v="CHONCHI"/>
        <s v="CURACO DE VÉLEZ"/>
        <s v="DALCAHUE"/>
        <s v="PUQUELDON"/>
        <s v="QUEILEN"/>
        <s v="QUELLON"/>
        <s v="QUEMCHI"/>
        <s v="QUINCHAO"/>
        <s v="PROV. CHILOE"/>
        <s v="CHAITEN"/>
        <s v="FUTALEUFU"/>
        <s v="HUALAIHUE"/>
        <s v="PALENA"/>
        <s v="PROV. PALENA"/>
        <s v="REGIONAL"/>
        <s v="FOMENTO"/>
      </sharedItems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 count="13">
        <m/>
        <s v="LIBRE"/>
        <s v="FRIL"/>
        <s v="FIE"/>
        <s v="RSD"/>
        <s v="FDL"/>
        <s v="SS"/>
        <s v="PV"/>
        <s v="ENERGIZACION"/>
        <s v="PIR"/>
        <s v="FAR"/>
        <s v="FIC"/>
        <s v="LIBRE " u="1"/>
      </sharedItems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7131"/>
    </cacheField>
    <cacheField name="ANALISTA PAO" numFmtId="0">
      <sharedItems containsBlank="1" containsMixedTypes="1" containsNumber="1" minValue="0.06" maxValue="0.06"/>
    </cacheField>
    <cacheField name="NOMBRE DEL PROYECTO" numFmtId="0">
      <sharedItems containsBlank="1"/>
    </cacheField>
    <cacheField name="OBS." numFmtId="0">
      <sharedItems containsBlank="1"/>
    </cacheField>
    <cacheField name="COSTO" numFmtId="0">
      <sharedItems containsString="0" containsBlank="1" containsNumber="1" containsInteger="1" minValue="9154000" maxValue="108446512764"/>
    </cacheField>
    <cacheField name="GASTO AÑOS ANTERIORES" numFmtId="0">
      <sharedItems containsBlank="1" containsMixedTypes="1" containsNumber="1" containsInteger="1" minValue="0" maxValue="33823234849"/>
    </cacheField>
    <cacheField name="COMPROMISO 2021" numFmtId="0">
      <sharedItems containsString="0" containsBlank="1" containsNumber="1" minValue="0" maxValue="22409803100.666634"/>
    </cacheField>
    <cacheField name="PAGOS AL 31/01/21" numFmtId="0">
      <sharedItems containsString="0" containsBlank="1" containsNumber="1" containsInteger="1" minValue="0" maxValue="3144418618"/>
    </cacheField>
    <cacheField name="DICIEMBRE" numFmtId="0">
      <sharedItems containsString="0" containsBlank="1" containsNumber="1" containsInteger="1" minValue="0" maxValue="0"/>
    </cacheField>
    <cacheField name="NOVIEMBRE" numFmtId="0">
      <sharedItems containsString="0" containsBlank="1" containsNumber="1" containsInteger="1" minValue="0" maxValue="0"/>
    </cacheField>
    <cacheField name="OCTUBRE" numFmtId="0">
      <sharedItems containsString="0" containsBlank="1" containsNumber="1" containsInteger="1" minValue="0" maxValue="0"/>
    </cacheField>
    <cacheField name="SEPTIEMBRE" numFmtId="0">
      <sharedItems containsString="0" containsBlank="1" containsNumber="1" containsInteger="1" minValue="0" maxValue="0"/>
    </cacheField>
    <cacheField name="AGOSTO" numFmtId="0">
      <sharedItems containsString="0" containsBlank="1" containsNumber="1" containsInteger="1" minValue="0" maxValue="0"/>
    </cacheField>
    <cacheField name="JULIO" numFmtId="0">
      <sharedItems containsString="0" containsBlank="1" containsNumber="1" containsInteger="1" minValue="0" maxValue="0"/>
    </cacheField>
    <cacheField name="JUNIO" numFmtId="0">
      <sharedItems containsString="0" containsBlank="1" containsNumber="1" containsInteger="1" minValue="0" maxValue="0"/>
    </cacheField>
    <cacheField name="MAYO" numFmtId="0">
      <sharedItems containsString="0" containsBlank="1" containsNumber="1" containsInteger="1" minValue="0" maxValue="0"/>
    </cacheField>
    <cacheField name="ABRIL" numFmtId="0">
      <sharedItems containsString="0" containsBlank="1" containsNumber="1" containsInteger="1" minValue="0" maxValue="0"/>
    </cacheField>
    <cacheField name="MARZO" numFmtId="0">
      <sharedItems containsString="0" containsBlank="1" containsNumber="1" containsInteger="1" minValue="0" maxValue="0"/>
    </cacheField>
    <cacheField name="FEBRERO" numFmtId="0">
      <sharedItems containsString="0" containsBlank="1" containsNumber="1" containsInteger="1" minValue="0" maxValue="0"/>
    </cacheField>
    <cacheField name="ENERO" numFmtId="0">
      <sharedItems containsString="0" containsBlank="1" containsNumber="1" containsInteger="1" minValue="0" maxValue="3144418618"/>
    </cacheField>
    <cacheField name="SALDO COMPROMISO" numFmtId="0">
      <sharedItems containsString="0" containsBlank="1" containsNumber="1" minValue="-817407180" maxValue="19265384482.666634"/>
    </cacheField>
    <cacheField name="PPTO FUTURO" numFmtId="0">
      <sharedItems containsString="0" containsBlank="1" containsNumber="1" minValue="0" maxValue="55081151582.333366"/>
    </cacheField>
    <cacheField name="RATE 2021" numFmtId="0">
      <sharedItems containsBlank="1"/>
    </cacheField>
    <cacheField name="SITUACION ACTU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5">
  <r>
    <m/>
    <x v="0"/>
    <m/>
    <m/>
    <m/>
    <m/>
    <m/>
    <x v="0"/>
    <x v="0"/>
    <x v="0"/>
    <m/>
    <x v="0"/>
    <m/>
    <m/>
    <m/>
    <s v="COMUNA DE OSORN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CONECTIVIDAD"/>
    <x v="1"/>
    <x v="1"/>
    <x v="1"/>
    <n v="1"/>
    <x v="1"/>
    <s v="EJECUCION"/>
    <n v="30043744"/>
    <s v="IGNACIO"/>
    <s v="MEJORAMIENTO AVENIDA REPUBLICA"/>
    <m/>
    <n v="7805646000"/>
    <n v="6570711562"/>
    <n v="673841603"/>
    <n v="0"/>
    <m/>
    <m/>
    <m/>
    <m/>
    <m/>
    <m/>
    <m/>
    <m/>
    <m/>
    <m/>
    <m/>
    <n v="0"/>
    <n v="673841603"/>
    <n v="561092835"/>
    <s v="RS(RE)"/>
    <s v="En Ejecución "/>
  </r>
  <r>
    <m/>
    <x v="1"/>
    <m/>
    <s v="PROYECTOS"/>
    <s v="A"/>
    <m/>
    <m/>
    <x v="2"/>
    <x v="1"/>
    <x v="1"/>
    <n v="1"/>
    <x v="1"/>
    <s v="EJECUCION"/>
    <n v="30165522"/>
    <s v="GLORIA"/>
    <s v="CONSERVACION Y EQUIP. EDIFI. CIAS. BOMBEROS 4TA;5TA Y CUARTEL GENERAL (C33)"/>
    <m/>
    <n v="820000000"/>
    <n v="704106657"/>
    <n v="115893343"/>
    <n v="0"/>
    <m/>
    <m/>
    <m/>
    <m/>
    <m/>
    <m/>
    <m/>
    <m/>
    <m/>
    <m/>
    <m/>
    <n v="0"/>
    <n v="115893343"/>
    <n v="0"/>
    <s v="RS*"/>
    <m/>
  </r>
  <r>
    <m/>
    <x v="1"/>
    <m/>
    <s v="PROYECTOS"/>
    <s v="A"/>
    <s v="URBANO"/>
    <s v="SOCIAL"/>
    <x v="3"/>
    <x v="1"/>
    <x v="1"/>
    <n v="1"/>
    <x v="1"/>
    <s v="EJECUCION"/>
    <n v="30070862"/>
    <s v="IGNACIO"/>
    <s v="REPOSICION LICEO CARMELA CARVAJAL DE PRAT, OSORNO."/>
    <m/>
    <n v="7370081000"/>
    <n v="1245597880"/>
    <n v="1547331739"/>
    <n v="1300000"/>
    <m/>
    <m/>
    <m/>
    <m/>
    <m/>
    <m/>
    <m/>
    <m/>
    <m/>
    <m/>
    <m/>
    <n v="1300000"/>
    <n v="1546031739"/>
    <n v="4577151381"/>
    <s v="RS"/>
    <s v="En Ejecución "/>
  </r>
  <r>
    <m/>
    <x v="1"/>
    <m/>
    <s v="PROYECTOS"/>
    <s v="A"/>
    <s v="URBANO"/>
    <s v="SOCIAL"/>
    <x v="3"/>
    <x v="1"/>
    <x v="1"/>
    <n v="1"/>
    <x v="1"/>
    <s v="EJECUCION"/>
    <n v="30134836"/>
    <s v="IGNACIO"/>
    <s v="REPOSICION ESCUELA RURAL WALTERIO MEYER RUSCA, AGUA BUENA, OSORNO"/>
    <m/>
    <n v="3295526000"/>
    <n v="1000146478"/>
    <n v="1100045175"/>
    <n v="0"/>
    <m/>
    <m/>
    <m/>
    <m/>
    <m/>
    <m/>
    <m/>
    <m/>
    <m/>
    <m/>
    <m/>
    <n v="0"/>
    <n v="1100045175"/>
    <n v="1195334347"/>
    <s v="RS"/>
    <s v="En Ejecución "/>
  </r>
  <r>
    <m/>
    <x v="1"/>
    <m/>
    <s v="PROYECTOS"/>
    <s v="A"/>
    <s v="URBANO"/>
    <s v="SOCIAL"/>
    <x v="4"/>
    <x v="1"/>
    <x v="1"/>
    <n v="1"/>
    <x v="1"/>
    <s v="EJECUCION"/>
    <n v="40004690"/>
    <s v="IGNACIO"/>
    <s v="MEJORAMIENTO INSTALACIONES ATLETICAS VILLA OLIMPICA, OSORNO"/>
    <m/>
    <n v="1127041000"/>
    <n v="232520067"/>
    <n v="538510046"/>
    <n v="0"/>
    <m/>
    <m/>
    <m/>
    <m/>
    <m/>
    <m/>
    <m/>
    <m/>
    <m/>
    <m/>
    <m/>
    <n v="0"/>
    <n v="538510046"/>
    <n v="356010887"/>
    <s v="RS"/>
    <s v="En Ejecución "/>
  </r>
  <r>
    <m/>
    <x v="1"/>
    <m/>
    <s v="PROYECTOS"/>
    <s v="A"/>
    <m/>
    <m/>
    <x v="5"/>
    <x v="1"/>
    <x v="1"/>
    <n v="1"/>
    <x v="1"/>
    <s v="DISEÑO"/>
    <n v="40015396"/>
    <m/>
    <s v="REPOSICION JUZGADOS DE POLICIA LOCAL"/>
    <m/>
    <n v="76160000"/>
    <n v="0"/>
    <n v="61160000"/>
    <n v="0"/>
    <m/>
    <m/>
    <m/>
    <m/>
    <m/>
    <m/>
    <m/>
    <m/>
    <m/>
    <m/>
    <m/>
    <n v="0"/>
    <n v="61160000"/>
    <n v="1500000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20494454000"/>
    <n v="9753082644"/>
    <n v="4036781906"/>
    <n v="1300000"/>
    <n v="0"/>
    <n v="0"/>
    <n v="0"/>
    <n v="0"/>
    <n v="0"/>
    <n v="0"/>
    <n v="0"/>
    <n v="0"/>
    <n v="0"/>
    <n v="0"/>
    <n v="0"/>
    <n v="1300000"/>
    <n v="4035481906"/>
    <n v="670458945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6"/>
    <x v="1"/>
    <x v="1"/>
    <n v="1"/>
    <x v="1"/>
    <s v="EJECUCION"/>
    <n v="30463800"/>
    <s v="GLORIA"/>
    <s v="REPOSICION HOSPEDERIA HOGAR DE CRISTO, OSORNO"/>
    <m/>
    <n v="4144186000"/>
    <n v="0"/>
    <n v="800645988.66666698"/>
    <n v="0"/>
    <m/>
    <m/>
    <m/>
    <m/>
    <m/>
    <m/>
    <m/>
    <m/>
    <m/>
    <m/>
    <m/>
    <n v="0"/>
    <n v="800645988.66666698"/>
    <n v="3343540011.333333"/>
    <s v="RS"/>
    <s v="En Licitación"/>
  </r>
  <r>
    <m/>
    <x v="1"/>
    <m/>
    <s v="PROYECTOS"/>
    <s v="L"/>
    <s v="URBANO"/>
    <s v="SOCIAL"/>
    <x v="7"/>
    <x v="1"/>
    <x v="1"/>
    <n v="1"/>
    <x v="1"/>
    <s v="EJECUCION"/>
    <n v="40019022"/>
    <s v="GLORIA"/>
    <s v="REPOSICION VEREDAS POBLACION ANGULO, COMUNA DE OSORNO"/>
    <m/>
    <n v="519400000"/>
    <n v="0"/>
    <n v="200970000"/>
    <n v="0"/>
    <m/>
    <m/>
    <m/>
    <m/>
    <m/>
    <m/>
    <m/>
    <m/>
    <m/>
    <m/>
    <m/>
    <n v="0"/>
    <n v="200970000"/>
    <n v="318430000"/>
    <s v="RS"/>
    <s v="Convenio en Tramite"/>
  </r>
  <r>
    <m/>
    <x v="0"/>
    <m/>
    <m/>
    <m/>
    <m/>
    <m/>
    <x v="0"/>
    <x v="0"/>
    <x v="0"/>
    <m/>
    <x v="0"/>
    <m/>
    <m/>
    <m/>
    <s v="TOTAL DE INICIATIVAS  LICITACION / ADJUDICACION"/>
    <m/>
    <n v="4663586000"/>
    <n v="0"/>
    <n v="1001615988.666667"/>
    <n v="0"/>
    <n v="0"/>
    <n v="0"/>
    <n v="0"/>
    <n v="0"/>
    <n v="0"/>
    <n v="0"/>
    <n v="0"/>
    <n v="0"/>
    <n v="0"/>
    <n v="0"/>
    <n v="0"/>
    <n v="0"/>
    <n v="1001615988.666667"/>
    <n v="3661970011.33333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7"/>
    <x v="1"/>
    <x v="1"/>
    <n v="1"/>
    <x v="1"/>
    <s v="EJECUCION"/>
    <n v="40019026"/>
    <s v="GLORIA"/>
    <s v="REPOSICION DE VEREDAS SECTOR NORTE, OSORNO"/>
    <m/>
    <n v="1815521000"/>
    <n v="0"/>
    <n v="200776050"/>
    <n v="0"/>
    <m/>
    <m/>
    <m/>
    <m/>
    <m/>
    <m/>
    <m/>
    <m/>
    <m/>
    <m/>
    <m/>
    <n v="0"/>
    <n v="200776050"/>
    <n v="1614744950"/>
    <s v="RS"/>
    <s v="Convenio en Tramite"/>
  </r>
  <r>
    <m/>
    <x v="1"/>
    <m/>
    <s v="PROYECTOS"/>
    <s v="N"/>
    <s v="URBANO"/>
    <s v="SOCIAL"/>
    <x v="3"/>
    <x v="1"/>
    <x v="1"/>
    <n v="1"/>
    <x v="1"/>
    <s v="DISEÑO"/>
    <n v="40016735"/>
    <m/>
    <s v="RESTAURACION CENTRO CULTURAL SOFIA HOTT, OSORNO"/>
    <m/>
    <n v="193804000"/>
    <n v="0"/>
    <n v="50690200"/>
    <n v="0"/>
    <m/>
    <m/>
    <m/>
    <m/>
    <m/>
    <m/>
    <m/>
    <m/>
    <m/>
    <m/>
    <m/>
    <n v="0"/>
    <n v="50690200"/>
    <n v="143113800"/>
    <s v="RS"/>
    <s v="Convenio en Tramite"/>
  </r>
  <r>
    <m/>
    <x v="1"/>
    <m/>
    <s v="PROYECTOS"/>
    <s v="N"/>
    <m/>
    <m/>
    <x v="8"/>
    <x v="1"/>
    <x v="1"/>
    <n v="1"/>
    <x v="1"/>
    <s v="EJECUCION"/>
    <n v="30257472"/>
    <s v="GLORIA"/>
    <s v="CONSTRUCCION RED DE ALCANTARILLADO Y PLANTA DE TRATAMIENTO SECTOR PICHIL, OSORNO"/>
    <m/>
    <n v="562400000"/>
    <n v="47479757"/>
    <n v="100000000"/>
    <n v="0"/>
    <m/>
    <m/>
    <m/>
    <m/>
    <m/>
    <m/>
    <m/>
    <m/>
    <m/>
    <m/>
    <m/>
    <n v="0"/>
    <n v="100000000"/>
    <n v="414920243"/>
    <s v="RS"/>
    <m/>
  </r>
  <r>
    <m/>
    <x v="1"/>
    <m/>
    <s v="PROYECTOS"/>
    <s v="N"/>
    <m/>
    <m/>
    <x v="2"/>
    <x v="1"/>
    <x v="1"/>
    <n v="1"/>
    <x v="1"/>
    <s v="EJECUCION"/>
    <n v="40008282"/>
    <m/>
    <s v="REPOSICION SEXTA COMPAÑIA DE BOMBEROS"/>
    <m/>
    <n v="988704000"/>
    <n v="0"/>
    <n v="300000000"/>
    <n v="0"/>
    <m/>
    <m/>
    <m/>
    <m/>
    <m/>
    <m/>
    <m/>
    <m/>
    <m/>
    <m/>
    <m/>
    <n v="0"/>
    <n v="300000000"/>
    <n v="688704000"/>
    <s v="RS"/>
    <s v="ARI"/>
  </r>
  <r>
    <m/>
    <x v="2"/>
    <m/>
    <s v="FRIL"/>
    <s v="N"/>
    <s v="URBANO"/>
    <s v="SOCIAL"/>
    <x v="6"/>
    <x v="1"/>
    <x v="1"/>
    <n v="1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s v="En Ejecución-ARRASTRE "/>
  </r>
  <r>
    <m/>
    <x v="0"/>
    <m/>
    <m/>
    <m/>
    <m/>
    <m/>
    <x v="0"/>
    <x v="0"/>
    <x v="0"/>
    <m/>
    <x v="0"/>
    <m/>
    <m/>
    <m/>
    <s v="TOTAL DE INICIATIVAS NUEVAS"/>
    <m/>
    <n v="3760429000"/>
    <n v="47479757"/>
    <n v="851466250"/>
    <n v="0"/>
    <n v="0"/>
    <n v="0"/>
    <n v="0"/>
    <n v="0"/>
    <n v="0"/>
    <n v="0"/>
    <n v="0"/>
    <n v="0"/>
    <n v="0"/>
    <n v="0"/>
    <n v="0"/>
    <n v="0"/>
    <n v="851466250"/>
    <n v="286148299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OSORNO"/>
    <m/>
    <n v="28918469000"/>
    <n v="9800562401"/>
    <n v="5889864144.666667"/>
    <n v="1300000"/>
    <n v="0"/>
    <n v="0"/>
    <n v="0"/>
    <n v="0"/>
    <n v="0"/>
    <n v="0"/>
    <n v="0"/>
    <n v="0"/>
    <n v="0"/>
    <n v="0"/>
    <n v="0"/>
    <n v="1300000"/>
    <n v="5888564144.666667"/>
    <n v="13228042454.33333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UERTO OCTAY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9"/>
    <x v="1"/>
    <x v="2"/>
    <n v="2"/>
    <x v="1"/>
    <s v="DISEÑO"/>
    <n v="30412923"/>
    <m/>
    <s v="CONSTRUCCION POSTA SALUD EL PONCHO"/>
    <m/>
    <n v="19780000"/>
    <n v="7512000"/>
    <n v="12268000"/>
    <n v="0"/>
    <m/>
    <m/>
    <m/>
    <m/>
    <m/>
    <m/>
    <m/>
    <m/>
    <m/>
    <m/>
    <m/>
    <n v="0"/>
    <n v="12268000"/>
    <n v="0"/>
    <s v="RS"/>
    <s v="En Liquidación"/>
  </r>
  <r>
    <m/>
    <x v="1"/>
    <m/>
    <s v="PROYECTOS"/>
    <s v="A"/>
    <s v="RURAL"/>
    <s v="SOCIAL"/>
    <x v="3"/>
    <x v="1"/>
    <x v="2"/>
    <n v="2"/>
    <x v="3"/>
    <s v="EJECUCION"/>
    <n v="30478036"/>
    <s v="GLORIA"/>
    <s v="REPOSICION ESCUELA RURAL EL ISLOTE RUPANCO, PUERTO OCTAY"/>
    <m/>
    <n v="1264238764"/>
    <n v="987598930"/>
    <n v="276639834"/>
    <n v="150000007"/>
    <m/>
    <m/>
    <m/>
    <m/>
    <m/>
    <m/>
    <m/>
    <m/>
    <m/>
    <m/>
    <m/>
    <n v="150000007"/>
    <n v="126639827"/>
    <n v="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1284018764"/>
    <n v="995110930"/>
    <n v="288907834"/>
    <n v="150000007"/>
    <n v="0"/>
    <n v="0"/>
    <n v="0"/>
    <n v="0"/>
    <n v="0"/>
    <n v="0"/>
    <n v="0"/>
    <n v="0"/>
    <n v="0"/>
    <n v="0"/>
    <n v="0"/>
    <n v="150000007"/>
    <n v="138907827"/>
    <n v="0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CONECTIVIDAD"/>
    <x v="1"/>
    <x v="1"/>
    <x v="2"/>
    <n v="2"/>
    <x v="1"/>
    <s v="EJECUCION"/>
    <n v="40013401"/>
    <s v="GLORIA"/>
    <s v="CONSERVACION CAMINOS NO ENROLADOS 6 SECTORES RURALES COMUNA DE PUERTO OCTAY (C33)"/>
    <m/>
    <n v="449112000"/>
    <n v="77420517"/>
    <n v="160543272"/>
    <n v="114277752"/>
    <m/>
    <m/>
    <m/>
    <m/>
    <m/>
    <m/>
    <m/>
    <m/>
    <m/>
    <m/>
    <m/>
    <n v="114277752"/>
    <n v="46265520"/>
    <n v="211148211"/>
    <s v="RS*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449112000"/>
    <n v="77420517"/>
    <n v="160543272"/>
    <n v="114277752"/>
    <n v="0"/>
    <n v="0"/>
    <n v="0"/>
    <n v="0"/>
    <n v="0"/>
    <n v="0"/>
    <n v="0"/>
    <n v="0"/>
    <n v="0"/>
    <n v="0"/>
    <n v="0"/>
    <n v="114277752"/>
    <n v="46265520"/>
    <n v="21114821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3"/>
    <m/>
    <s v="SUBT 29"/>
    <s v="N"/>
    <m/>
    <m/>
    <x v="6"/>
    <x v="1"/>
    <x v="2"/>
    <n v="2"/>
    <x v="1"/>
    <s v="EJECUCION"/>
    <n v="40018079"/>
    <m/>
    <s v="ADQUISICION CAMION MULTIPROPOSITO COMUNA DE PUERTO OCTAY (C33)"/>
    <m/>
    <n v="300000000"/>
    <n v="0"/>
    <n v="300000000"/>
    <n v="0"/>
    <m/>
    <m/>
    <m/>
    <m/>
    <m/>
    <m/>
    <m/>
    <m/>
    <m/>
    <m/>
    <m/>
    <n v="0"/>
    <n v="300000000"/>
    <n v="0"/>
    <s v="RS*"/>
    <m/>
  </r>
  <r>
    <m/>
    <x v="2"/>
    <m/>
    <s v="FRIL"/>
    <s v="N"/>
    <s v="URBANO"/>
    <s v="SOCIAL"/>
    <x v="6"/>
    <x v="1"/>
    <x v="2"/>
    <n v="2"/>
    <x v="2"/>
    <s v="EJECUCION"/>
    <s v="FRIL"/>
    <m/>
    <s v="FONDO REGIONAL DE INICIATIVAS LOCAL"/>
    <m/>
    <n v="200000000"/>
    <n v="0"/>
    <n v="200000000"/>
    <n v="66666202"/>
    <m/>
    <m/>
    <m/>
    <m/>
    <m/>
    <m/>
    <m/>
    <m/>
    <m/>
    <m/>
    <m/>
    <n v="66666202"/>
    <n v="133333798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500000000"/>
    <n v="0"/>
    <n v="500000000"/>
    <n v="66666202"/>
    <n v="0"/>
    <n v="0"/>
    <n v="0"/>
    <n v="0"/>
    <n v="0"/>
    <n v="0"/>
    <n v="0"/>
    <n v="0"/>
    <n v="0"/>
    <n v="0"/>
    <n v="0"/>
    <n v="66666202"/>
    <n v="433333798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UERTO OCTAY"/>
    <m/>
    <n v="2233130764"/>
    <n v="1072531447"/>
    <n v="949451106"/>
    <n v="330943961"/>
    <n v="0"/>
    <n v="0"/>
    <n v="0"/>
    <n v="0"/>
    <n v="0"/>
    <n v="0"/>
    <n v="0"/>
    <n v="0"/>
    <n v="0"/>
    <n v="0"/>
    <n v="0"/>
    <n v="330943961"/>
    <n v="618507145"/>
    <n v="21114821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URRANQUE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4"/>
    <x v="1"/>
    <x v="3"/>
    <n v="3"/>
    <x v="1"/>
    <s v="EJECUCION"/>
    <n v="30134930"/>
    <s v="GLORIA"/>
    <s v="CONSTRUCCION ESTADIO CORTE-ALTO, PURRANQUE"/>
    <m/>
    <n v="1004973000"/>
    <n v="917630386"/>
    <n v="87342614"/>
    <n v="0"/>
    <m/>
    <m/>
    <m/>
    <m/>
    <m/>
    <m/>
    <m/>
    <m/>
    <m/>
    <m/>
    <m/>
    <n v="0"/>
    <n v="87342614"/>
    <n v="0"/>
    <s v="RS"/>
    <s v="En Ejecución "/>
  </r>
  <r>
    <m/>
    <x v="1"/>
    <m/>
    <s v="PROYECTOS"/>
    <s v="A"/>
    <s v="RURAL"/>
    <s v="SOCIAL"/>
    <x v="9"/>
    <x v="1"/>
    <x v="3"/>
    <n v="3"/>
    <x v="1"/>
    <s v="DISEÑO"/>
    <n v="30171924"/>
    <s v="IGNACIO"/>
    <s v="REPOSICION POSTA RURAL COLONIA PONCE, PURRANQUE"/>
    <m/>
    <n v="16859700"/>
    <n v="16219730"/>
    <n v="639970"/>
    <n v="0"/>
    <m/>
    <m/>
    <m/>
    <m/>
    <m/>
    <m/>
    <m/>
    <m/>
    <m/>
    <m/>
    <m/>
    <n v="0"/>
    <n v="639970"/>
    <n v="0"/>
    <s v="RS"/>
    <s v="En Ejecución "/>
  </r>
  <r>
    <m/>
    <x v="1"/>
    <m/>
    <s v="PROYECTOS"/>
    <s v="A"/>
    <s v="RURAL"/>
    <s v="SOCIAL"/>
    <x v="9"/>
    <x v="1"/>
    <x v="3"/>
    <n v="3"/>
    <x v="1"/>
    <s v="DISEÑO"/>
    <n v="30171875"/>
    <s v="IGNACIO"/>
    <s v="REPOSICION POSTA SALUD RURAL COLIGUAL, PURRANQUE"/>
    <m/>
    <n v="25140000"/>
    <n v="4610000"/>
    <n v="17806000"/>
    <n v="0"/>
    <m/>
    <m/>
    <m/>
    <m/>
    <m/>
    <m/>
    <m/>
    <m/>
    <m/>
    <m/>
    <m/>
    <n v="0"/>
    <n v="17806000"/>
    <n v="2724000"/>
    <s v="RS"/>
    <s v="En Ejecución "/>
  </r>
  <r>
    <m/>
    <x v="1"/>
    <m/>
    <s v="PROYECTOS"/>
    <s v="A"/>
    <s v="RURAL"/>
    <s v="SOCIAL"/>
    <x v="9"/>
    <x v="1"/>
    <x v="3"/>
    <n v="3"/>
    <x v="1"/>
    <s v="DISEÑO"/>
    <n v="30171923"/>
    <s v="IGNACIO"/>
    <s v="REPOSICION POSTA DE SALUD RURAL HUEYUSCA, PURRANQUE"/>
    <m/>
    <n v="19500000"/>
    <n v="7800000"/>
    <n v="11700000"/>
    <n v="0"/>
    <m/>
    <m/>
    <m/>
    <m/>
    <m/>
    <m/>
    <m/>
    <m/>
    <m/>
    <m/>
    <m/>
    <n v="0"/>
    <n v="11700000"/>
    <n v="0"/>
    <s v="RS"/>
    <s v="En Ejecución "/>
  </r>
  <r>
    <m/>
    <x v="1"/>
    <m/>
    <s v="PROYECTOS"/>
    <s v="A"/>
    <m/>
    <m/>
    <x v="8"/>
    <x v="1"/>
    <x v="3"/>
    <n v="3"/>
    <x v="1"/>
    <s v="EJECUCION"/>
    <n v="30397335"/>
    <s v="GLORIA"/>
    <s v="CONSTRUCCION SERVICIO APR COLONIA PONCE, PURRANQUE"/>
    <m/>
    <n v="529939000"/>
    <n v="481879563"/>
    <n v="48059437"/>
    <n v="0"/>
    <m/>
    <m/>
    <m/>
    <m/>
    <m/>
    <m/>
    <m/>
    <m/>
    <m/>
    <m/>
    <m/>
    <n v="0"/>
    <n v="48059437"/>
    <n v="0"/>
    <s v="RS"/>
    <s v="En Ejecución-ARRASTRE "/>
  </r>
  <r>
    <m/>
    <x v="0"/>
    <m/>
    <m/>
    <m/>
    <m/>
    <m/>
    <x v="0"/>
    <x v="0"/>
    <x v="0"/>
    <m/>
    <x v="0"/>
    <m/>
    <m/>
    <m/>
    <s v="TOTAL DE INICIATIVAS EN EJECUCION / LIQUIDACION "/>
    <m/>
    <n v="1596411700"/>
    <n v="1428139679"/>
    <n v="165548021"/>
    <n v="0"/>
    <n v="0"/>
    <n v="0"/>
    <n v="0"/>
    <n v="0"/>
    <n v="0"/>
    <n v="0"/>
    <n v="0"/>
    <n v="0"/>
    <n v="0"/>
    <n v="0"/>
    <n v="0"/>
    <n v="0"/>
    <n v="165548021"/>
    <n v="2724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OCIAL"/>
    <x v="9"/>
    <x v="1"/>
    <x v="3"/>
    <n v="3"/>
    <x v="1"/>
    <s v="DISEÑO"/>
    <n v="30068433"/>
    <s v="IGNACIO"/>
    <s v="CONSTRUCCION POSTA RURAL MANQUEMAPU - PURRANQUE"/>
    <m/>
    <n v="20374000"/>
    <n v="0"/>
    <n v="13582666.66666667"/>
    <n v="0"/>
    <m/>
    <m/>
    <m/>
    <m/>
    <m/>
    <m/>
    <m/>
    <m/>
    <m/>
    <m/>
    <m/>
    <n v="0"/>
    <n v="13582666.66666667"/>
    <n v="6791333.3333333302"/>
    <s v="RS"/>
    <s v="En Licitación"/>
  </r>
  <r>
    <m/>
    <x v="1"/>
    <m/>
    <s v="PROYECTOS"/>
    <s v="L"/>
    <s v="RURAL"/>
    <s v="CONECTIVIDAD"/>
    <x v="1"/>
    <x v="1"/>
    <x v="3"/>
    <n v="3"/>
    <x v="1"/>
    <s v="EJECUCION"/>
    <n v="40019354"/>
    <m/>
    <s v="CONSERVACION CAMINOS NO ENROLADOS COLONIA PONCE (C33)"/>
    <m/>
    <n v="500000000"/>
    <n v="0"/>
    <n v="200000000"/>
    <n v="0"/>
    <m/>
    <m/>
    <m/>
    <m/>
    <m/>
    <m/>
    <m/>
    <m/>
    <m/>
    <m/>
    <m/>
    <n v="0"/>
    <n v="200000000"/>
    <n v="300000000"/>
    <s v="RS*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520374000"/>
    <n v="0"/>
    <n v="213582666.66666666"/>
    <n v="0"/>
    <n v="0"/>
    <n v="0"/>
    <n v="0"/>
    <n v="0"/>
    <n v="0"/>
    <n v="0"/>
    <n v="0"/>
    <n v="0"/>
    <n v="0"/>
    <n v="0"/>
    <n v="0"/>
    <n v="0"/>
    <n v="213582666.66666666"/>
    <n v="306791333.33333331"/>
    <m/>
    <s v="ARI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7"/>
    <x v="1"/>
    <x v="3"/>
    <n v="3"/>
    <x v="1"/>
    <s v="EJECUCION"/>
    <n v="40019095"/>
    <m/>
    <s v="CONSERVACION VEREDAS SECTOR CENTRO SUR (C33)"/>
    <m/>
    <n v="694291000"/>
    <n v="0"/>
    <n v="100714550"/>
    <n v="0"/>
    <m/>
    <m/>
    <m/>
    <m/>
    <m/>
    <m/>
    <m/>
    <m/>
    <m/>
    <m/>
    <m/>
    <n v="0"/>
    <n v="100714550"/>
    <n v="593576450"/>
    <s v="RS*"/>
    <s v="Convenio en Confección"/>
  </r>
  <r>
    <m/>
    <x v="1"/>
    <m/>
    <s v="PROYECTOS"/>
    <s v="N"/>
    <m/>
    <m/>
    <x v="1"/>
    <x v="1"/>
    <x v="3"/>
    <n v="3"/>
    <x v="1"/>
    <s v="EJECUCION"/>
    <n v="40013127"/>
    <m/>
    <s v="ANALISIS Y DESARROLLO PLAN MAESTRO GESTION DE TRANSITO PURRANQUE Y CORTE ALTO"/>
    <m/>
    <n v="135500000"/>
    <n v="0"/>
    <n v="40000000"/>
    <n v="0"/>
    <m/>
    <m/>
    <m/>
    <m/>
    <m/>
    <m/>
    <m/>
    <m/>
    <m/>
    <m/>
    <m/>
    <n v="0"/>
    <n v="40000000"/>
    <n v="95500000"/>
    <s v="RS"/>
    <s v="Convenio en Tramite"/>
  </r>
  <r>
    <m/>
    <x v="1"/>
    <m/>
    <s v="PROYECTOS"/>
    <s v="N"/>
    <m/>
    <m/>
    <x v="7"/>
    <x v="1"/>
    <x v="3"/>
    <n v="3"/>
    <x v="1"/>
    <s v="EJECUCION"/>
    <n v="40019355"/>
    <m/>
    <s v="CONSERVACION VEREDAS LOCALIDAD DE CORTE ALTO (C33)"/>
    <m/>
    <n v="625991000"/>
    <n v="0"/>
    <n v="200000000"/>
    <n v="0"/>
    <m/>
    <m/>
    <m/>
    <m/>
    <m/>
    <m/>
    <m/>
    <m/>
    <m/>
    <m/>
    <m/>
    <n v="0"/>
    <n v="200000000"/>
    <n v="425991000"/>
    <s v="RS*"/>
    <s v="ARI"/>
  </r>
  <r>
    <m/>
    <x v="3"/>
    <m/>
    <s v="SUBT 29"/>
    <s v="N"/>
    <m/>
    <m/>
    <x v="2"/>
    <x v="1"/>
    <x v="3"/>
    <n v="3"/>
    <x v="1"/>
    <s v="EJECUCION"/>
    <n v="40005408"/>
    <s v="GLORIA"/>
    <s v="REPOSICION DE LUMINARIAS Y EQUIPOS DEL ALUMBRADO PUBLICO, COMUNA DE PURRANQUE (C33)"/>
    <m/>
    <n v="516681732"/>
    <n v="0"/>
    <n v="200000000"/>
    <n v="0"/>
    <m/>
    <m/>
    <m/>
    <m/>
    <m/>
    <m/>
    <m/>
    <m/>
    <m/>
    <m/>
    <m/>
    <n v="0"/>
    <n v="200000000"/>
    <n v="316681732"/>
    <s v="RS*"/>
    <m/>
  </r>
  <r>
    <m/>
    <x v="3"/>
    <m/>
    <s v="SUBT 29"/>
    <s v="N"/>
    <m/>
    <m/>
    <x v="1"/>
    <x v="1"/>
    <x v="3"/>
    <n v="3"/>
    <x v="1"/>
    <s v="EJECUCION"/>
    <n v="40016563"/>
    <m/>
    <s v="REPOSICION RETROEXCAVADORA, COMUNA PURRANQUE (C33)"/>
    <m/>
    <n v="79000000"/>
    <n v="0"/>
    <n v="79000000"/>
    <n v="0"/>
    <m/>
    <m/>
    <m/>
    <m/>
    <m/>
    <m/>
    <m/>
    <m/>
    <m/>
    <m/>
    <m/>
    <n v="0"/>
    <n v="79000000"/>
    <n v="0"/>
    <s v="RS*"/>
    <m/>
  </r>
  <r>
    <m/>
    <x v="1"/>
    <m/>
    <s v="PROYECTOS"/>
    <s v="N"/>
    <m/>
    <m/>
    <x v="7"/>
    <x v="1"/>
    <x v="3"/>
    <n v="3"/>
    <x v="1"/>
    <s v="EJECUCION"/>
    <n v="40012751"/>
    <m/>
    <s v="MEJORAMIENTO ESPACIO PUBLICO 21 DE MAYO, PURRANQUE"/>
    <m/>
    <n v="4117790000"/>
    <n v="0"/>
    <n v="100000000"/>
    <n v="0"/>
    <m/>
    <m/>
    <m/>
    <m/>
    <m/>
    <m/>
    <m/>
    <m/>
    <m/>
    <m/>
    <m/>
    <n v="0"/>
    <n v="100000000"/>
    <n v="4017790000"/>
    <s v="RS"/>
    <m/>
  </r>
  <r>
    <m/>
    <x v="2"/>
    <m/>
    <s v="FRIL"/>
    <s v="N"/>
    <s v="URBANO"/>
    <s v="SOCIAL"/>
    <x v="6"/>
    <x v="1"/>
    <x v="3"/>
    <n v="3"/>
    <x v="2"/>
    <s v="EJECUCION"/>
    <s v="FRIL"/>
    <m/>
    <s v="FONDO REGIONAL DE INICIATIVAS LOCAL"/>
    <m/>
    <n v="200000000"/>
    <n v="0"/>
    <n v="200000000"/>
    <n v="25212039"/>
    <m/>
    <m/>
    <m/>
    <m/>
    <m/>
    <m/>
    <m/>
    <m/>
    <m/>
    <m/>
    <m/>
    <n v="25212039"/>
    <n v="174787961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6369253732"/>
    <n v="0"/>
    <n v="919714550"/>
    <n v="25212039"/>
    <n v="0"/>
    <n v="0"/>
    <n v="0"/>
    <n v="0"/>
    <n v="0"/>
    <n v="0"/>
    <n v="0"/>
    <n v="0"/>
    <n v="0"/>
    <n v="0"/>
    <n v="0"/>
    <n v="25212039"/>
    <n v="894502511"/>
    <n v="544953918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URRANQUE"/>
    <m/>
    <n v="8486039432"/>
    <n v="1428139679"/>
    <n v="1298845237.6666665"/>
    <n v="25212039"/>
    <n v="0"/>
    <n v="0"/>
    <n v="0"/>
    <n v="0"/>
    <n v="0"/>
    <n v="0"/>
    <n v="0"/>
    <n v="0"/>
    <n v="0"/>
    <n v="0"/>
    <n v="0"/>
    <n v="25212039"/>
    <n v="1273633198.6666665"/>
    <n v="5759054515.33333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UYEHUE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3"/>
    <x v="1"/>
    <x v="4"/>
    <n v="4"/>
    <x v="1"/>
    <s v="EJECUCION"/>
    <n v="30067012"/>
    <s v="IGNACIO"/>
    <s v="REPOSICION PARCIAL LICEO LAS AMERICAS ENTRE LAGOS"/>
    <m/>
    <n v="3101704930"/>
    <n v="3077979670"/>
    <n v="23725260"/>
    <n v="0"/>
    <m/>
    <m/>
    <m/>
    <m/>
    <m/>
    <m/>
    <m/>
    <m/>
    <m/>
    <m/>
    <m/>
    <n v="0"/>
    <n v="23725260"/>
    <n v="0"/>
    <s v="RS(IN)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3101704930"/>
    <n v="3077979670"/>
    <n v="23725260"/>
    <n v="0"/>
    <n v="0"/>
    <n v="0"/>
    <n v="0"/>
    <n v="0"/>
    <n v="0"/>
    <n v="0"/>
    <n v="0"/>
    <n v="0"/>
    <n v="0"/>
    <n v="0"/>
    <n v="0"/>
    <n v="0"/>
    <n v="23725260"/>
    <n v="0"/>
    <m/>
    <s v="En Ejecución-ARRASTRE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ALUD"/>
    <x v="9"/>
    <x v="1"/>
    <x v="4"/>
    <n v="4"/>
    <x v="1"/>
    <s v="DISEÑO"/>
    <n v="40007052"/>
    <s v="GLORIA"/>
    <s v="REPOSICION CECOSF EL ENCANTO, COMUNA DE PUYEHUE"/>
    <m/>
    <n v="26527000"/>
    <n v="15510000"/>
    <n v="11017000"/>
    <n v="0"/>
    <m/>
    <m/>
    <m/>
    <m/>
    <m/>
    <m/>
    <m/>
    <m/>
    <m/>
    <m/>
    <m/>
    <n v="0"/>
    <n v="11017000"/>
    <n v="0"/>
    <s v="RS"/>
    <s v="Licitación Cerrada (01.06.20)"/>
  </r>
  <r>
    <m/>
    <x v="0"/>
    <m/>
    <m/>
    <m/>
    <m/>
    <m/>
    <x v="0"/>
    <x v="0"/>
    <x v="0"/>
    <m/>
    <x v="0"/>
    <m/>
    <m/>
    <m/>
    <s v="TOTAL DE INICIATIVAS  LICITACION / ADJUDICACION"/>
    <m/>
    <n v="26527000"/>
    <n v="15510000"/>
    <n v="11017000"/>
    <n v="0"/>
    <n v="0"/>
    <n v="0"/>
    <n v="0"/>
    <n v="0"/>
    <n v="0"/>
    <n v="0"/>
    <n v="0"/>
    <n v="0"/>
    <n v="0"/>
    <n v="0"/>
    <n v="0"/>
    <n v="0"/>
    <n v="11017000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s v="ASC"/>
    <x v="1"/>
    <m/>
    <s v="PROYECTOS"/>
    <s v="N"/>
    <s v="RURAL"/>
    <s v="CONECTIVIDAD"/>
    <x v="1"/>
    <x v="1"/>
    <x v="4"/>
    <n v="4"/>
    <x v="1"/>
    <s v="EJECUCION"/>
    <n v="30359222"/>
    <m/>
    <s v="CONSERVACION CAMINOS NO ENROLADOS EN 7 SECTORES DE LA COMUNA DE PUYEHUE(C33)"/>
    <m/>
    <n v="378086000"/>
    <n v="0"/>
    <n v="135229349"/>
    <n v="0"/>
    <m/>
    <m/>
    <m/>
    <m/>
    <m/>
    <m/>
    <m/>
    <m/>
    <m/>
    <m/>
    <m/>
    <n v="0"/>
    <n v="135229349"/>
    <n v="242856651"/>
    <s v="RS*"/>
    <m/>
  </r>
  <r>
    <m/>
    <x v="3"/>
    <m/>
    <s v="SUBT 29"/>
    <s v="N"/>
    <m/>
    <m/>
    <x v="3"/>
    <x v="1"/>
    <x v="4"/>
    <n v="4"/>
    <x v="1"/>
    <s v="EJECUCION"/>
    <n v="40002959"/>
    <m/>
    <s v="ADQUISICION EQUIPAMIENTO CIENCIAS Y EXPERIMENTACION, LICEO LAS AMERICAS (C33)"/>
    <m/>
    <n v="296391000"/>
    <n v="0"/>
    <n v="106391000"/>
    <n v="0"/>
    <m/>
    <m/>
    <m/>
    <m/>
    <m/>
    <m/>
    <m/>
    <m/>
    <m/>
    <m/>
    <m/>
    <n v="0"/>
    <n v="106391000"/>
    <n v="190000000"/>
    <s v="RS*"/>
    <m/>
  </r>
  <r>
    <m/>
    <x v="3"/>
    <m/>
    <s v="SUBT 29"/>
    <s v="N"/>
    <m/>
    <m/>
    <x v="9"/>
    <x v="1"/>
    <x v="4"/>
    <n v="4"/>
    <x v="1"/>
    <s v="EJECUCION"/>
    <n v="40020898"/>
    <m/>
    <s v="ADQUISICION BUS PARA PACIENTES DIALIZADOS (C33)"/>
    <m/>
    <n v="66045000"/>
    <n v="0"/>
    <n v="66045000"/>
    <n v="0"/>
    <m/>
    <m/>
    <m/>
    <m/>
    <m/>
    <m/>
    <m/>
    <m/>
    <m/>
    <m/>
    <m/>
    <n v="0"/>
    <n v="66045000"/>
    <n v="0"/>
    <s v="RS*"/>
    <m/>
  </r>
  <r>
    <m/>
    <x v="1"/>
    <m/>
    <s v="PROYECTOS"/>
    <s v="N"/>
    <m/>
    <m/>
    <x v="8"/>
    <x v="1"/>
    <x v="4"/>
    <n v="4"/>
    <x v="1"/>
    <s v="EJECUCION"/>
    <n v="40018773"/>
    <m/>
    <s v="AMPLIACION SISTEMA AGUA POTABLE RURAL ÑADI PICHIDAMAS, PUYEHUE"/>
    <m/>
    <n v="365923000"/>
    <n v="0"/>
    <n v="22259230"/>
    <n v="0"/>
    <m/>
    <m/>
    <m/>
    <m/>
    <m/>
    <m/>
    <m/>
    <m/>
    <m/>
    <m/>
    <m/>
    <n v="0"/>
    <n v="22259230"/>
    <n v="343663770"/>
    <s v="RS"/>
    <m/>
  </r>
  <r>
    <m/>
    <x v="2"/>
    <m/>
    <s v="FRIL"/>
    <s v="N"/>
    <s v="URBANO"/>
    <s v="SOCIAL"/>
    <x v="6"/>
    <x v="1"/>
    <x v="4"/>
    <n v="4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306445000"/>
    <n v="0"/>
    <n v="529924579"/>
    <n v="0"/>
    <n v="0"/>
    <n v="0"/>
    <n v="0"/>
    <n v="0"/>
    <n v="0"/>
    <n v="0"/>
    <n v="0"/>
    <n v="0"/>
    <n v="0"/>
    <n v="0"/>
    <n v="0"/>
    <n v="0"/>
    <n v="529924579"/>
    <n v="77652042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UYEHUE"/>
    <m/>
    <n v="4434676930"/>
    <n v="3093489670"/>
    <n v="564666839"/>
    <n v="0"/>
    <n v="0"/>
    <n v="0"/>
    <n v="0"/>
    <n v="0"/>
    <n v="0"/>
    <n v="0"/>
    <n v="0"/>
    <n v="0"/>
    <n v="0"/>
    <n v="0"/>
    <n v="0"/>
    <n v="0"/>
    <n v="564666839"/>
    <n v="77652042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RIO NEGR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7"/>
    <x v="1"/>
    <x v="5"/>
    <n v="5"/>
    <x v="1"/>
    <s v="EJECUCION"/>
    <n v="30284622"/>
    <s v="GLORIA"/>
    <s v="REPOSICION PLAZA DE ARMAS RIO NEGRO"/>
    <m/>
    <n v="731185907"/>
    <n v="668131467"/>
    <n v="63054440"/>
    <n v="0"/>
    <m/>
    <m/>
    <m/>
    <m/>
    <m/>
    <m/>
    <m/>
    <m/>
    <m/>
    <m/>
    <m/>
    <n v="0"/>
    <n v="63054440"/>
    <n v="0"/>
    <s v="RS"/>
    <s v="En Ejecución "/>
  </r>
  <r>
    <m/>
    <x v="1"/>
    <m/>
    <s v="PROYECTOS"/>
    <s v="A"/>
    <s v="URBANO"/>
    <s v="SOCIAL"/>
    <x v="4"/>
    <x v="1"/>
    <x v="5"/>
    <n v="5"/>
    <x v="1"/>
    <s v="EJECUCION"/>
    <n v="30102235"/>
    <s v="IGNACIO"/>
    <s v="CONSERVACION GIMNASIO FISCAL RIO NEGRO (C33)"/>
    <m/>
    <n v="397780901"/>
    <n v="357639153"/>
    <n v="7000000"/>
    <n v="0"/>
    <m/>
    <m/>
    <m/>
    <m/>
    <m/>
    <m/>
    <m/>
    <m/>
    <m/>
    <m/>
    <m/>
    <n v="0"/>
    <n v="7000000"/>
    <n v="33141748"/>
    <s v="RS*"/>
    <s v="En Ejecución "/>
  </r>
  <r>
    <m/>
    <x v="1"/>
    <m/>
    <s v="PROYECTOS"/>
    <s v="A"/>
    <m/>
    <m/>
    <x v="3"/>
    <x v="1"/>
    <x v="5"/>
    <n v="5"/>
    <x v="1"/>
    <s v="DISEÑO"/>
    <n v="30088194"/>
    <s v="IGNACIO"/>
    <s v="REPOSICION ESCUELAS ANDREW JACKSON Y RIO NEGRO, COMUNA RIO NEGRO"/>
    <m/>
    <n v="175662361"/>
    <n v="154554067"/>
    <n v="21108294"/>
    <n v="16886636"/>
    <m/>
    <m/>
    <m/>
    <m/>
    <m/>
    <m/>
    <m/>
    <m/>
    <m/>
    <m/>
    <m/>
    <n v="16886636"/>
    <n v="4221658"/>
    <n v="0"/>
    <s v="RS"/>
    <s v="En Ejecución-LICITACION"/>
  </r>
  <r>
    <m/>
    <x v="0"/>
    <m/>
    <m/>
    <m/>
    <m/>
    <m/>
    <x v="0"/>
    <x v="0"/>
    <x v="0"/>
    <m/>
    <x v="0"/>
    <m/>
    <m/>
    <m/>
    <s v="TOTAL DE INICIATIVAS EN EJECUCION / LIQUIDACION "/>
    <m/>
    <n v="1304629169"/>
    <n v="1180324687"/>
    <n v="91162734"/>
    <n v="16886636"/>
    <n v="0"/>
    <n v="0"/>
    <n v="0"/>
    <n v="0"/>
    <n v="0"/>
    <n v="0"/>
    <n v="0"/>
    <n v="0"/>
    <n v="0"/>
    <n v="0"/>
    <n v="0"/>
    <n v="16886636"/>
    <n v="74276098"/>
    <n v="3314174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OCIAL"/>
    <x v="9"/>
    <x v="1"/>
    <x v="5"/>
    <n v="5"/>
    <x v="1"/>
    <s v="DISEÑO"/>
    <n v="40010103"/>
    <s v="GLORIA"/>
    <s v="CONSTRUCCION CECOSF CHIFIN"/>
    <m/>
    <n v="34340000"/>
    <n v="0"/>
    <n v="34340000"/>
    <n v="0"/>
    <m/>
    <m/>
    <m/>
    <m/>
    <m/>
    <m/>
    <m/>
    <m/>
    <m/>
    <m/>
    <m/>
    <n v="0"/>
    <n v="34340000"/>
    <n v="0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34340000"/>
    <n v="0"/>
    <n v="34340000"/>
    <n v="0"/>
    <n v="0"/>
    <n v="0"/>
    <n v="0"/>
    <n v="0"/>
    <n v="0"/>
    <n v="0"/>
    <n v="0"/>
    <n v="0"/>
    <n v="0"/>
    <n v="0"/>
    <n v="0"/>
    <n v="0"/>
    <n v="34340000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m/>
    <m/>
    <x v="9"/>
    <x v="1"/>
    <x v="5"/>
    <n v="5"/>
    <x v="1"/>
    <s v="DISEÑO"/>
    <n v="40008370"/>
    <m/>
    <s v="CONSTRUCCION POSTA DE SALUD RURAL COSTA RIO BLANCO"/>
    <m/>
    <n v="26204000"/>
    <n v="0"/>
    <n v="26204000"/>
    <n v="0"/>
    <m/>
    <m/>
    <m/>
    <m/>
    <m/>
    <m/>
    <m/>
    <m/>
    <m/>
    <m/>
    <m/>
    <n v="0"/>
    <n v="26204000"/>
    <n v="0"/>
    <s v="RS"/>
    <s v="ARI"/>
  </r>
  <r>
    <m/>
    <x v="3"/>
    <m/>
    <s v="SUBT 29"/>
    <s v="N"/>
    <m/>
    <m/>
    <x v="6"/>
    <x v="1"/>
    <x v="5"/>
    <n v="5"/>
    <x v="4"/>
    <s v="EJECUCION"/>
    <n v="40018072"/>
    <m/>
    <s v="REPOSICION DE CONTENEDORES (C33)"/>
    <m/>
    <n v="39198000"/>
    <n v="0"/>
    <n v="39198000"/>
    <n v="0"/>
    <m/>
    <m/>
    <m/>
    <m/>
    <m/>
    <m/>
    <m/>
    <m/>
    <m/>
    <m/>
    <m/>
    <n v="0"/>
    <n v="39198000"/>
    <n v="0"/>
    <s v="RS*"/>
    <m/>
  </r>
  <r>
    <s v="S"/>
    <x v="1"/>
    <m/>
    <s v="PROYECTOS"/>
    <s v="N"/>
    <m/>
    <m/>
    <x v="9"/>
    <x v="1"/>
    <x v="5"/>
    <n v="5"/>
    <x v="1"/>
    <s v="EJECUCION"/>
    <n v="30280673"/>
    <m/>
    <s v="CONSTRUCCION POSTA SALUD RURAL CHAN CHAN, RIO NEGRO"/>
    <m/>
    <n v="569080000"/>
    <n v="0"/>
    <n v="50000000"/>
    <n v="0"/>
    <m/>
    <m/>
    <m/>
    <m/>
    <m/>
    <m/>
    <m/>
    <m/>
    <m/>
    <m/>
    <m/>
    <n v="0"/>
    <n v="50000000"/>
    <n v="519080000"/>
    <s v="RS"/>
    <m/>
  </r>
  <r>
    <m/>
    <x v="2"/>
    <m/>
    <s v="FRIL"/>
    <s v="N"/>
    <s v="URBANO"/>
    <s v="SOCIAL"/>
    <x v="6"/>
    <x v="1"/>
    <x v="5"/>
    <n v="5"/>
    <x v="2"/>
    <s v="EJECUCION"/>
    <s v="FRIL"/>
    <m/>
    <s v="FONDO REGIONAL DE INICIATIVAS LOCAL"/>
    <m/>
    <n v="200000000"/>
    <n v="0"/>
    <n v="200000000"/>
    <n v="45055390"/>
    <m/>
    <m/>
    <m/>
    <m/>
    <m/>
    <m/>
    <m/>
    <m/>
    <m/>
    <m/>
    <m/>
    <n v="45055390"/>
    <n v="15494461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834482000"/>
    <n v="0"/>
    <n v="315402000"/>
    <n v="45055390"/>
    <n v="0"/>
    <n v="0"/>
    <n v="0"/>
    <n v="0"/>
    <n v="0"/>
    <n v="0"/>
    <n v="0"/>
    <n v="0"/>
    <n v="0"/>
    <n v="0"/>
    <n v="0"/>
    <n v="45055390"/>
    <n v="270346610"/>
    <n v="51908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RIO NEGRO"/>
    <m/>
    <n v="2173451169"/>
    <n v="1180324687"/>
    <n v="440904734"/>
    <n v="61942026"/>
    <n v="0"/>
    <n v="0"/>
    <n v="0"/>
    <n v="0"/>
    <n v="0"/>
    <n v="0"/>
    <n v="0"/>
    <n v="0"/>
    <n v="0"/>
    <n v="0"/>
    <n v="0"/>
    <n v="61942026"/>
    <n v="378962708"/>
    <n v="55222174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SAN JUAN DE LA COSTA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3"/>
    <x v="1"/>
    <x v="6"/>
    <n v="6"/>
    <x v="3"/>
    <s v="EJECUCION"/>
    <n v="30110580"/>
    <s v="IGNACIO"/>
    <s v="REPOSICION LICEO INTERNADO ANTULAFKEN PUAUCHO"/>
    <m/>
    <n v="3749709000"/>
    <n v="3204904217"/>
    <n v="342766000"/>
    <n v="0"/>
    <m/>
    <m/>
    <m/>
    <m/>
    <m/>
    <m/>
    <m/>
    <m/>
    <m/>
    <m/>
    <m/>
    <n v="0"/>
    <n v="342766000"/>
    <n v="202038783"/>
    <s v="RS"/>
    <s v="En Ejecución / Reevaluación"/>
  </r>
  <r>
    <s v="S"/>
    <x v="1"/>
    <m/>
    <s v="PROYECTOS"/>
    <s v="A"/>
    <s v="RURAL"/>
    <s v="SOCIAL"/>
    <x v="9"/>
    <x v="1"/>
    <x v="6"/>
    <n v="6"/>
    <x v="1"/>
    <s v="EJECUCION"/>
    <n v="30071878"/>
    <s v="GLORIA"/>
    <s v="REPOSICION CONSULTORIO DE SALUD RURAL BAHIA MANSA"/>
    <m/>
    <n v="2587228000"/>
    <n v="26644784"/>
    <n v="650360699"/>
    <n v="0"/>
    <m/>
    <m/>
    <m/>
    <m/>
    <m/>
    <m/>
    <m/>
    <m/>
    <m/>
    <m/>
    <m/>
    <n v="0"/>
    <n v="650360699"/>
    <n v="1910222517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6336937000"/>
    <n v="3231549001"/>
    <n v="993126699"/>
    <n v="0"/>
    <n v="0"/>
    <n v="0"/>
    <n v="0"/>
    <n v="0"/>
    <n v="0"/>
    <n v="0"/>
    <n v="0"/>
    <n v="0"/>
    <n v="0"/>
    <n v="0"/>
    <n v="0"/>
    <n v="0"/>
    <n v="993126699"/>
    <n v="2112261300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s v="S"/>
    <x v="1"/>
    <m/>
    <s v="PROYECTOS"/>
    <s v="N"/>
    <m/>
    <m/>
    <x v="9"/>
    <x v="1"/>
    <x v="6"/>
    <n v="6"/>
    <x v="1"/>
    <s v="EJECUCION"/>
    <n v="30291073"/>
    <m/>
    <s v="CONSTRUCCION POSTA DE SALUD RURAL PUCATRIHUE, SAN JUAN DE LA COSTA"/>
    <m/>
    <n v="588473000"/>
    <n v="0"/>
    <n v="50000000"/>
    <n v="0"/>
    <m/>
    <m/>
    <m/>
    <m/>
    <m/>
    <m/>
    <m/>
    <m/>
    <m/>
    <m/>
    <m/>
    <n v="0"/>
    <n v="50000000"/>
    <n v="538473000"/>
    <s v="RS"/>
    <m/>
  </r>
  <r>
    <m/>
    <x v="2"/>
    <m/>
    <s v="FRIL"/>
    <s v="N"/>
    <s v="URBANO"/>
    <s v="SOCIAL"/>
    <x v="6"/>
    <x v="1"/>
    <x v="6"/>
    <n v="6"/>
    <x v="2"/>
    <s v="EJECUCION"/>
    <s v="FRIL"/>
    <m/>
    <s v="FONDO REGIONAL DE INICIATIVAS LOCAL"/>
    <m/>
    <n v="200000000"/>
    <n v="0"/>
    <n v="200000000"/>
    <n v="15666931"/>
    <m/>
    <m/>
    <m/>
    <m/>
    <m/>
    <m/>
    <m/>
    <m/>
    <m/>
    <m/>
    <m/>
    <n v="15666931"/>
    <n v="184333069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788473000"/>
    <n v="0"/>
    <n v="250000000"/>
    <n v="15666931"/>
    <n v="0"/>
    <n v="0"/>
    <n v="0"/>
    <n v="0"/>
    <n v="0"/>
    <n v="0"/>
    <n v="0"/>
    <n v="0"/>
    <n v="0"/>
    <n v="0"/>
    <n v="0"/>
    <n v="15666931"/>
    <n v="234333069"/>
    <n v="538473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SAN JUAN DE LA COSTA"/>
    <m/>
    <n v="7125410000"/>
    <n v="3231549001"/>
    <n v="1243126699"/>
    <n v="15666931"/>
    <n v="0"/>
    <n v="0"/>
    <n v="0"/>
    <n v="0"/>
    <n v="0"/>
    <n v="0"/>
    <n v="0"/>
    <n v="0"/>
    <n v="0"/>
    <n v="0"/>
    <n v="0"/>
    <n v="15666931"/>
    <n v="1227459768"/>
    <n v="26507343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SAN PABL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"/>
    <x v="1"/>
    <m/>
    <s v="PROYECTOS"/>
    <s v="A"/>
    <m/>
    <m/>
    <x v="9"/>
    <x v="1"/>
    <x v="7"/>
    <n v="7"/>
    <x v="1"/>
    <s v="EJECUCION"/>
    <n v="30405773"/>
    <s v="GLORIA"/>
    <s v="REPOSICION POSTA RURAL LA POZA, COMUNA DE SAN PABLO"/>
    <m/>
    <n v="24900000"/>
    <n v="11729500"/>
    <n v="13170500"/>
    <n v="0"/>
    <m/>
    <m/>
    <m/>
    <m/>
    <m/>
    <m/>
    <m/>
    <m/>
    <m/>
    <m/>
    <m/>
    <n v="0"/>
    <n v="13170500"/>
    <n v="0"/>
    <s v="RS"/>
    <s v="En Ejecución-LICITACION"/>
  </r>
  <r>
    <m/>
    <x v="0"/>
    <m/>
    <m/>
    <m/>
    <m/>
    <m/>
    <x v="0"/>
    <x v="0"/>
    <x v="0"/>
    <m/>
    <x v="0"/>
    <m/>
    <m/>
    <m/>
    <s v="TOTAL DE INICIATIVAS EN EJECUCION / LIQUIDACION "/>
    <m/>
    <n v="24900000"/>
    <n v="11729500"/>
    <n v="13170500"/>
    <n v="0"/>
    <n v="0"/>
    <n v="0"/>
    <n v="0"/>
    <n v="0"/>
    <n v="0"/>
    <n v="0"/>
    <n v="0"/>
    <n v="0"/>
    <n v="0"/>
    <n v="0"/>
    <n v="0"/>
    <n v="0"/>
    <n v="13170500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CONECTIVIDAD"/>
    <x v="1"/>
    <x v="1"/>
    <x v="7"/>
    <n v="7"/>
    <x v="1"/>
    <s v="EJECUCION"/>
    <n v="30247072"/>
    <s v="GLORIA"/>
    <s v="MEJORAMIENTO ACCESO NORTE A SAN PABLO"/>
    <m/>
    <n v="3414573000"/>
    <n v="0"/>
    <n v="821482439"/>
    <n v="320554041"/>
    <m/>
    <m/>
    <m/>
    <m/>
    <m/>
    <m/>
    <m/>
    <m/>
    <m/>
    <m/>
    <m/>
    <n v="320554041"/>
    <n v="500928398"/>
    <n v="2593090561"/>
    <s v="RS"/>
    <s v="En Licitacion"/>
  </r>
  <r>
    <m/>
    <x v="0"/>
    <m/>
    <m/>
    <m/>
    <m/>
    <m/>
    <x v="0"/>
    <x v="0"/>
    <x v="0"/>
    <m/>
    <x v="0"/>
    <m/>
    <m/>
    <m/>
    <s v="TOTAL DE INICIATIVAS  LICITACION / ADJUDICACION"/>
    <m/>
    <n v="3414573000"/>
    <n v="0"/>
    <n v="821482439"/>
    <n v="320554041"/>
    <n v="0"/>
    <n v="0"/>
    <n v="0"/>
    <n v="0"/>
    <n v="0"/>
    <n v="0"/>
    <n v="0"/>
    <n v="0"/>
    <n v="0"/>
    <n v="0"/>
    <n v="0"/>
    <n v="320554041"/>
    <n v="500928398"/>
    <n v="259309056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2"/>
    <m/>
    <s v="FRIL"/>
    <s v="N"/>
    <s v="URBANO"/>
    <s v="SOCIAL"/>
    <x v="6"/>
    <x v="1"/>
    <x v="7"/>
    <n v="7"/>
    <x v="2"/>
    <s v="EJECUCION"/>
    <s v="FRIL"/>
    <m/>
    <s v="FONDO REGIONAL DE INICIATIVAS LOCAL"/>
    <m/>
    <n v="200000000"/>
    <n v="0"/>
    <n v="200000000"/>
    <n v="39784826"/>
    <m/>
    <m/>
    <m/>
    <m/>
    <m/>
    <m/>
    <m/>
    <m/>
    <m/>
    <m/>
    <m/>
    <n v="39784826"/>
    <n v="160215174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200000000"/>
    <n v="0"/>
    <n v="200000000"/>
    <n v="39784826"/>
    <n v="0"/>
    <n v="0"/>
    <n v="0"/>
    <n v="0"/>
    <n v="0"/>
    <n v="0"/>
    <n v="0"/>
    <n v="0"/>
    <n v="0"/>
    <n v="0"/>
    <n v="0"/>
    <n v="39784826"/>
    <n v="160215174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SAN PABLO"/>
    <m/>
    <n v="3639473000"/>
    <n v="11729500"/>
    <n v="1034652939"/>
    <n v="360338867"/>
    <n v="0"/>
    <n v="0"/>
    <n v="0"/>
    <n v="0"/>
    <n v="0"/>
    <n v="0"/>
    <n v="0"/>
    <n v="0"/>
    <n v="0"/>
    <n v="0"/>
    <n v="0"/>
    <n v="360338867"/>
    <n v="674314072"/>
    <n v="259309056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VINCIALES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6"/>
    <x v="1"/>
    <x v="8"/>
    <n v="8"/>
    <x v="1"/>
    <s v="EJECUCION"/>
    <n v="30086815"/>
    <s v="KARIN"/>
    <s v="CONSTRUCCION  RELLENO SANITARIO PROV. DE OSORNO"/>
    <m/>
    <n v="15318985549"/>
    <n v="4736606083"/>
    <n v="100000000"/>
    <n v="0"/>
    <m/>
    <m/>
    <m/>
    <m/>
    <m/>
    <m/>
    <m/>
    <m/>
    <m/>
    <m/>
    <m/>
    <n v="0"/>
    <n v="100000000"/>
    <n v="10482379466"/>
    <s v="RE"/>
    <s v="En Ejecución "/>
  </r>
  <r>
    <m/>
    <x v="1"/>
    <m/>
    <s v="PROYECTOS"/>
    <s v="A"/>
    <s v="RURAL"/>
    <s v="SOCIAL"/>
    <x v="2"/>
    <x v="1"/>
    <x v="8"/>
    <n v="8"/>
    <x v="1"/>
    <s v="EJECUCION"/>
    <n v="30087497"/>
    <s v="IGNACIO"/>
    <s v="REPOSICION CUARTEL POLICIAL PREFECTURA PROVINCIAL OSORNO"/>
    <m/>
    <n v="6809615000"/>
    <n v="5486962838"/>
    <n v="1284028450"/>
    <n v="973057335"/>
    <m/>
    <m/>
    <m/>
    <m/>
    <m/>
    <m/>
    <m/>
    <m/>
    <m/>
    <m/>
    <m/>
    <n v="973057335"/>
    <n v="310971115"/>
    <n v="38623712"/>
    <s v="RS"/>
    <s v="En Ejecución "/>
  </r>
  <r>
    <m/>
    <x v="1"/>
    <m/>
    <s v="PROYECTOS"/>
    <s v="A"/>
    <s v="URBANO"/>
    <s v="SOCIAL"/>
    <x v="9"/>
    <x v="1"/>
    <x v="8"/>
    <n v="8"/>
    <x v="1"/>
    <s v="EJECUCION"/>
    <n v="30158072"/>
    <s v="IGNACIO"/>
    <s v="MEJORAMIENTO HOSPITAL DE PTO OCTAY"/>
    <m/>
    <n v="1452174000"/>
    <n v="1344511915"/>
    <n v="0"/>
    <n v="0"/>
    <m/>
    <m/>
    <m/>
    <m/>
    <m/>
    <m/>
    <m/>
    <m/>
    <m/>
    <m/>
    <m/>
    <n v="0"/>
    <n v="0"/>
    <n v="107662085"/>
    <s v="RS"/>
    <s v="En Ejecución "/>
  </r>
  <r>
    <m/>
    <x v="1"/>
    <m/>
    <s v="PROYECTOS"/>
    <s v="A"/>
    <s v="RURAL"/>
    <s v="SOCIAL"/>
    <x v="1"/>
    <x v="1"/>
    <x v="8"/>
    <n v="8"/>
    <x v="1"/>
    <s v="EJECUCION"/>
    <n v="30448275"/>
    <s v="GLORIA"/>
    <s v="CONSERVACION CAMINOS VECINALES POR GLOSA 7, ETAPA 1, PROVINCIA OSORNO(C33)"/>
    <s v="* CERT. CORE 21 INCORPORA PPTO 2021"/>
    <n v="404079018"/>
    <n v="388107468"/>
    <n v="15971550"/>
    <n v="8621550"/>
    <m/>
    <m/>
    <m/>
    <m/>
    <m/>
    <m/>
    <m/>
    <m/>
    <m/>
    <m/>
    <m/>
    <n v="8621550"/>
    <n v="7350000"/>
    <n v="0"/>
    <s v="RS*"/>
    <s v="En Ejecución "/>
  </r>
  <r>
    <s v="S"/>
    <x v="1"/>
    <m/>
    <s v="PROYECTOS"/>
    <s v="A"/>
    <m/>
    <m/>
    <x v="6"/>
    <x v="1"/>
    <x v="8"/>
    <n v="8"/>
    <x v="1"/>
    <s v="EJECUCION"/>
    <n v="30126279"/>
    <s v="GLORIA"/>
    <s v="REPOSICION CENTRO COMUNITARIO SALUD MENTAL OSORNO"/>
    <m/>
    <n v="1947625000"/>
    <n v="1942600773"/>
    <n v="5024227"/>
    <n v="0"/>
    <m/>
    <m/>
    <m/>
    <m/>
    <m/>
    <m/>
    <m/>
    <m/>
    <m/>
    <m/>
    <m/>
    <n v="0"/>
    <n v="5024227"/>
    <n v="0"/>
    <s v="RS"/>
    <s v="En Liquidación"/>
  </r>
  <r>
    <s v="S"/>
    <x v="1"/>
    <m/>
    <s v="PROYECTOS"/>
    <s v="A"/>
    <s v="RURAL"/>
    <s v="SOCIAL"/>
    <x v="9"/>
    <x v="1"/>
    <x v="8"/>
    <n v="8"/>
    <x v="1"/>
    <s v="EJECUCION"/>
    <n v="30126943"/>
    <s v="GLORIA"/>
    <s v="MEJORAMIENTO HOSPITAL DE RIO NEGRO"/>
    <m/>
    <n v="3542559000"/>
    <n v="46836000"/>
    <n v="800995000"/>
    <n v="0"/>
    <m/>
    <m/>
    <m/>
    <m/>
    <m/>
    <m/>
    <m/>
    <m/>
    <m/>
    <m/>
    <m/>
    <n v="0"/>
    <n v="800995000"/>
    <n v="269472800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29475037567"/>
    <n v="13945625077"/>
    <n v="2206019227"/>
    <n v="981678885"/>
    <n v="0"/>
    <n v="0"/>
    <n v="0"/>
    <n v="0"/>
    <n v="0"/>
    <n v="0"/>
    <n v="0"/>
    <n v="0"/>
    <n v="0"/>
    <n v="0"/>
    <n v="0"/>
    <n v="981678885"/>
    <n v="1224340342"/>
    <n v="1332339326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s v="H"/>
    <x v="1"/>
    <n v="1"/>
    <s v="PROYECTOS"/>
    <s v="L"/>
    <s v="URBANO"/>
    <s v="AGUA POTABLE"/>
    <x v="7"/>
    <x v="1"/>
    <x v="8"/>
    <n v="8"/>
    <x v="1"/>
    <s v="PREFACTIBILIDAD"/>
    <n v="30376573"/>
    <s v="GLORIA "/>
    <s v="ACTUALIZACION PLAN MAESTRO DE AGUAS LLUVIAS DE OSORNO"/>
    <m/>
    <n v="402984000"/>
    <n v="49084"/>
    <n v="100921155"/>
    <n v="0"/>
    <m/>
    <m/>
    <m/>
    <m/>
    <m/>
    <m/>
    <m/>
    <m/>
    <m/>
    <m/>
    <m/>
    <n v="0"/>
    <n v="100921155"/>
    <n v="302013761"/>
    <s v="RS"/>
    <s v="En Licitación"/>
  </r>
  <r>
    <m/>
    <x v="1"/>
    <m/>
    <s v="PROYECTOS"/>
    <s v="L"/>
    <s v="URBANO"/>
    <s v="SOCIAL"/>
    <x v="7"/>
    <x v="1"/>
    <x v="8"/>
    <n v="8"/>
    <x v="1"/>
    <s v="EJECUCION"/>
    <n v="30123182"/>
    <s v="IGNACIO"/>
    <s v="CONSTRUCCION PARQUE HOTT  OSORNO"/>
    <m/>
    <n v="5579270000"/>
    <n v="0"/>
    <n v="1000026655.33333"/>
    <n v="0"/>
    <m/>
    <m/>
    <m/>
    <m/>
    <m/>
    <m/>
    <m/>
    <m/>
    <m/>
    <m/>
    <m/>
    <n v="0"/>
    <n v="1000026655.33333"/>
    <n v="4579243344.6666698"/>
    <s v="RS"/>
    <m/>
  </r>
  <r>
    <m/>
    <x v="1"/>
    <m/>
    <s v="PROYECTOS"/>
    <s v="L"/>
    <s v="URBANO"/>
    <s v="CONECTIVIDAD"/>
    <x v="1"/>
    <x v="1"/>
    <x v="8"/>
    <n v="8"/>
    <x v="1"/>
    <s v="EJECUCION"/>
    <n v="40015603"/>
    <s v="GLORIA "/>
    <s v="HABILITACION ESTRUCTURA MODULAR MAQUINA RX CF CARDENAL SAMORE, PUYEHUE"/>
    <m/>
    <n v="103016000"/>
    <n v="59234303"/>
    <n v="43781697"/>
    <n v="20997604"/>
    <m/>
    <m/>
    <m/>
    <m/>
    <m/>
    <m/>
    <m/>
    <m/>
    <m/>
    <m/>
    <m/>
    <n v="20997604"/>
    <n v="22784093"/>
    <n v="0"/>
    <s v="RS"/>
    <s v="Licitación Adjudicada"/>
  </r>
  <r>
    <m/>
    <x v="0"/>
    <m/>
    <m/>
    <m/>
    <m/>
    <m/>
    <x v="0"/>
    <x v="0"/>
    <x v="0"/>
    <m/>
    <x v="0"/>
    <m/>
    <m/>
    <m/>
    <s v="TOTAL DE INICIATIVAS  LICITACION / ADJUDICACION"/>
    <m/>
    <n v="6085270000"/>
    <n v="59283387"/>
    <n v="1144729507.3333302"/>
    <n v="20997604"/>
    <n v="0"/>
    <n v="0"/>
    <n v="0"/>
    <n v="0"/>
    <n v="0"/>
    <n v="0"/>
    <n v="0"/>
    <n v="0"/>
    <n v="0"/>
    <n v="0"/>
    <n v="0"/>
    <n v="20997604"/>
    <n v="1123731903.3333302"/>
    <n v="4881257105.6666698"/>
    <m/>
    <s v="Licitación Desierta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s v="S"/>
    <x v="1"/>
    <m/>
    <s v="PROYECTOS"/>
    <s v="N"/>
    <s v="URBANO"/>
    <s v="SOCIAL"/>
    <x v="9"/>
    <x v="1"/>
    <x v="8"/>
    <n v="8"/>
    <x v="1"/>
    <s v="EJECUCION"/>
    <n v="30402378"/>
    <m/>
    <s v="DIAGNOSTICO INFRAESTRUCTURA PSR DE LA RED ASISTENCIAL DE OSORNO"/>
    <m/>
    <n v="32260000"/>
    <n v="0"/>
    <n v="1613000"/>
    <n v="0"/>
    <m/>
    <m/>
    <m/>
    <m/>
    <m/>
    <m/>
    <m/>
    <m/>
    <m/>
    <m/>
    <m/>
    <n v="0"/>
    <n v="1613000"/>
    <n v="30647000"/>
    <s v="RS"/>
    <s v="Convenio en Confección"/>
  </r>
  <r>
    <m/>
    <x v="1"/>
    <m/>
    <s v="PROYECTOS"/>
    <s v="N"/>
    <s v="RURAL"/>
    <s v="CONECTIVIDAD"/>
    <x v="1"/>
    <x v="1"/>
    <x v="8"/>
    <n v="8"/>
    <x v="1"/>
    <s v="EJECUCION"/>
    <n v="30395473"/>
    <m/>
    <s v="CONSERVACION CAMINOS BASICOS,CAMINO U-925,CARRIL-MEDIALUNA PAMPAGRANDE (C33)"/>
    <m/>
    <n v="1688957000"/>
    <n v="0"/>
    <n v="500447850"/>
    <n v="0"/>
    <m/>
    <m/>
    <m/>
    <m/>
    <m/>
    <m/>
    <m/>
    <m/>
    <m/>
    <m/>
    <m/>
    <n v="0"/>
    <n v="500447850"/>
    <n v="1188509150"/>
    <s v="RS*"/>
    <s v="Convenio en Tramite"/>
  </r>
  <r>
    <m/>
    <x v="1"/>
    <m/>
    <s v="PROYECTOS"/>
    <s v="N"/>
    <m/>
    <m/>
    <x v="1"/>
    <x v="1"/>
    <x v="8"/>
    <n v="8"/>
    <x v="1"/>
    <s v="DISEÑO"/>
    <n v="30465788"/>
    <s v="GLORIA"/>
    <s v="AMPLIACION AERODROMO CAÑAL BAJO "/>
    <m/>
    <n v="329071800"/>
    <n v="0"/>
    <n v="50453590"/>
    <n v="0"/>
    <m/>
    <m/>
    <m/>
    <m/>
    <m/>
    <m/>
    <m/>
    <m/>
    <m/>
    <m/>
    <m/>
    <n v="0"/>
    <n v="50453590"/>
    <n v="278618210"/>
    <s v="RS"/>
    <s v="Convenio en Confección"/>
  </r>
  <r>
    <m/>
    <x v="1"/>
    <m/>
    <s v="PROYECTOS"/>
    <s v="N"/>
    <m/>
    <m/>
    <x v="9"/>
    <x v="1"/>
    <x v="8"/>
    <n v="8"/>
    <x v="1"/>
    <s v="EJECUCION"/>
    <n v="30324573"/>
    <m/>
    <s v="CONSTRUCCION CENTRO DE DESPACHO Y BASE SAMU"/>
    <m/>
    <n v="1496798000"/>
    <n v="0"/>
    <n v="300000000"/>
    <n v="0"/>
    <m/>
    <m/>
    <m/>
    <m/>
    <m/>
    <m/>
    <m/>
    <m/>
    <m/>
    <m/>
    <m/>
    <n v="0"/>
    <n v="300000000"/>
    <n v="1196798000"/>
    <s v="RS"/>
    <m/>
  </r>
  <r>
    <m/>
    <x v="3"/>
    <m/>
    <s v="SUBT 29"/>
    <s v="N"/>
    <s v="URBANO"/>
    <s v="SOCIAL"/>
    <x v="9"/>
    <x v="1"/>
    <x v="8"/>
    <n v="8"/>
    <x v="1"/>
    <s v="EJECUCION"/>
    <n v="40020224"/>
    <m/>
    <s v="ADQUISICION VEHICULO APOYO LOGISTICO SERVICIO DE SALUD OSORNO (C33)"/>
    <m/>
    <n v="52816000"/>
    <n v="0"/>
    <n v="52816000"/>
    <n v="0"/>
    <m/>
    <m/>
    <m/>
    <m/>
    <m/>
    <m/>
    <m/>
    <m/>
    <m/>
    <m/>
    <m/>
    <n v="0"/>
    <n v="52816000"/>
    <n v="0"/>
    <s v="RS*"/>
    <s v="ARI"/>
  </r>
  <r>
    <m/>
    <x v="0"/>
    <m/>
    <m/>
    <m/>
    <m/>
    <m/>
    <x v="0"/>
    <x v="0"/>
    <x v="0"/>
    <m/>
    <x v="0"/>
    <m/>
    <m/>
    <m/>
    <s v="TOTAL DE INICIATIVAS NUEVAS"/>
    <m/>
    <n v="3599902800"/>
    <n v="0"/>
    <n v="905330440"/>
    <n v="0"/>
    <n v="0"/>
    <n v="0"/>
    <n v="0"/>
    <n v="0"/>
    <n v="0"/>
    <n v="0"/>
    <n v="0"/>
    <n v="0"/>
    <n v="0"/>
    <n v="0"/>
    <n v="0"/>
    <n v="0"/>
    <n v="905330440"/>
    <n v="269457236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PROVINCIALES"/>
    <m/>
    <n v="39160210367"/>
    <n v="14004908464"/>
    <n v="4256079174.3333302"/>
    <n v="1002676489"/>
    <n v="0"/>
    <n v="0"/>
    <n v="0"/>
    <n v="0"/>
    <n v="0"/>
    <n v="0"/>
    <n v="0"/>
    <n v="0"/>
    <n v="0"/>
    <n v="0"/>
    <n v="0"/>
    <n v="1002676489"/>
    <n v="3253402685.3333302"/>
    <n v="20899222728.66667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PROVINCIA DE OSORNO"/>
    <m/>
    <n v="96170860662"/>
    <n v="33823234849"/>
    <n v="15677590873.666664"/>
    <n v="1798080313"/>
    <n v="0"/>
    <n v="0"/>
    <n v="0"/>
    <n v="0"/>
    <n v="0"/>
    <n v="0"/>
    <n v="0"/>
    <n v="0"/>
    <n v="0"/>
    <n v="0"/>
    <n v="0"/>
    <n v="1798080313"/>
    <n v="13879510560.666664"/>
    <n v="46670034939.33333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UERTO MONTT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CONECTIVIDAD"/>
    <x v="1"/>
    <x v="2"/>
    <x v="9"/>
    <n v="9"/>
    <x v="1"/>
    <s v="EJECUCION"/>
    <n v="30080460"/>
    <s v="KARIN"/>
    <s v="CONSTRUCCION PUENTE EL SARGAZO DE PTO MONTT"/>
    <m/>
    <n v="394331499"/>
    <n v="357098349"/>
    <n v="37233150"/>
    <n v="0"/>
    <m/>
    <m/>
    <m/>
    <m/>
    <m/>
    <m/>
    <m/>
    <m/>
    <m/>
    <m/>
    <m/>
    <n v="0"/>
    <n v="37233150"/>
    <n v="0"/>
    <s v="RS"/>
    <s v="En Ejecución "/>
  </r>
  <r>
    <m/>
    <x v="1"/>
    <m/>
    <s v="PROYECTOS"/>
    <s v="A"/>
    <s v="URBANO"/>
    <s v="SOCIAL"/>
    <x v="6"/>
    <x v="2"/>
    <x v="9"/>
    <n v="9"/>
    <x v="1"/>
    <s v="EJECUCION"/>
    <n v="30104476"/>
    <s v="KARIN"/>
    <s v="CONSTRUCCION CIERRE VERTEDERO MUNICIPAL COMUNA DE PUERTO MONTT"/>
    <m/>
    <n v="1111238000"/>
    <n v="234779699"/>
    <n v="400000000"/>
    <n v="40060970"/>
    <m/>
    <m/>
    <m/>
    <m/>
    <m/>
    <m/>
    <m/>
    <m/>
    <m/>
    <m/>
    <m/>
    <n v="40060970"/>
    <n v="359939030"/>
    <n v="476458301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1505569499"/>
    <n v="591878048"/>
    <n v="437233150"/>
    <n v="40060970"/>
    <n v="0"/>
    <n v="0"/>
    <n v="0"/>
    <n v="0"/>
    <n v="0"/>
    <n v="0"/>
    <n v="0"/>
    <n v="0"/>
    <n v="0"/>
    <n v="0"/>
    <n v="0"/>
    <n v="40060970"/>
    <n v="397172180"/>
    <n v="476458301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OCIAL"/>
    <x v="9"/>
    <x v="2"/>
    <x v="9"/>
    <n v="9"/>
    <x v="1"/>
    <s v="DISEÑO"/>
    <n v="30080922"/>
    <s v="KARIN"/>
    <s v="REPOSICION POSTA DE SALUD RURAL DE HUELMO"/>
    <m/>
    <n v="23524000"/>
    <n v="5964000"/>
    <n v="10000000"/>
    <n v="0"/>
    <m/>
    <m/>
    <m/>
    <m/>
    <m/>
    <m/>
    <m/>
    <m/>
    <m/>
    <m/>
    <m/>
    <n v="0"/>
    <n v="10000000"/>
    <n v="7560000"/>
    <s v="RS"/>
    <s v="Licitación Adjudicada"/>
  </r>
  <r>
    <m/>
    <x v="1"/>
    <m/>
    <s v="PROYECTOS"/>
    <s v="L"/>
    <s v="RURAL"/>
    <s v="SOCIAL"/>
    <x v="9"/>
    <x v="2"/>
    <x v="9"/>
    <n v="9"/>
    <x v="1"/>
    <s v="DISEÑO"/>
    <n v="30080921"/>
    <s v="KARIN"/>
    <s v="REPOSICION POSTA  RURAL DE PIEDRA  AZUL, PUERTO MONTT"/>
    <m/>
    <n v="22645000"/>
    <n v="0"/>
    <n v="10000000"/>
    <n v="6150000"/>
    <m/>
    <m/>
    <m/>
    <m/>
    <m/>
    <m/>
    <m/>
    <m/>
    <m/>
    <m/>
    <m/>
    <n v="6150000"/>
    <n v="3850000"/>
    <n v="12645000"/>
    <s v="RS"/>
    <s v="Licitación Adjudicada"/>
  </r>
  <r>
    <m/>
    <x v="1"/>
    <m/>
    <s v="PROYECTOS"/>
    <s v="L"/>
    <s v="RURAL"/>
    <s v="SOCIAL"/>
    <x v="9"/>
    <x v="2"/>
    <x v="9"/>
    <n v="9"/>
    <x v="1"/>
    <s v="DISEÑO"/>
    <n v="30270222"/>
    <s v="KARIN"/>
    <s v="REPOSICION POSTA DE SALUD RURAL DE CORRENTOSO"/>
    <m/>
    <n v="22000000"/>
    <n v="5964000"/>
    <n v="10000000"/>
    <n v="0"/>
    <m/>
    <m/>
    <m/>
    <m/>
    <m/>
    <m/>
    <m/>
    <m/>
    <m/>
    <m/>
    <m/>
    <n v="0"/>
    <n v="10000000"/>
    <n v="6036000"/>
    <s v="RS"/>
    <s v="Licitación Adjudicada"/>
  </r>
  <r>
    <m/>
    <x v="1"/>
    <m/>
    <s v="PROYECTOS"/>
    <s v="L"/>
    <s v="URBANO"/>
    <s v="ALCANTARILLADO"/>
    <x v="8"/>
    <x v="2"/>
    <x v="9"/>
    <n v="9"/>
    <x v="1"/>
    <s v="EJECUCION"/>
    <n v="30429872"/>
    <s v="PAULINA"/>
    <s v="CONSTRUCCION REDES AGUA POTABLE Y ALC. VILLA LOS PINOS ALTOS"/>
    <m/>
    <n v="445639000"/>
    <n v="0"/>
    <n v="250546333.33333299"/>
    <n v="0"/>
    <m/>
    <m/>
    <m/>
    <m/>
    <m/>
    <m/>
    <m/>
    <m/>
    <m/>
    <m/>
    <m/>
    <n v="0"/>
    <n v="250546333.33333299"/>
    <n v="195092666.66666701"/>
    <s v="RS"/>
    <s v="En Licitación"/>
  </r>
  <r>
    <m/>
    <x v="1"/>
    <m/>
    <s v="PROYECTOS"/>
    <s v="L"/>
    <s v="URBANO"/>
    <s v="SOCIAL"/>
    <x v="3"/>
    <x v="2"/>
    <x v="9"/>
    <n v="9"/>
    <x v="1"/>
    <s v="EJECUCION"/>
    <n v="30077490"/>
    <s v="PAULINA"/>
    <s v="CONSERVACION CASA PAULY PUERTO MONTT"/>
    <s v="* CERT. CORE 15 AUMENTA PPTO."/>
    <n v="2686063000"/>
    <n v="1007486"/>
    <n v="300695500"/>
    <n v="0"/>
    <m/>
    <m/>
    <m/>
    <m/>
    <m/>
    <m/>
    <m/>
    <m/>
    <m/>
    <m/>
    <m/>
    <n v="0"/>
    <n v="300695500"/>
    <n v="2384360014"/>
    <s v="RS"/>
    <s v="En Licitación"/>
  </r>
  <r>
    <m/>
    <x v="1"/>
    <m/>
    <s v="PROYECTOS"/>
    <s v="L"/>
    <s v="URBANO"/>
    <s v="SOCIAL"/>
    <x v="2"/>
    <x v="2"/>
    <x v="9"/>
    <n v="9"/>
    <x v="1"/>
    <s v="EJECUCION"/>
    <n v="30115395"/>
    <s v="PAULINA"/>
    <s v="CONSTRUCCION CUARTEL OCTAVA COMPAÑIA DE BOMBEROS, PUERTO MONTT"/>
    <m/>
    <n v="929015000"/>
    <n v="0"/>
    <n v="300671666.66666698"/>
    <n v="0"/>
    <m/>
    <m/>
    <m/>
    <m/>
    <m/>
    <m/>
    <m/>
    <m/>
    <m/>
    <m/>
    <m/>
    <n v="0"/>
    <n v="300671666.66666698"/>
    <n v="628343333.33333302"/>
    <s v="RS"/>
    <s v="En Licitación"/>
  </r>
  <r>
    <m/>
    <x v="1"/>
    <m/>
    <s v="PROYECTOS"/>
    <s v="L"/>
    <s v="URBANO"/>
    <s v="CONECTIVIDAD"/>
    <x v="7"/>
    <x v="2"/>
    <x v="9"/>
    <n v="9"/>
    <x v="1"/>
    <s v="EJECUCION"/>
    <n v="40012877"/>
    <s v="KARIN"/>
    <s v="MEJORAMIENTO CALLE ESPAÑA ENTRE CALLE QUEPE Y AVDA. JUAN SOLER MANFREDINI"/>
    <m/>
    <n v="525598000"/>
    <n v="0"/>
    <n v="300199333.33333302"/>
    <n v="0"/>
    <m/>
    <m/>
    <m/>
    <m/>
    <m/>
    <m/>
    <m/>
    <m/>
    <m/>
    <m/>
    <m/>
    <n v="0"/>
    <n v="300199333.33333302"/>
    <n v="225398666.66666698"/>
    <s v="RS"/>
    <s v="En Licitación"/>
  </r>
  <r>
    <m/>
    <x v="1"/>
    <m/>
    <s v="PROYECTOS"/>
    <s v="L"/>
    <s v="URBANO"/>
    <s v="SOCIAL"/>
    <x v="7"/>
    <x v="2"/>
    <x v="9"/>
    <n v="9"/>
    <x v="1"/>
    <s v="EJECUCION"/>
    <n v="30072731"/>
    <s v="PAULINA"/>
    <s v="MEJORAMIENTO CALLE ANTONIO VARAS, PUERTO MONTT"/>
    <m/>
    <n v="8304377035"/>
    <n v="4050000"/>
    <n v="1289297716.3333001"/>
    <n v="0"/>
    <m/>
    <m/>
    <m/>
    <m/>
    <m/>
    <m/>
    <m/>
    <m/>
    <m/>
    <m/>
    <m/>
    <n v="0"/>
    <n v="1289297716.3333001"/>
    <n v="7011029318.6667004"/>
    <s v="RS"/>
    <s v="En Ejecución "/>
  </r>
  <r>
    <m/>
    <x v="0"/>
    <m/>
    <m/>
    <m/>
    <m/>
    <m/>
    <x v="0"/>
    <x v="0"/>
    <x v="0"/>
    <m/>
    <x v="0"/>
    <m/>
    <m/>
    <m/>
    <s v="TOTAL DE INICIATIVAS  LICITACION / ADJUDICACION"/>
    <m/>
    <n v="12958861035"/>
    <n v="16985486"/>
    <n v="2471410549.6666331"/>
    <n v="6150000"/>
    <n v="0"/>
    <n v="0"/>
    <n v="0"/>
    <n v="0"/>
    <n v="0"/>
    <n v="0"/>
    <n v="0"/>
    <n v="0"/>
    <n v="0"/>
    <n v="0"/>
    <n v="0"/>
    <n v="6150000"/>
    <n v="2465260549.6666331"/>
    <n v="10470464999.33336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m/>
    <m/>
    <x v="3"/>
    <x v="2"/>
    <x v="9"/>
    <n v="9"/>
    <x v="4"/>
    <s v="EJECUCION"/>
    <n v="30106468"/>
    <m/>
    <s v="REPOSICION ESCUELA RURAL LAGUNITAS"/>
    <m/>
    <n v="5496302000"/>
    <n v="0"/>
    <n v="300000000"/>
    <n v="0"/>
    <m/>
    <m/>
    <m/>
    <m/>
    <m/>
    <m/>
    <m/>
    <m/>
    <m/>
    <m/>
    <m/>
    <n v="0"/>
    <n v="300000000"/>
    <n v="5196302000"/>
    <s v="RS"/>
    <s v="Convenio en Confección"/>
  </r>
  <r>
    <m/>
    <x v="2"/>
    <m/>
    <s v="FRIL"/>
    <s v="N"/>
    <s v="URBANO"/>
    <s v="SOCIAL"/>
    <x v="6"/>
    <x v="2"/>
    <x v="9"/>
    <n v="9"/>
    <x v="2"/>
    <s v="EJECUCION"/>
    <s v="FRIL"/>
    <m/>
    <s v="FONDO REGIONAL DE INICIATIVAS LOCAL"/>
    <m/>
    <n v="200000000"/>
    <n v="0"/>
    <n v="200000000"/>
    <n v="8927484"/>
    <m/>
    <m/>
    <m/>
    <m/>
    <m/>
    <m/>
    <m/>
    <m/>
    <m/>
    <m/>
    <m/>
    <n v="8927484"/>
    <n v="191072516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5696302000"/>
    <n v="0"/>
    <n v="500000000"/>
    <n v="8927484"/>
    <n v="0"/>
    <n v="0"/>
    <n v="0"/>
    <n v="0"/>
    <n v="0"/>
    <n v="0"/>
    <n v="0"/>
    <n v="0"/>
    <n v="0"/>
    <n v="0"/>
    <n v="0"/>
    <n v="8927484"/>
    <n v="491072516"/>
    <n v="5196302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. MONTT"/>
    <m/>
    <n v="20160732534"/>
    <n v="608863534"/>
    <n v="3408643699.6666331"/>
    <n v="55138454"/>
    <n v="0"/>
    <n v="0"/>
    <n v="0"/>
    <n v="0"/>
    <n v="0"/>
    <n v="0"/>
    <n v="0"/>
    <n v="0"/>
    <n v="0"/>
    <n v="0"/>
    <n v="0"/>
    <n v="55138454"/>
    <n v="3353505245.6666331"/>
    <n v="16143225300.33336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CALBUC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6"/>
    <x v="2"/>
    <x v="10"/>
    <n v="10"/>
    <x v="1"/>
    <s v="EJECUCION"/>
    <n v="30087299"/>
    <s v="PAULINA"/>
    <s v="CONSTRUCCION CEMENTERIO MUNICIPAL DE CALBUCO"/>
    <s v="* CERT. CORE 18 INCORPORA PPTO 2021"/>
    <n v="1289233892"/>
    <n v="1207370892"/>
    <n v="81863000"/>
    <n v="0"/>
    <m/>
    <m/>
    <m/>
    <m/>
    <m/>
    <m/>
    <m/>
    <m/>
    <m/>
    <m/>
    <m/>
    <n v="0"/>
    <n v="81863000"/>
    <n v="0"/>
    <s v="RS"/>
    <s v="En Ejecución "/>
  </r>
  <r>
    <m/>
    <x v="1"/>
    <m/>
    <s v="PROYECTOS"/>
    <s v="A"/>
    <s v="URBANO"/>
    <s v="SOCIAL"/>
    <x v="3"/>
    <x v="2"/>
    <x v="10"/>
    <n v="10"/>
    <x v="1"/>
    <s v="EJECUCION"/>
    <n v="20086686"/>
    <s v="PAULINA"/>
    <s v="REPOSICION PARCIAL LICEO POLITECNICO DE CALBUCO"/>
    <m/>
    <n v="9889982000"/>
    <n v="169015232"/>
    <n v="1718137000"/>
    <n v="0"/>
    <m/>
    <m/>
    <m/>
    <m/>
    <m/>
    <m/>
    <m/>
    <m/>
    <m/>
    <m/>
    <m/>
    <n v="0"/>
    <n v="1718137000"/>
    <n v="8002829768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11179215892"/>
    <n v="1376386124"/>
    <n v="1800000000"/>
    <n v="0"/>
    <n v="0"/>
    <n v="0"/>
    <n v="0"/>
    <n v="0"/>
    <n v="0"/>
    <n v="0"/>
    <n v="0"/>
    <n v="0"/>
    <n v="0"/>
    <n v="0"/>
    <n v="0"/>
    <n v="0"/>
    <n v="1800000000"/>
    <n v="8002829768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6"/>
    <x v="2"/>
    <x v="10"/>
    <n v="10"/>
    <x v="4"/>
    <s v="EJECUCION"/>
    <n v="30135967"/>
    <s v="KARIN"/>
    <s v="CONSTRUCCION ESTACION DE TRANSFERENCIA LA CAMPANA, CALBUCO"/>
    <m/>
    <n v="1553691000"/>
    <n v="0"/>
    <n v="500422750"/>
    <n v="0"/>
    <m/>
    <m/>
    <m/>
    <m/>
    <m/>
    <m/>
    <m/>
    <m/>
    <m/>
    <m/>
    <m/>
    <n v="0"/>
    <n v="500422750"/>
    <n v="1053268250"/>
    <s v="RS"/>
    <s v="En Licitación"/>
  </r>
  <r>
    <m/>
    <x v="4"/>
    <m/>
    <s v="ESTUDIOS"/>
    <s v="L"/>
    <s v="URBANO"/>
    <s v="SOCIAL"/>
    <x v="7"/>
    <x v="2"/>
    <x v="10"/>
    <n v="10"/>
    <x v="1"/>
    <s v="EJECUCION"/>
    <n v="30465134"/>
    <s v="KARIN"/>
    <s v="ACTUALIZACION PLAN REGULADOR COMUNAL CALBUCO (C33)"/>
    <m/>
    <n v="110000000"/>
    <n v="0"/>
    <n v="30000000"/>
    <n v="0"/>
    <m/>
    <m/>
    <m/>
    <m/>
    <m/>
    <m/>
    <m/>
    <m/>
    <m/>
    <m/>
    <m/>
    <n v="0"/>
    <n v="30000000"/>
    <n v="80000000"/>
    <s v="RS*"/>
    <s v="En Licitación (08.07.20)"/>
  </r>
  <r>
    <m/>
    <x v="0"/>
    <m/>
    <m/>
    <m/>
    <m/>
    <m/>
    <x v="0"/>
    <x v="0"/>
    <x v="0"/>
    <m/>
    <x v="0"/>
    <m/>
    <m/>
    <m/>
    <s v="TOTAL DE INICIATIVAS  LICITACION / ADJUDICACION"/>
    <m/>
    <n v="1663691000"/>
    <n v="0"/>
    <n v="530422750"/>
    <n v="0"/>
    <n v="0"/>
    <n v="0"/>
    <n v="0"/>
    <n v="0"/>
    <n v="0"/>
    <n v="0"/>
    <n v="0"/>
    <n v="0"/>
    <n v="0"/>
    <n v="0"/>
    <n v="0"/>
    <n v="0"/>
    <n v="530422750"/>
    <n v="113326825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CONECTIVIDAD"/>
    <x v="7"/>
    <x v="2"/>
    <x v="10"/>
    <n v="10"/>
    <x v="1"/>
    <s v="EJECUCION"/>
    <n v="40015774"/>
    <m/>
    <s v="CONSTRUCCION PAVIMENTO CALLE SAN ANDRES Y LOS TULIPANES"/>
    <m/>
    <n v="365318000"/>
    <n v="0"/>
    <n v="150265900"/>
    <n v="0"/>
    <m/>
    <m/>
    <m/>
    <m/>
    <m/>
    <m/>
    <m/>
    <m/>
    <m/>
    <m/>
    <m/>
    <n v="0"/>
    <n v="150265900"/>
    <n v="215052100"/>
    <s v="RS"/>
    <s v="Convenio en Tramite"/>
  </r>
  <r>
    <m/>
    <x v="1"/>
    <m/>
    <s v="PROYECTOS"/>
    <s v="N"/>
    <s v="URBANO"/>
    <s v="CONECTIVIDAD"/>
    <x v="7"/>
    <x v="2"/>
    <x v="10"/>
    <n v="10"/>
    <x v="1"/>
    <s v="EJECUCION"/>
    <n v="40015770"/>
    <m/>
    <s v="CONSTRUCCION PAVIMENTO CALLE CONDELL, FRAGATA COCHRANE Y LAS VERTIENTES"/>
    <m/>
    <n v="437544000"/>
    <n v="0"/>
    <n v="150877200"/>
    <n v="0"/>
    <m/>
    <m/>
    <m/>
    <m/>
    <m/>
    <m/>
    <m/>
    <m/>
    <m/>
    <m/>
    <m/>
    <n v="0"/>
    <n v="150877200"/>
    <n v="286666800"/>
    <s v="RS"/>
    <s v="Convenio en Tramite"/>
  </r>
  <r>
    <s v="ASC"/>
    <x v="1"/>
    <m/>
    <s v="PROYECTOS"/>
    <s v="N"/>
    <s v="RURAL"/>
    <s v="AGUA POTABLE"/>
    <x v="8"/>
    <x v="2"/>
    <x v="10"/>
    <n v="10"/>
    <x v="1"/>
    <s v="EJECUCION"/>
    <n v="30479286"/>
    <m/>
    <s v="CONSTRUCCION SERVICIO AGUA POTABLE RURAL ISLA QUENU"/>
    <m/>
    <n v="341707000"/>
    <n v="0"/>
    <n v="100085350"/>
    <n v="0"/>
    <m/>
    <m/>
    <m/>
    <m/>
    <m/>
    <m/>
    <m/>
    <m/>
    <m/>
    <m/>
    <m/>
    <n v="0"/>
    <n v="100085350"/>
    <n v="241621650"/>
    <s v="RS"/>
    <s v="Convenio en Tramite"/>
  </r>
  <r>
    <m/>
    <x v="1"/>
    <m/>
    <s v="PROYECTOS"/>
    <s v="N"/>
    <s v="RURAL"/>
    <s v="AGUA POTABLE"/>
    <x v="8"/>
    <x v="2"/>
    <x v="10"/>
    <n v="10"/>
    <x v="1"/>
    <s v="EJECUCION"/>
    <n v="30480526"/>
    <m/>
    <s v="CONSTRUCCION SERVICIO AGUA POTABLE RURAL LA CAMPANA"/>
    <m/>
    <n v="947807000"/>
    <n v="0"/>
    <n v="250390350"/>
    <n v="0"/>
    <m/>
    <m/>
    <m/>
    <m/>
    <m/>
    <m/>
    <m/>
    <m/>
    <m/>
    <m/>
    <m/>
    <n v="0"/>
    <n v="250390350"/>
    <n v="697416650"/>
    <s v="RS"/>
    <s v="Convenio en Tramite"/>
  </r>
  <r>
    <m/>
    <x v="2"/>
    <m/>
    <s v="FRIL"/>
    <s v="N"/>
    <s v="URBANO"/>
    <s v="SOCIAL"/>
    <x v="6"/>
    <x v="2"/>
    <x v="10"/>
    <n v="10"/>
    <x v="2"/>
    <s v="EJECUCION"/>
    <s v="FRIL"/>
    <m/>
    <s v="FONDO REGIONAL DE INICIATIVAS LOCAL"/>
    <m/>
    <n v="200000000"/>
    <n v="0"/>
    <n v="200000000"/>
    <n v="2580813"/>
    <m/>
    <m/>
    <m/>
    <m/>
    <m/>
    <m/>
    <m/>
    <m/>
    <m/>
    <m/>
    <m/>
    <n v="2580813"/>
    <n v="197419187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2292376000"/>
    <n v="0"/>
    <n v="851618800"/>
    <n v="2580813"/>
    <n v="0"/>
    <n v="0"/>
    <n v="0"/>
    <n v="0"/>
    <n v="0"/>
    <n v="0"/>
    <n v="0"/>
    <n v="0"/>
    <n v="0"/>
    <n v="0"/>
    <n v="0"/>
    <n v="2580813"/>
    <n v="849037987"/>
    <n v="14407572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CALBUCO"/>
    <m/>
    <n v="15135282892"/>
    <n v="1376386124"/>
    <n v="3182041550"/>
    <n v="2580813"/>
    <n v="0"/>
    <n v="0"/>
    <n v="0"/>
    <n v="0"/>
    <n v="0"/>
    <n v="0"/>
    <n v="0"/>
    <n v="0"/>
    <n v="0"/>
    <n v="0"/>
    <n v="0"/>
    <n v="2580813"/>
    <n v="3179460737"/>
    <n v="1057685521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COCHAM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9"/>
    <x v="2"/>
    <x v="11"/>
    <n v="11"/>
    <x v="1"/>
    <s v="DISEÑO"/>
    <n v="30085125"/>
    <s v="KARIN"/>
    <s v="REPOSICION POSTA DE SALUD RURAL PASO EL LEON, COCHAMO"/>
    <m/>
    <n v="23800000"/>
    <n v="14500000"/>
    <n v="9300000"/>
    <n v="0"/>
    <m/>
    <m/>
    <m/>
    <m/>
    <m/>
    <m/>
    <m/>
    <m/>
    <m/>
    <m/>
    <m/>
    <n v="0"/>
    <n v="9300000"/>
    <n v="0"/>
    <s v="RS"/>
    <s v="En Ejecución "/>
  </r>
  <r>
    <m/>
    <x v="1"/>
    <m/>
    <s v="PROYECTOS"/>
    <s v="A"/>
    <s v="RURAL"/>
    <s v="SOCIAL"/>
    <x v="4"/>
    <x v="2"/>
    <x v="11"/>
    <n v="11"/>
    <x v="1"/>
    <s v="DISEÑO"/>
    <n v="30328431"/>
    <s v="KARIN"/>
    <s v="CONSTRUCCION GIMNASIO LLANADA GRANDE"/>
    <m/>
    <n v="40280000"/>
    <n v="20740000"/>
    <n v="19540000"/>
    <n v="13160000"/>
    <m/>
    <m/>
    <m/>
    <m/>
    <m/>
    <m/>
    <m/>
    <m/>
    <m/>
    <m/>
    <m/>
    <n v="13160000"/>
    <n v="6380000"/>
    <n v="0"/>
    <s v="RS"/>
    <s v="En Ejecución "/>
  </r>
  <r>
    <m/>
    <x v="1"/>
    <m/>
    <s v="PROYECTOS"/>
    <s v="A"/>
    <m/>
    <m/>
    <x v="4"/>
    <x v="2"/>
    <x v="11"/>
    <n v="11"/>
    <x v="1"/>
    <s v="EJECUCION"/>
    <n v="30248522"/>
    <s v="PAULINA"/>
    <s v="CONSTRUCCION ESTADIO MUNICIPAL DE COCHAMO"/>
    <m/>
    <n v="1321664194"/>
    <n v="0"/>
    <n v="20620000"/>
    <n v="0"/>
    <m/>
    <m/>
    <m/>
    <m/>
    <m/>
    <m/>
    <m/>
    <m/>
    <m/>
    <m/>
    <m/>
    <n v="0"/>
    <n v="20620000"/>
    <n v="1301044194"/>
    <s v="RS"/>
    <m/>
  </r>
  <r>
    <m/>
    <x v="0"/>
    <m/>
    <m/>
    <m/>
    <m/>
    <m/>
    <x v="0"/>
    <x v="0"/>
    <x v="0"/>
    <m/>
    <x v="0"/>
    <m/>
    <m/>
    <m/>
    <s v="TOTAL DE INICIATIVAS EN EJECUCION / LIQUIDACION "/>
    <m/>
    <n v="1385744194"/>
    <n v="35240000"/>
    <n v="49460000"/>
    <n v="13160000"/>
    <n v="0"/>
    <n v="0"/>
    <n v="0"/>
    <n v="0"/>
    <n v="0"/>
    <n v="0"/>
    <n v="0"/>
    <n v="0"/>
    <n v="0"/>
    <n v="0"/>
    <n v="0"/>
    <n v="13160000"/>
    <n v="36300000"/>
    <n v="1301044194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3"/>
    <x v="2"/>
    <x v="11"/>
    <n v="11"/>
    <x v="1"/>
    <s v="DISEÑO"/>
    <n v="40006863"/>
    <s v="KARIN"/>
    <s v="REPOSICION ESCUELA JUAN SOLER MANFREDINI, COCHAMO"/>
    <m/>
    <n v="129430000"/>
    <n v="22757400"/>
    <n v="40000000"/>
    <n v="0"/>
    <m/>
    <m/>
    <m/>
    <m/>
    <m/>
    <m/>
    <m/>
    <m/>
    <m/>
    <m/>
    <m/>
    <n v="0"/>
    <n v="40000000"/>
    <n v="66672600"/>
    <s v="RS"/>
    <s v="Licitación Adjudicada"/>
  </r>
  <r>
    <m/>
    <x v="1"/>
    <m/>
    <s v="PROYECTOS"/>
    <s v="L"/>
    <s v="RURAL"/>
    <s v="AGUA POTABLE"/>
    <x v="8"/>
    <x v="2"/>
    <x v="11"/>
    <n v="11"/>
    <x v="5"/>
    <s v="EJECUCION"/>
    <n v="30116479"/>
    <s v="KARIN"/>
    <s v="CONSTRUCCION SISTEMA APR DE LLAGUEPE"/>
    <m/>
    <n v="606455904"/>
    <n v="0"/>
    <n v="200209996"/>
    <n v="0"/>
    <m/>
    <m/>
    <m/>
    <m/>
    <m/>
    <m/>
    <m/>
    <m/>
    <m/>
    <m/>
    <m/>
    <n v="0"/>
    <n v="200209996"/>
    <n v="406245908"/>
    <s v="RS"/>
    <s v="Licitacion Desierta 03.06.20"/>
  </r>
  <r>
    <m/>
    <x v="1"/>
    <m/>
    <s v="PROYECTOS"/>
    <s v="L"/>
    <s v="RURAL"/>
    <s v="SOCIAL"/>
    <x v="3"/>
    <x v="2"/>
    <x v="11"/>
    <n v="11"/>
    <x v="1"/>
    <s v="DISEÑO"/>
    <n v="40015801"/>
    <m/>
    <s v="REPOSICION ESCUELA LLANADA GRANDE"/>
    <m/>
    <n v="122370000"/>
    <n v="0"/>
    <n v="10000000"/>
    <n v="0"/>
    <m/>
    <m/>
    <m/>
    <m/>
    <m/>
    <m/>
    <m/>
    <m/>
    <m/>
    <m/>
    <m/>
    <n v="0"/>
    <n v="10000000"/>
    <n v="112370000"/>
    <s v="RS"/>
    <s v="En Licitacion "/>
  </r>
  <r>
    <s v="ASC"/>
    <x v="1"/>
    <m/>
    <s v="PROYECTOS"/>
    <s v="L"/>
    <s v="RURAL"/>
    <s v="ENERGIA"/>
    <x v="10"/>
    <x v="2"/>
    <x v="11"/>
    <n v="11"/>
    <x v="1"/>
    <s v="EJECUCION"/>
    <n v="40019107"/>
    <s v="RENE"/>
    <s v="CONSTRUCCION SUM. ENERGIA FOTOVOLTAICA  EL MANSO-L V GORMAZ-L T. TAGUA-LOS GUINDOS, COCHAMO"/>
    <m/>
    <n v="769101000"/>
    <n v="0"/>
    <n v="400000000"/>
    <n v="0"/>
    <m/>
    <m/>
    <m/>
    <m/>
    <m/>
    <m/>
    <m/>
    <m/>
    <m/>
    <m/>
    <m/>
    <n v="0"/>
    <n v="400000000"/>
    <n v="369101000"/>
    <s v="RS"/>
    <m/>
  </r>
  <r>
    <m/>
    <x v="0"/>
    <m/>
    <m/>
    <m/>
    <m/>
    <m/>
    <x v="0"/>
    <x v="0"/>
    <x v="0"/>
    <m/>
    <x v="0"/>
    <m/>
    <m/>
    <m/>
    <s v="TOTAL DE INICIATIVAS  LICITACION / ADJUDICACION"/>
    <m/>
    <n v="1627356904"/>
    <n v="22757400"/>
    <n v="650209996"/>
    <n v="0"/>
    <n v="0"/>
    <n v="0"/>
    <n v="0"/>
    <n v="0"/>
    <n v="0"/>
    <n v="0"/>
    <n v="0"/>
    <n v="0"/>
    <n v="0"/>
    <n v="0"/>
    <n v="0"/>
    <n v="0"/>
    <n v="650209996"/>
    <n v="95438950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m/>
    <m/>
    <x v="9"/>
    <x v="2"/>
    <x v="11"/>
    <n v="11"/>
    <x v="1"/>
    <s v="DISEÑO"/>
    <n v="40015528"/>
    <m/>
    <s v="REPOSICION POSTA DE SALUD RURAL LLANADA GRANDE, COMUNA DE COCHAMO"/>
    <m/>
    <n v="25000000"/>
    <n v="0"/>
    <n v="10000000"/>
    <n v="0"/>
    <m/>
    <m/>
    <m/>
    <m/>
    <m/>
    <m/>
    <m/>
    <m/>
    <m/>
    <m/>
    <m/>
    <n v="0"/>
    <n v="10000000"/>
    <n v="15000000"/>
    <s v="RS"/>
    <s v="Convenio en Tramite"/>
  </r>
  <r>
    <m/>
    <x v="1"/>
    <m/>
    <s v="PROYECTOS"/>
    <s v="N"/>
    <m/>
    <m/>
    <x v="2"/>
    <x v="2"/>
    <x v="11"/>
    <n v="11"/>
    <x v="1"/>
    <s v="DISEÑO"/>
    <n v="40005745"/>
    <m/>
    <s v="REPOSICION CUARTEL PRIMERA COMPAÑIA DE BOMBEROS DE RIO PUELO"/>
    <m/>
    <n v="42500000"/>
    <n v="0"/>
    <n v="10000000"/>
    <n v="0"/>
    <m/>
    <m/>
    <m/>
    <m/>
    <m/>
    <m/>
    <m/>
    <m/>
    <m/>
    <m/>
    <m/>
    <n v="0"/>
    <n v="10000000"/>
    <n v="32500000"/>
    <s v="RS"/>
    <m/>
  </r>
  <r>
    <m/>
    <x v="2"/>
    <m/>
    <s v="FRIL"/>
    <s v="N"/>
    <s v="URBANO"/>
    <s v="SOCIAL"/>
    <x v="6"/>
    <x v="2"/>
    <x v="11"/>
    <n v="11"/>
    <x v="2"/>
    <s v="EJECUCION"/>
    <s v="FRIL"/>
    <m/>
    <s v="FONDO REGIONAL DE INICIATIVAS LOCAL"/>
    <m/>
    <n v="200000000"/>
    <n v="0"/>
    <n v="200000000"/>
    <n v="26963134"/>
    <m/>
    <m/>
    <m/>
    <m/>
    <m/>
    <m/>
    <m/>
    <m/>
    <m/>
    <m/>
    <m/>
    <n v="26963134"/>
    <n v="173036866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267500000"/>
    <n v="0"/>
    <n v="220000000"/>
    <n v="26963134"/>
    <n v="0"/>
    <n v="0"/>
    <n v="0"/>
    <n v="0"/>
    <n v="0"/>
    <n v="0"/>
    <n v="0"/>
    <n v="0"/>
    <n v="0"/>
    <n v="0"/>
    <n v="0"/>
    <n v="26963134"/>
    <n v="193036866"/>
    <n v="4750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COCHAMO"/>
    <m/>
    <n v="3280601098"/>
    <n v="57997400"/>
    <n v="919669996"/>
    <n v="40123134"/>
    <n v="0"/>
    <n v="0"/>
    <n v="0"/>
    <n v="0"/>
    <n v="0"/>
    <n v="0"/>
    <n v="0"/>
    <n v="0"/>
    <n v="0"/>
    <n v="0"/>
    <n v="0"/>
    <n v="40123134"/>
    <n v="879546862"/>
    <n v="230293370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FRESIA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"/>
    <x v="1"/>
    <m/>
    <s v="PROYECTOS"/>
    <s v="A"/>
    <s v="RURAL"/>
    <s v="SOCIAL"/>
    <x v="9"/>
    <x v="2"/>
    <x v="12"/>
    <n v="12"/>
    <x v="1"/>
    <s v="EJECUCION"/>
    <n v="30282773"/>
    <s v="KARIN"/>
    <s v="REPOSICION POSTA DE SALUD RURAL EL TRAIGUEN, FRESIA"/>
    <s v="* CERT. CORE 14 AUMENTA COSTO"/>
    <n v="538319065"/>
    <n v="201443501"/>
    <n v="160345499"/>
    <n v="0"/>
    <m/>
    <m/>
    <m/>
    <m/>
    <m/>
    <m/>
    <m/>
    <m/>
    <m/>
    <m/>
    <m/>
    <n v="0"/>
    <n v="160345499"/>
    <n v="176530065"/>
    <s v="RE"/>
    <s v="En Ejecución "/>
  </r>
  <r>
    <m/>
    <x v="1"/>
    <m/>
    <s v="PROYECTOS"/>
    <s v="A"/>
    <s v="RURAL"/>
    <s v="SOCIAL"/>
    <x v="9"/>
    <x v="2"/>
    <x v="12"/>
    <n v="12"/>
    <x v="1"/>
    <s v="EJECUCION"/>
    <n v="30397144"/>
    <s v="PAULINA"/>
    <s v="CONSTRUCCION SISTEMA APR SECTOR LAS CRUCES, COMUNA DE FRESIA"/>
    <s v="* CERT. CORE 05 INCORPORA PPTO 2021"/>
    <n v="1317717000"/>
    <n v="957303978"/>
    <n v="105000000"/>
    <n v="0"/>
    <m/>
    <m/>
    <m/>
    <m/>
    <m/>
    <m/>
    <m/>
    <m/>
    <m/>
    <m/>
    <m/>
    <n v="0"/>
    <n v="105000000"/>
    <n v="255413022"/>
    <s v="RS"/>
    <m/>
  </r>
  <r>
    <m/>
    <x v="1"/>
    <m/>
    <s v="PROYECTOS"/>
    <s v="A"/>
    <s v="RURAL"/>
    <s v="SOCIAL"/>
    <x v="9"/>
    <x v="2"/>
    <x v="12"/>
    <n v="12"/>
    <x v="1"/>
    <s v="EJECUCION"/>
    <n v="30088011"/>
    <s v="PAULINA"/>
    <s v="CONSTRUCCION PLANTA DE TRATAMIENTO PARGA"/>
    <s v="* CERT. CORE 17 INCORPORA PPTO 2021"/>
    <n v="590808430"/>
    <n v="335213608"/>
    <n v="72430113"/>
    <n v="63815489"/>
    <m/>
    <m/>
    <m/>
    <m/>
    <m/>
    <m/>
    <m/>
    <m/>
    <m/>
    <m/>
    <m/>
    <n v="63815489"/>
    <n v="8614624"/>
    <n v="183164709"/>
    <s v="RS"/>
    <m/>
  </r>
  <r>
    <m/>
    <x v="1"/>
    <m/>
    <s v="PROYECTOS"/>
    <s v="A"/>
    <s v="RURAL"/>
    <s v="AGUA POTABLE"/>
    <x v="8"/>
    <x v="2"/>
    <x v="12"/>
    <n v="12"/>
    <x v="1"/>
    <s v="EJECUCION"/>
    <n v="30212472"/>
    <m/>
    <s v="CONSTRUCCION APR EL MAÑIO"/>
    <m/>
    <n v="490790000"/>
    <n v="376365503"/>
    <n v="41994384"/>
    <n v="0"/>
    <m/>
    <m/>
    <m/>
    <m/>
    <m/>
    <m/>
    <m/>
    <m/>
    <m/>
    <m/>
    <m/>
    <n v="0"/>
    <n v="41994384"/>
    <n v="72430113"/>
    <s v="RS"/>
    <s v="En Liquidación"/>
  </r>
  <r>
    <m/>
    <x v="0"/>
    <m/>
    <m/>
    <m/>
    <m/>
    <m/>
    <x v="0"/>
    <x v="0"/>
    <x v="0"/>
    <m/>
    <x v="0"/>
    <m/>
    <m/>
    <m/>
    <s v="TOTAL DE INICIATIVAS EN EJECUCION / LIQUIDACION "/>
    <m/>
    <n v="2937634495"/>
    <n v="1870326590"/>
    <n v="379769996"/>
    <n v="63815489"/>
    <n v="0"/>
    <n v="0"/>
    <n v="0"/>
    <n v="0"/>
    <n v="0"/>
    <n v="0"/>
    <n v="0"/>
    <n v="0"/>
    <n v="0"/>
    <n v="0"/>
    <n v="0"/>
    <n v="63815489"/>
    <n v="315954507"/>
    <n v="687537909"/>
    <m/>
    <s v="En Ejecución-ARRASTRE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4"/>
    <x v="2"/>
    <x v="12"/>
    <n v="12"/>
    <x v="1"/>
    <s v="EJECUCION"/>
    <n v="30134714"/>
    <s v="PAULINA"/>
    <s v="CONSTRUCCION ESTADIO MUNICIPAL ANFUR, COMUNA DE FRESIA"/>
    <m/>
    <n v="919116000"/>
    <n v="0"/>
    <n v="335240815"/>
    <n v="0"/>
    <m/>
    <m/>
    <m/>
    <m/>
    <m/>
    <m/>
    <m/>
    <m/>
    <m/>
    <m/>
    <m/>
    <n v="0"/>
    <n v="335240815"/>
    <n v="583875185"/>
    <s v="RS"/>
    <s v="Licitación Desierta (28.05.20)"/>
  </r>
  <r>
    <m/>
    <x v="1"/>
    <m/>
    <s v="PROYECTOS"/>
    <s v="L"/>
    <s v="RURAL"/>
    <s v="CONECTIVIDAD"/>
    <x v="7"/>
    <x v="2"/>
    <x v="12"/>
    <n v="12"/>
    <x v="1"/>
    <s v="EJECUCION"/>
    <n v="40006229"/>
    <s v="PAULINA"/>
    <s v="MEJORAMIENTO DIVERSAS CALLES, COMUNA DE FRESIA"/>
    <m/>
    <n v="774200000"/>
    <n v="0"/>
    <n v="200066666.66666701"/>
    <n v="0"/>
    <m/>
    <m/>
    <m/>
    <m/>
    <m/>
    <m/>
    <m/>
    <m/>
    <m/>
    <m/>
    <m/>
    <n v="0"/>
    <n v="200066666.66666701"/>
    <n v="574133333.33333302"/>
    <s v="RS"/>
    <s v="Licitación Desierta"/>
  </r>
  <r>
    <m/>
    <x v="1"/>
    <m/>
    <s v="PROYECTOS"/>
    <s v="L"/>
    <s v="RURAL"/>
    <s v="CONECTIVIDAD"/>
    <x v="1"/>
    <x v="2"/>
    <x v="12"/>
    <n v="12"/>
    <x v="1"/>
    <s v="EJECUCION"/>
    <n v="30396424"/>
    <s v="KARIN"/>
    <s v="CONSERVACION CAMINOS NO ENROLADOS, DIVERSOS SECTORES DE FRESIA (C33)"/>
    <m/>
    <n v="866629000"/>
    <n v="0"/>
    <n v="300876333.33333302"/>
    <n v="0"/>
    <m/>
    <m/>
    <m/>
    <m/>
    <m/>
    <m/>
    <m/>
    <m/>
    <m/>
    <m/>
    <m/>
    <n v="0"/>
    <n v="300876333.33333302"/>
    <n v="565752666.66666698"/>
    <s v="RS*"/>
    <s v="En Licitación (15.07.20)"/>
  </r>
  <r>
    <m/>
    <x v="3"/>
    <m/>
    <s v="SUBT 29"/>
    <s v="L"/>
    <s v="RURAL"/>
    <s v="SOCIAL"/>
    <x v="2"/>
    <x v="2"/>
    <x v="12"/>
    <n v="12"/>
    <x v="1"/>
    <s v="EJECUCION"/>
    <n v="30340925"/>
    <s v="KARIN"/>
    <s v="REPOSICION GANCHOS Y LUMINARIAS COMUNA DE FRESIA (C33)"/>
    <m/>
    <n v="534844000"/>
    <n v="0"/>
    <n v="200000000"/>
    <n v="0"/>
    <m/>
    <m/>
    <m/>
    <m/>
    <m/>
    <m/>
    <m/>
    <m/>
    <m/>
    <m/>
    <m/>
    <n v="0"/>
    <n v="200000000"/>
    <n v="334844000"/>
    <s v="RS*"/>
    <s v="En Ejecución "/>
  </r>
  <r>
    <m/>
    <x v="0"/>
    <m/>
    <m/>
    <m/>
    <m/>
    <m/>
    <x v="0"/>
    <x v="0"/>
    <x v="0"/>
    <m/>
    <x v="0"/>
    <m/>
    <m/>
    <m/>
    <s v="TOTAL DE INICIATIVAS  LICITACION / ADJUDICACION"/>
    <m/>
    <n v="3094789000"/>
    <n v="0"/>
    <n v="1036183815"/>
    <n v="0"/>
    <n v="0"/>
    <n v="0"/>
    <n v="0"/>
    <n v="0"/>
    <n v="0"/>
    <n v="0"/>
    <n v="0"/>
    <n v="0"/>
    <n v="0"/>
    <n v="0"/>
    <n v="0"/>
    <n v="0"/>
    <n v="1036183815"/>
    <n v="2058605185"/>
    <m/>
    <m/>
  </r>
  <r>
    <m/>
    <x v="0"/>
    <m/>
    <m/>
    <m/>
    <m/>
    <m/>
    <x v="0"/>
    <x v="0"/>
    <x v="0"/>
    <m/>
    <x v="0"/>
    <m/>
    <m/>
    <m/>
    <m/>
    <m/>
    <m/>
    <e v="#N/A"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e v="#N/A"/>
    <m/>
    <m/>
    <m/>
    <m/>
    <m/>
    <m/>
    <m/>
    <m/>
    <m/>
    <m/>
    <m/>
    <m/>
    <m/>
    <m/>
    <m/>
    <m/>
    <m/>
    <m/>
  </r>
  <r>
    <m/>
    <x v="1"/>
    <m/>
    <s v="PROYECTOS"/>
    <s v="N"/>
    <s v="URBANO"/>
    <s v="CONECTIVIDAD"/>
    <x v="7"/>
    <x v="2"/>
    <x v="12"/>
    <n v="12"/>
    <x v="1"/>
    <s v="EJECUCION"/>
    <n v="40021313"/>
    <m/>
    <s v="MEJORAMIENTO DIVERSAS CALLES FRESIA (EL RINCON - RIO LLICO - TEODORO SCHAFER)"/>
    <m/>
    <n v="239183000"/>
    <n v="0"/>
    <n v="121760012"/>
    <n v="0"/>
    <m/>
    <m/>
    <m/>
    <m/>
    <m/>
    <m/>
    <m/>
    <m/>
    <m/>
    <m/>
    <m/>
    <n v="0"/>
    <n v="121760012"/>
    <n v="117422988"/>
    <s v="RS"/>
    <s v="Convenio en Confección"/>
  </r>
  <r>
    <m/>
    <x v="2"/>
    <m/>
    <s v="FRIL"/>
    <s v="N"/>
    <s v="URBANO"/>
    <s v="SOCIAL"/>
    <x v="6"/>
    <x v="2"/>
    <x v="12"/>
    <n v="12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439183000"/>
    <n v="0"/>
    <n v="321760012"/>
    <n v="0"/>
    <n v="0"/>
    <n v="0"/>
    <n v="0"/>
    <n v="0"/>
    <n v="0"/>
    <n v="0"/>
    <n v="0"/>
    <n v="0"/>
    <n v="0"/>
    <n v="0"/>
    <n v="0"/>
    <n v="0"/>
    <n v="321760012"/>
    <n v="11742298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FRESIA"/>
    <m/>
    <n v="6471606495"/>
    <n v="1870326590"/>
    <n v="1737713823"/>
    <n v="63815489"/>
    <n v="0"/>
    <n v="0"/>
    <n v="0"/>
    <n v="0"/>
    <n v="0"/>
    <n v="0"/>
    <n v="0"/>
    <n v="0"/>
    <n v="0"/>
    <n v="0"/>
    <n v="0"/>
    <n v="63815489"/>
    <n v="1673898334"/>
    <n v="286356608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FRUTILLAR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AGUA POTABLE"/>
    <x v="8"/>
    <x v="2"/>
    <x v="13"/>
    <n v="13"/>
    <x v="1"/>
    <s v="EJECUCION"/>
    <n v="30465246"/>
    <s v="PAULINA"/>
    <s v="CONSTRUCCION RED DE APR SECTOR VILLA ALEGRE"/>
    <m/>
    <n v="164685391"/>
    <n v="163185391"/>
    <n v="1500000"/>
    <n v="0"/>
    <m/>
    <m/>
    <m/>
    <m/>
    <m/>
    <m/>
    <m/>
    <m/>
    <m/>
    <m/>
    <m/>
    <n v="0"/>
    <n v="1500000"/>
    <n v="0"/>
    <s v="RS"/>
    <s v="En Ejecución "/>
  </r>
  <r>
    <m/>
    <x v="1"/>
    <m/>
    <s v="PROYECTOS"/>
    <s v="A"/>
    <s v="RURAL"/>
    <s v="CONECTIVIDAD"/>
    <x v="7"/>
    <x v="2"/>
    <x v="13"/>
    <n v="13"/>
    <x v="1"/>
    <s v="EJECUCION"/>
    <n v="30077934"/>
    <s v="PAULINA"/>
    <s v="CONSTRUCCION CALLE NUEVA NUEVE DE FRUTILLAR"/>
    <m/>
    <n v="1461360000"/>
    <n v="1218124258"/>
    <n v="243235742"/>
    <n v="0"/>
    <m/>
    <m/>
    <m/>
    <m/>
    <m/>
    <m/>
    <m/>
    <m/>
    <m/>
    <m/>
    <m/>
    <n v="0"/>
    <n v="243235742"/>
    <n v="0"/>
    <s v="RS"/>
    <s v="En Ejecución "/>
  </r>
  <r>
    <m/>
    <x v="1"/>
    <m/>
    <s v="PROYECTOS"/>
    <s v="A"/>
    <s v="RURAL"/>
    <s v="SOCIAL"/>
    <x v="8"/>
    <x v="2"/>
    <x v="13"/>
    <n v="13"/>
    <x v="1"/>
    <s v="EJECUCION"/>
    <n v="30485141"/>
    <s v="PAULINA"/>
    <s v="CONSTRUCCION SISTEMA DE APR SECT. LOS RADALES, COMUNA FRUTILLAR"/>
    <m/>
    <n v="229003000"/>
    <n v="105198517"/>
    <n v="82911875"/>
    <n v="53498189"/>
    <m/>
    <m/>
    <m/>
    <m/>
    <m/>
    <m/>
    <m/>
    <m/>
    <m/>
    <m/>
    <m/>
    <n v="53498189"/>
    <n v="29413686"/>
    <n v="40892608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1855048391"/>
    <n v="1486508166"/>
    <n v="327647617"/>
    <n v="53498189"/>
    <n v="0"/>
    <n v="0"/>
    <n v="0"/>
    <n v="0"/>
    <n v="0"/>
    <n v="0"/>
    <n v="0"/>
    <n v="0"/>
    <n v="0"/>
    <n v="0"/>
    <n v="0"/>
    <n v="53498189"/>
    <n v="274149428"/>
    <n v="40892608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OCIAL"/>
    <x v="8"/>
    <x v="2"/>
    <x v="13"/>
    <n v="13"/>
    <x v="1"/>
    <s v="EJECUCION"/>
    <n v="30485139"/>
    <s v="KARIN"/>
    <s v="CONSTRUCCION SERVICIO DE APR SECTOR PICHILOPEZ, FRUTILLAR"/>
    <m/>
    <n v="218397000"/>
    <n v="0"/>
    <n v="100000000"/>
    <n v="0"/>
    <m/>
    <m/>
    <m/>
    <m/>
    <m/>
    <m/>
    <m/>
    <m/>
    <m/>
    <m/>
    <m/>
    <n v="0"/>
    <n v="100000000"/>
    <n v="118397000"/>
    <s v="RS"/>
    <s v="Licitacion Cerrada (28.11.2019)"/>
  </r>
  <r>
    <m/>
    <x v="1"/>
    <m/>
    <s v="PROYECTOS"/>
    <s v="L"/>
    <s v="RURAL"/>
    <s v="SOCIAL"/>
    <x v="8"/>
    <x v="2"/>
    <x v="13"/>
    <n v="13"/>
    <x v="1"/>
    <s v="EJECUCION"/>
    <n v="30485133"/>
    <s v="KARIN"/>
    <s v="CONSTRUCCION RED DE AGUA POTABLE SECTOR PEDERNAL, COMUNA FRUTILLAR"/>
    <m/>
    <n v="449572000"/>
    <n v="0"/>
    <n v="150709000"/>
    <n v="0"/>
    <m/>
    <m/>
    <m/>
    <m/>
    <m/>
    <m/>
    <m/>
    <m/>
    <m/>
    <m/>
    <m/>
    <n v="0"/>
    <n v="150709000"/>
    <n v="298863000"/>
    <s v="RS"/>
    <s v="En Licitación (27.07.20)"/>
  </r>
  <r>
    <m/>
    <x v="1"/>
    <m/>
    <s v="PROYECTOS"/>
    <s v="L"/>
    <s v="URBANO"/>
    <s v="SOCIAL"/>
    <x v="3"/>
    <x v="2"/>
    <x v="13"/>
    <n v="13"/>
    <x v="1"/>
    <s v="EJECUCION"/>
    <n v="30085259"/>
    <s v="PAULINA"/>
    <s v="REPOSICION ESCUELA ARTURO ALESSANDRI PALMA FRUTILLAR"/>
    <m/>
    <n v="6379910000"/>
    <n v="830345185"/>
    <n v="1000000000"/>
    <n v="1817407180"/>
    <m/>
    <m/>
    <m/>
    <m/>
    <m/>
    <m/>
    <m/>
    <m/>
    <m/>
    <m/>
    <m/>
    <n v="1817407180"/>
    <n v="-817407180"/>
    <n v="4549564815"/>
    <s v="RS(RE)"/>
    <s v="Licitación Desierta"/>
  </r>
  <r>
    <s v="ASC"/>
    <x v="1"/>
    <m/>
    <s v="PROYECTOS"/>
    <s v="L"/>
    <m/>
    <m/>
    <x v="1"/>
    <x v="2"/>
    <x v="13"/>
    <n v="13"/>
    <x v="1"/>
    <s v="EJECUCION"/>
    <n v="40005972"/>
    <m/>
    <s v="CONSERVACION CAMINOS NO ENROLADOS 5 SECTORES RURALES DE LA COMUNA DE FRUTILLAR(C33)"/>
    <m/>
    <n v="410792000"/>
    <n v="0"/>
    <n v="310028677"/>
    <n v="0"/>
    <m/>
    <m/>
    <m/>
    <m/>
    <m/>
    <m/>
    <m/>
    <m/>
    <m/>
    <m/>
    <m/>
    <n v="0"/>
    <n v="310028677"/>
    <n v="100763323"/>
    <s v="RS*"/>
    <s v="En Licitación"/>
  </r>
  <r>
    <m/>
    <x v="1"/>
    <m/>
    <s v="PROYECTOS"/>
    <s v="L"/>
    <s v="RURAL"/>
    <s v="SOCIAL"/>
    <x v="8"/>
    <x v="2"/>
    <x v="13"/>
    <n v="13"/>
    <x v="1"/>
    <s v="EJECUCION"/>
    <n v="30485115"/>
    <s v="KARIN"/>
    <s v="CONSTRUCCION SERVICIO DE APR SECTOR BALMACEDA-PARAGUAY, FRUTILLAR"/>
    <m/>
    <n v="425742000"/>
    <n v="0"/>
    <n v="150000000"/>
    <n v="0"/>
    <m/>
    <m/>
    <m/>
    <m/>
    <m/>
    <m/>
    <m/>
    <m/>
    <m/>
    <m/>
    <m/>
    <n v="0"/>
    <n v="150000000"/>
    <n v="275742000"/>
    <s v="RS"/>
    <m/>
  </r>
  <r>
    <m/>
    <x v="0"/>
    <m/>
    <m/>
    <m/>
    <m/>
    <m/>
    <x v="0"/>
    <x v="0"/>
    <x v="0"/>
    <m/>
    <x v="0"/>
    <m/>
    <m/>
    <m/>
    <s v="TOTAL DE INICIATIVAS  LICITACION / ADJUDICACION"/>
    <m/>
    <n v="7884413000"/>
    <n v="830345185"/>
    <n v="1710737677"/>
    <n v="1817407180"/>
    <n v="0"/>
    <n v="0"/>
    <n v="0"/>
    <n v="0"/>
    <n v="0"/>
    <n v="0"/>
    <n v="0"/>
    <n v="0"/>
    <n v="0"/>
    <n v="0"/>
    <n v="0"/>
    <n v="1817407180"/>
    <n v="-106669503"/>
    <n v="534333013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m/>
    <m/>
    <x v="8"/>
    <x v="2"/>
    <x v="13"/>
    <n v="13"/>
    <x v="1"/>
    <s v="EJECUCION"/>
    <n v="30485157"/>
    <m/>
    <s v="AMPLIACION RED APR SECTOR CASMA, FRUTILLAR"/>
    <m/>
    <n v="322319000"/>
    <n v="0"/>
    <n v="50000000"/>
    <n v="0"/>
    <m/>
    <m/>
    <m/>
    <m/>
    <m/>
    <m/>
    <m/>
    <m/>
    <m/>
    <m/>
    <m/>
    <n v="0"/>
    <n v="50000000"/>
    <n v="272319000"/>
    <s v="RS"/>
    <m/>
  </r>
  <r>
    <m/>
    <x v="2"/>
    <m/>
    <s v="FRIL"/>
    <s v="N"/>
    <s v="URBANO"/>
    <s v="SOCIAL"/>
    <x v="6"/>
    <x v="2"/>
    <x v="13"/>
    <n v="13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522319000"/>
    <n v="0"/>
    <n v="250000000"/>
    <n v="0"/>
    <n v="0"/>
    <n v="0"/>
    <n v="0"/>
    <n v="0"/>
    <n v="0"/>
    <n v="0"/>
    <n v="0"/>
    <n v="0"/>
    <n v="0"/>
    <n v="0"/>
    <n v="0"/>
    <n v="0"/>
    <n v="250000000"/>
    <n v="272319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FRUTILLAR"/>
    <m/>
    <n v="10261780391"/>
    <n v="2316853351"/>
    <n v="2288385294"/>
    <n v="1870905369"/>
    <n v="0"/>
    <n v="0"/>
    <n v="0"/>
    <n v="0"/>
    <n v="0"/>
    <n v="0"/>
    <n v="0"/>
    <n v="0"/>
    <n v="0"/>
    <n v="0"/>
    <n v="0"/>
    <n v="1870905369"/>
    <n v="417479925"/>
    <n v="565654174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LLANQUIHUE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3"/>
    <x v="2"/>
    <x v="14"/>
    <n v="14"/>
    <x v="1"/>
    <s v="EJECUCION"/>
    <n v="30076574"/>
    <s v="PAULINA"/>
    <s v="REPOSICION EDIFICIO CONSISTORIAL, LLANQUIHUE"/>
    <s v="* CERT. CORE 20 INCORPORA PPTO 2021"/>
    <n v="3532529768"/>
    <n v="3488289637"/>
    <n v="44240131"/>
    <n v="6329255"/>
    <m/>
    <m/>
    <m/>
    <m/>
    <m/>
    <m/>
    <m/>
    <m/>
    <m/>
    <m/>
    <m/>
    <n v="6329255"/>
    <n v="37910876"/>
    <n v="0"/>
    <s v="RS"/>
    <s v="En Ejecución "/>
  </r>
  <r>
    <m/>
    <x v="1"/>
    <m/>
    <s v="PROYECTOS"/>
    <s v="A"/>
    <s v="RURAL"/>
    <s v="AGUA POTABLE"/>
    <x v="8"/>
    <x v="2"/>
    <x v="14"/>
    <n v="14"/>
    <x v="1"/>
    <s v="EJECUCION"/>
    <n v="40007476"/>
    <s v="KARIN"/>
    <s v="CONSTRUCCION APR COLEGUAL ESPERANZA, LLANQUIHUE"/>
    <m/>
    <n v="385181000"/>
    <n v="340526632"/>
    <n v="44654368"/>
    <n v="0"/>
    <m/>
    <m/>
    <m/>
    <m/>
    <m/>
    <m/>
    <m/>
    <m/>
    <m/>
    <m/>
    <m/>
    <n v="0"/>
    <n v="44654368"/>
    <n v="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3917710768"/>
    <n v="3828816269"/>
    <n v="88894499"/>
    <n v="6329255"/>
    <n v="0"/>
    <n v="0"/>
    <n v="0"/>
    <n v="0"/>
    <n v="0"/>
    <n v="0"/>
    <n v="0"/>
    <n v="0"/>
    <n v="0"/>
    <n v="0"/>
    <n v="0"/>
    <n v="6329255"/>
    <n v="82565244"/>
    <n v="0"/>
    <m/>
    <s v="En Ejecución-ARRASTRE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7"/>
    <x v="2"/>
    <x v="14"/>
    <n v="14"/>
    <x v="1"/>
    <s v="DISEÑO"/>
    <n v="40005289"/>
    <s v="KARIN"/>
    <s v="MEJORAMIENTO ESPACIO PUBLICO HUMEDAL EL LOTO, LLANQUIHUE"/>
    <m/>
    <n v="82400000"/>
    <n v="0"/>
    <n v="38159869"/>
    <n v="0"/>
    <m/>
    <m/>
    <m/>
    <m/>
    <m/>
    <m/>
    <m/>
    <m/>
    <m/>
    <m/>
    <m/>
    <n v="0"/>
    <n v="38159869"/>
    <n v="44240131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82400000"/>
    <n v="0"/>
    <n v="38159869"/>
    <n v="0"/>
    <n v="0"/>
    <n v="0"/>
    <n v="0"/>
    <n v="0"/>
    <n v="0"/>
    <n v="0"/>
    <n v="0"/>
    <n v="0"/>
    <n v="0"/>
    <n v="0"/>
    <n v="0"/>
    <n v="0"/>
    <n v="38159869"/>
    <n v="4424013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3"/>
    <m/>
    <s v="SUBT 29"/>
    <s v="N"/>
    <m/>
    <m/>
    <x v="2"/>
    <x v="2"/>
    <x v="14"/>
    <n v="14"/>
    <x v="1"/>
    <s v="EJECUCION"/>
    <n v="40016314"/>
    <s v="IGNACIO"/>
    <s v="REPOSICION Y MEJORAMIENTO LUMINARIAS PUBLICA COMUNA DE LLANQUIHUE (C33)"/>
    <m/>
    <n v="1446450000"/>
    <n v="0"/>
    <n v="700000000"/>
    <n v="0"/>
    <m/>
    <m/>
    <m/>
    <m/>
    <m/>
    <m/>
    <m/>
    <m/>
    <m/>
    <m/>
    <m/>
    <n v="0"/>
    <n v="700000000"/>
    <n v="746450000"/>
    <s v="RS*"/>
    <m/>
  </r>
  <r>
    <m/>
    <x v="2"/>
    <m/>
    <s v="FRIL"/>
    <s v="N"/>
    <s v="URBANO"/>
    <s v="SOCIAL"/>
    <x v="6"/>
    <x v="2"/>
    <x v="14"/>
    <n v="14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646450000"/>
    <n v="0"/>
    <n v="900000000"/>
    <n v="0"/>
    <n v="0"/>
    <n v="0"/>
    <n v="0"/>
    <n v="0"/>
    <n v="0"/>
    <n v="0"/>
    <n v="0"/>
    <n v="0"/>
    <n v="0"/>
    <n v="0"/>
    <n v="0"/>
    <n v="0"/>
    <n v="900000000"/>
    <n v="74645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LLANQUIHUE"/>
    <m/>
    <n v="5646560768"/>
    <n v="3828816269"/>
    <n v="1027054368"/>
    <n v="6329255"/>
    <n v="0"/>
    <n v="0"/>
    <n v="0"/>
    <n v="0"/>
    <n v="0"/>
    <n v="0"/>
    <n v="0"/>
    <n v="0"/>
    <n v="0"/>
    <n v="0"/>
    <n v="0"/>
    <n v="6329255"/>
    <n v="1020725113"/>
    <n v="79069013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LOS MUERMOS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AGUA POTABLE"/>
    <x v="8"/>
    <x v="2"/>
    <x v="15"/>
    <n v="15"/>
    <x v="1"/>
    <s v="DISEÑO"/>
    <n v="30361529"/>
    <s v="KARIN"/>
    <s v="MEJORAMIENTO SISTEMA APR CAÑITAS-RIO FRIO, LOS MUERMOS"/>
    <m/>
    <n v="27260000"/>
    <n v="12963000"/>
    <n v="14297000"/>
    <n v="0"/>
    <m/>
    <m/>
    <m/>
    <m/>
    <m/>
    <m/>
    <m/>
    <m/>
    <m/>
    <m/>
    <m/>
    <n v="0"/>
    <n v="14297000"/>
    <n v="0"/>
    <s v="RS"/>
    <s v="En Ejecución "/>
  </r>
  <r>
    <m/>
    <x v="1"/>
    <m/>
    <s v="PROYECTOS"/>
    <s v="A"/>
    <s v="RURAL"/>
    <s v="AGUA POTABLE"/>
    <x v="8"/>
    <x v="2"/>
    <x v="15"/>
    <n v="15"/>
    <x v="1"/>
    <s v="DISEÑO"/>
    <n v="30465403"/>
    <s v="KARIN"/>
    <s v="CONSTRUCCION SERVICIO APR SECTOR CUESTA LA VACA, C LOS MUERMOS"/>
    <m/>
    <n v="27413000"/>
    <n v="10036840"/>
    <n v="4820900"/>
    <n v="0"/>
    <m/>
    <m/>
    <m/>
    <m/>
    <m/>
    <m/>
    <m/>
    <m/>
    <m/>
    <m/>
    <m/>
    <n v="0"/>
    <n v="4820900"/>
    <n v="12555260"/>
    <s v="RS"/>
    <s v="En Ejecución "/>
  </r>
  <r>
    <m/>
    <x v="1"/>
    <m/>
    <s v="PROYECTOS"/>
    <s v="A"/>
    <s v="RURAL"/>
    <s v="AGUA POTABLE"/>
    <x v="8"/>
    <x v="2"/>
    <x v="15"/>
    <n v="15"/>
    <x v="6"/>
    <s v="EJECUCION"/>
    <n v="30289475"/>
    <s v="PAULINA"/>
    <s v="CONSTRUCCION SERVICIO APR SAN CARLOS EL ÑADY"/>
    <m/>
    <n v="1114527000"/>
    <n v="262693000"/>
    <n v="217176211"/>
    <n v="9360000"/>
    <m/>
    <m/>
    <m/>
    <m/>
    <m/>
    <m/>
    <m/>
    <m/>
    <m/>
    <m/>
    <m/>
    <n v="9360000"/>
    <n v="207816211"/>
    <n v="634657789"/>
    <s v="RS(IN)"/>
    <s v="En Ejecución "/>
  </r>
  <r>
    <m/>
    <x v="1"/>
    <m/>
    <s v="PROYECTOS"/>
    <s v="A"/>
    <s v="URBANO"/>
    <s v="SOCIAL"/>
    <x v="7"/>
    <x v="2"/>
    <x v="15"/>
    <n v="15"/>
    <x v="1"/>
    <s v="EJECUCION"/>
    <n v="40009545"/>
    <s v="KARIN"/>
    <s v="CONSERVACION VEREDAS SECTOR LOS MUERMOS  (C33)"/>
    <m/>
    <n v="526563000"/>
    <n v="525729390"/>
    <n v="833610"/>
    <n v="0"/>
    <m/>
    <m/>
    <m/>
    <m/>
    <m/>
    <m/>
    <m/>
    <m/>
    <m/>
    <m/>
    <m/>
    <n v="0"/>
    <n v="833610"/>
    <n v="0"/>
    <s v="RS*"/>
    <s v="En Ejecución "/>
  </r>
  <r>
    <m/>
    <x v="1"/>
    <m/>
    <s v="PROYECTOS"/>
    <s v="A"/>
    <s v="RURAL"/>
    <s v="AGUA POTABLE"/>
    <x v="8"/>
    <x v="2"/>
    <x v="15"/>
    <n v="15"/>
    <x v="5"/>
    <s v="EJECUCION"/>
    <n v="30422722"/>
    <s v="KARIN"/>
    <s v="CONSTRUCCION SERVICIO APR SANTA AMANDA, LOS MUERMOS"/>
    <m/>
    <n v="653685000"/>
    <n v="150000000"/>
    <n v="300929004"/>
    <n v="0"/>
    <m/>
    <m/>
    <m/>
    <m/>
    <m/>
    <m/>
    <m/>
    <m/>
    <m/>
    <m/>
    <m/>
    <n v="0"/>
    <n v="300929004"/>
    <n v="202755996"/>
    <s v="RS"/>
    <s v="En Ejecución "/>
  </r>
  <r>
    <m/>
    <x v="1"/>
    <m/>
    <s v="PROYECTOS"/>
    <s v="A"/>
    <s v="RURAL"/>
    <s v="SOCIAL"/>
    <x v="6"/>
    <x v="2"/>
    <x v="15"/>
    <n v="15"/>
    <x v="1"/>
    <s v="EJECUCION"/>
    <n v="30103323"/>
    <s v="KARIN"/>
    <s v="CONSTRUCCION CIERRE EX VERTEDERO MUNICIPAL LOS MUERMOS"/>
    <m/>
    <n v="207019010"/>
    <n v="99601553"/>
    <n v="24025103"/>
    <n v="0"/>
    <m/>
    <m/>
    <m/>
    <m/>
    <m/>
    <m/>
    <m/>
    <m/>
    <m/>
    <m/>
    <m/>
    <n v="0"/>
    <n v="24025103"/>
    <n v="83392354"/>
    <s v="RS"/>
    <s v="En Liquidación"/>
  </r>
  <r>
    <m/>
    <x v="0"/>
    <m/>
    <m/>
    <m/>
    <m/>
    <m/>
    <x v="0"/>
    <x v="0"/>
    <x v="0"/>
    <m/>
    <x v="0"/>
    <m/>
    <m/>
    <m/>
    <s v="TOTAL DE INICIATIVAS EN EJECUCION / LIQUIDACION "/>
    <m/>
    <n v="2556467010"/>
    <n v="1061023783"/>
    <n v="562081828"/>
    <n v="9360000"/>
    <n v="0"/>
    <n v="0"/>
    <n v="0"/>
    <n v="0"/>
    <n v="0"/>
    <n v="0"/>
    <n v="0"/>
    <n v="0"/>
    <n v="0"/>
    <n v="0"/>
    <n v="0"/>
    <n v="9360000"/>
    <n v="552721828"/>
    <n v="933361399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CONECTIVIDAD"/>
    <x v="7"/>
    <x v="2"/>
    <x v="15"/>
    <n v="15"/>
    <x v="1"/>
    <s v="DISEÑO"/>
    <n v="30463128"/>
    <s v="KARIN"/>
    <s v="MEJORAMIENTO CALLE MANUEL MONTT BARRIO COMERCIAL"/>
    <m/>
    <n v="40580000"/>
    <n v="24899112"/>
    <n v="15680888"/>
    <n v="0"/>
    <m/>
    <m/>
    <m/>
    <m/>
    <m/>
    <m/>
    <m/>
    <m/>
    <m/>
    <m/>
    <m/>
    <n v="0"/>
    <n v="15680888"/>
    <n v="0"/>
    <s v="RS"/>
    <s v="Licitación Cerrada (15.06.20)"/>
  </r>
  <r>
    <m/>
    <x v="1"/>
    <m/>
    <s v="PROYECTOS"/>
    <s v="L"/>
    <s v="RURAL"/>
    <s v="SOCIAL"/>
    <x v="7"/>
    <x v="2"/>
    <x v="15"/>
    <n v="15"/>
    <x v="1"/>
    <s v="EJECUCION"/>
    <n v="40011005"/>
    <s v="KARIN"/>
    <s v="CONSERVACION VEREDAS SECTOR CANITAS Y RIO FRIO (C33)"/>
    <m/>
    <n v="351704000"/>
    <n v="73464012"/>
    <n v="278239988"/>
    <n v="170144456"/>
    <m/>
    <m/>
    <m/>
    <m/>
    <m/>
    <m/>
    <m/>
    <m/>
    <m/>
    <m/>
    <m/>
    <n v="170144456"/>
    <n v="108095532"/>
    <n v="0"/>
    <s v="RS*"/>
    <s v="Licitación Adjudicada (29.05.20)"/>
  </r>
  <r>
    <m/>
    <x v="1"/>
    <m/>
    <s v="PROYECTOS"/>
    <s v="L"/>
    <s v="URBANO"/>
    <s v="SOCIAL"/>
    <x v="6"/>
    <x v="2"/>
    <x v="15"/>
    <n v="15"/>
    <x v="1"/>
    <s v="DISEÑO"/>
    <n v="30125824"/>
    <s v="PAULINA"/>
    <s v="AMPLIACION Y REMODELACION INTEGRAL CONSISTORIAL LOS MUERMOS"/>
    <m/>
    <n v="137650000"/>
    <n v="0"/>
    <n v="50000000"/>
    <n v="19831562"/>
    <m/>
    <m/>
    <m/>
    <m/>
    <m/>
    <m/>
    <m/>
    <m/>
    <m/>
    <m/>
    <m/>
    <n v="19831562"/>
    <n v="30168438"/>
    <n v="87650000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529934000"/>
    <n v="98363124"/>
    <n v="343920876"/>
    <n v="189976018"/>
    <n v="0"/>
    <n v="0"/>
    <n v="0"/>
    <n v="0"/>
    <n v="0"/>
    <n v="0"/>
    <n v="0"/>
    <n v="0"/>
    <n v="0"/>
    <n v="0"/>
    <n v="0"/>
    <n v="189976018"/>
    <n v="153944858"/>
    <n v="8765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RURAL"/>
    <s v="SOCIAL"/>
    <x v="10"/>
    <x v="2"/>
    <x v="15"/>
    <n v="15"/>
    <x v="1"/>
    <s v="EJECUCION"/>
    <n v="40011698"/>
    <m/>
    <s v="HABILITACION SUMINISTRO ENERGIA ELECTRICA VARIOS SECTORES, LOS MUERMOS"/>
    <m/>
    <n v="115072000"/>
    <n v="0"/>
    <n v="115072000"/>
    <n v="0"/>
    <m/>
    <m/>
    <m/>
    <m/>
    <m/>
    <m/>
    <m/>
    <m/>
    <m/>
    <m/>
    <m/>
    <n v="0"/>
    <n v="115072000"/>
    <n v="0"/>
    <s v="RS"/>
    <s v="Convenio en Tramite"/>
  </r>
  <r>
    <m/>
    <x v="1"/>
    <m/>
    <s v="PROYECTOS"/>
    <s v="N"/>
    <m/>
    <m/>
    <x v="2"/>
    <x v="2"/>
    <x v="15"/>
    <n v="15"/>
    <x v="1"/>
    <s v="EJECUCION"/>
    <n v="40018868"/>
    <m/>
    <s v="REPOSICION CUARTEL GENERAL Y PRIMERA COMPAÑIA DE BOMBEROS"/>
    <m/>
    <n v="890770000"/>
    <n v="0"/>
    <n v="100000000"/>
    <n v="0"/>
    <m/>
    <m/>
    <m/>
    <m/>
    <m/>
    <m/>
    <m/>
    <m/>
    <m/>
    <m/>
    <m/>
    <n v="0"/>
    <n v="100000000"/>
    <n v="790770000"/>
    <s v="RS"/>
    <s v="ARI"/>
  </r>
  <r>
    <m/>
    <x v="2"/>
    <m/>
    <s v="FRIL"/>
    <s v="N"/>
    <s v="URBANO"/>
    <s v="SOCIAL"/>
    <x v="6"/>
    <x v="2"/>
    <x v="15"/>
    <n v="15"/>
    <x v="2"/>
    <s v="EJECUCION"/>
    <s v="FRIL"/>
    <m/>
    <s v="FONDO REGIONAL DE INICIATIVAS LOCAL"/>
    <m/>
    <n v="200000000"/>
    <n v="0"/>
    <n v="200000000"/>
    <n v="69436398"/>
    <m/>
    <m/>
    <m/>
    <m/>
    <m/>
    <m/>
    <m/>
    <m/>
    <m/>
    <m/>
    <m/>
    <n v="69436398"/>
    <n v="130563602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205842000"/>
    <n v="0"/>
    <n v="415072000"/>
    <n v="69436398"/>
    <n v="0"/>
    <n v="0"/>
    <n v="0"/>
    <n v="0"/>
    <n v="0"/>
    <n v="0"/>
    <n v="0"/>
    <n v="0"/>
    <n v="0"/>
    <n v="0"/>
    <n v="0"/>
    <n v="69436398"/>
    <n v="345635602"/>
    <n v="79077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LOS MUERMOS"/>
    <m/>
    <n v="4292243010"/>
    <n v="1159386907"/>
    <n v="1321074704"/>
    <n v="268772416"/>
    <n v="0"/>
    <n v="0"/>
    <n v="0"/>
    <n v="0"/>
    <n v="0"/>
    <n v="0"/>
    <n v="0"/>
    <n v="0"/>
    <n v="0"/>
    <n v="0"/>
    <n v="0"/>
    <n v="268772416"/>
    <n v="1052302288"/>
    <n v="1811781399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MAULLIN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s v="ASC"/>
    <x v="1"/>
    <m/>
    <s v="PROYECTOS"/>
    <s v="N"/>
    <s v="RURAL"/>
    <s v="SOCIAL"/>
    <x v="10"/>
    <x v="2"/>
    <x v="16"/>
    <n v="16"/>
    <x v="1"/>
    <s v="EJECUCION"/>
    <n v="30485255"/>
    <m/>
    <s v="HABILITACION SUMINISTRO DE ENERGIA ELECTRICA SECTOR QUEMAS DE CHUYAQUEN, MAULLIN"/>
    <m/>
    <n v="147506000"/>
    <n v="0"/>
    <n v="147506000"/>
    <n v="0"/>
    <m/>
    <m/>
    <m/>
    <m/>
    <m/>
    <m/>
    <m/>
    <m/>
    <m/>
    <m/>
    <m/>
    <n v="0"/>
    <n v="147506000"/>
    <n v="0"/>
    <s v="RS"/>
    <s v="Convenio en Tramite"/>
  </r>
  <r>
    <m/>
    <x v="3"/>
    <m/>
    <s v="SUBT 29"/>
    <s v="N"/>
    <m/>
    <m/>
    <x v="2"/>
    <x v="2"/>
    <x v="16"/>
    <n v="16"/>
    <x v="1"/>
    <s v="EJECUCION"/>
    <n v="40007939"/>
    <s v="KARIN"/>
    <s v="REPOSICION EQUIPOS DE ALUMBRADO PUBLICO CON TECNOLOGIA LED (C33)"/>
    <m/>
    <n v="902195624"/>
    <n v="0"/>
    <n v="250000000"/>
    <n v="0"/>
    <m/>
    <m/>
    <m/>
    <m/>
    <m/>
    <m/>
    <m/>
    <m/>
    <m/>
    <m/>
    <m/>
    <n v="0"/>
    <n v="250000000"/>
    <n v="652195624"/>
    <s v="RS*"/>
    <s v="ARI"/>
  </r>
  <r>
    <m/>
    <x v="1"/>
    <m/>
    <s v="PROYECTOS"/>
    <s v="N"/>
    <m/>
    <m/>
    <x v="4"/>
    <x v="2"/>
    <x v="16"/>
    <n v="16"/>
    <x v="1"/>
    <s v="EJECUCION"/>
    <n v="30134234"/>
    <m/>
    <s v="CONSTRUCCION GIMNASIO TEN TEN"/>
    <m/>
    <n v="834246000"/>
    <n v="0"/>
    <n v="200000000"/>
    <n v="0"/>
    <m/>
    <m/>
    <m/>
    <m/>
    <m/>
    <m/>
    <m/>
    <m/>
    <m/>
    <m/>
    <m/>
    <n v="0"/>
    <n v="200000000"/>
    <n v="634246000"/>
    <s v="RS"/>
    <m/>
  </r>
  <r>
    <m/>
    <x v="1"/>
    <m/>
    <s v="PROYECTOS"/>
    <s v="N"/>
    <m/>
    <m/>
    <x v="3"/>
    <x v="2"/>
    <x v="16"/>
    <n v="16"/>
    <x v="1"/>
    <s v="DISEÑO"/>
    <n v="40007573"/>
    <m/>
    <s v="REPOSICION ESCUELA JOSE ABELARDO NUÑEZ"/>
    <m/>
    <n v="137618000"/>
    <n v="0"/>
    <n v="40000000"/>
    <n v="0"/>
    <m/>
    <m/>
    <m/>
    <m/>
    <m/>
    <m/>
    <m/>
    <m/>
    <m/>
    <m/>
    <m/>
    <n v="0"/>
    <n v="40000000"/>
    <n v="97618000"/>
    <s v="RS"/>
    <s v="ARI"/>
  </r>
  <r>
    <m/>
    <x v="1"/>
    <m/>
    <s v="PROYECTOS"/>
    <s v="N"/>
    <m/>
    <m/>
    <x v="4"/>
    <x v="2"/>
    <x v="16"/>
    <n v="16"/>
    <x v="1"/>
    <s v="EJECUCION"/>
    <n v="30395422"/>
    <m/>
    <s v="REPOSICION CANCHA LEPIHUE"/>
    <m/>
    <n v="451210000"/>
    <n v="0"/>
    <n v="150000000"/>
    <n v="0"/>
    <m/>
    <m/>
    <m/>
    <m/>
    <m/>
    <m/>
    <m/>
    <m/>
    <m/>
    <m/>
    <m/>
    <n v="0"/>
    <n v="150000000"/>
    <n v="301210000"/>
    <s v="RS"/>
    <m/>
  </r>
  <r>
    <m/>
    <x v="2"/>
    <m/>
    <s v="FRIL"/>
    <s v="N"/>
    <s v="URBANO"/>
    <s v="SOCIAL"/>
    <x v="6"/>
    <x v="2"/>
    <x v="16"/>
    <n v="16"/>
    <x v="2"/>
    <s v="EJECUCION"/>
    <s v="FRIL"/>
    <m/>
    <s v="FONDO REGIONAL DE INICIATIVAS LOCAL"/>
    <m/>
    <n v="200000000"/>
    <n v="0"/>
    <n v="200000000"/>
    <n v="4552196"/>
    <m/>
    <m/>
    <m/>
    <m/>
    <m/>
    <m/>
    <m/>
    <m/>
    <m/>
    <m/>
    <m/>
    <n v="4552196"/>
    <n v="195447804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2672775624"/>
    <n v="0"/>
    <n v="987506000"/>
    <n v="4552196"/>
    <n v="0"/>
    <n v="0"/>
    <n v="0"/>
    <n v="0"/>
    <n v="0"/>
    <n v="0"/>
    <n v="0"/>
    <n v="0"/>
    <n v="0"/>
    <n v="0"/>
    <n v="0"/>
    <n v="4552196"/>
    <n v="982953804"/>
    <n v="1685269624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MAULLIN"/>
    <m/>
    <n v="2672775624"/>
    <n v="0"/>
    <n v="987506000"/>
    <n v="4552196"/>
    <n v="0"/>
    <n v="0"/>
    <n v="0"/>
    <n v="0"/>
    <n v="0"/>
    <n v="0"/>
    <n v="0"/>
    <n v="0"/>
    <n v="0"/>
    <n v="0"/>
    <n v="0"/>
    <n v="4552196"/>
    <n v="982953804"/>
    <n v="1685269624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UERTO VARAS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4"/>
    <x v="2"/>
    <x v="17"/>
    <n v="17"/>
    <x v="1"/>
    <s v="EJECUCION"/>
    <n v="30064230"/>
    <s v="PAULINA"/>
    <s v="REPOSICION ESTADIO EWALDO KLEIN DE PUERTO VARAS"/>
    <m/>
    <n v="2746936000"/>
    <n v="1076381867"/>
    <n v="500000000"/>
    <n v="0"/>
    <m/>
    <m/>
    <m/>
    <m/>
    <m/>
    <m/>
    <m/>
    <m/>
    <m/>
    <m/>
    <m/>
    <n v="0"/>
    <n v="500000000"/>
    <n v="1170554133"/>
    <s v="RS"/>
    <s v="En Ejecución "/>
  </r>
  <r>
    <m/>
    <x v="1"/>
    <m/>
    <s v="PROYECTOS"/>
    <s v="A"/>
    <s v="URBANO"/>
    <s v="CONECTIVIDAD"/>
    <x v="7"/>
    <x v="2"/>
    <x v="17"/>
    <n v="17"/>
    <x v="1"/>
    <s v="EJECUCION"/>
    <n v="40005578"/>
    <s v="KARIN"/>
    <s v="MEJORAMIENTO CALLE TERRAPLEN, PUERTO VARAS"/>
    <m/>
    <n v="258669418"/>
    <n v="195904175"/>
    <n v="62765243"/>
    <n v="49100923"/>
    <m/>
    <m/>
    <m/>
    <m/>
    <m/>
    <m/>
    <m/>
    <m/>
    <m/>
    <m/>
    <m/>
    <n v="49100923"/>
    <n v="13664320"/>
    <n v="0"/>
    <s v="RS"/>
    <s v="En Ejecución "/>
  </r>
  <r>
    <m/>
    <x v="1"/>
    <m/>
    <s v="PROYECTOS"/>
    <s v="A"/>
    <s v="URBANO"/>
    <s v="CONECTIVIDAD"/>
    <x v="7"/>
    <x v="2"/>
    <x v="17"/>
    <n v="17"/>
    <x v="1"/>
    <s v="EJECUCION"/>
    <n v="40001254"/>
    <s v="KARIN"/>
    <s v="MEJORAMIENTO CALLE SAN MARTIN, PUERTO VARAS"/>
    <m/>
    <n v="248242534"/>
    <n v="228806813"/>
    <n v="19435721"/>
    <n v="0"/>
    <m/>
    <m/>
    <m/>
    <m/>
    <m/>
    <m/>
    <m/>
    <m/>
    <m/>
    <m/>
    <m/>
    <n v="0"/>
    <n v="19435721"/>
    <n v="0"/>
    <s v="RS"/>
    <s v="En Ejecución "/>
  </r>
  <r>
    <m/>
    <x v="1"/>
    <m/>
    <s v="PROYECTOS"/>
    <s v="A"/>
    <s v="RURAL"/>
    <s v="SOCIAL"/>
    <x v="3"/>
    <x v="2"/>
    <x v="17"/>
    <n v="17"/>
    <x v="1"/>
    <s v="EJECUCION"/>
    <n v="30066636"/>
    <s v="KARIN"/>
    <s v="REPOSICION ESCUELA EPSON ENSENADA"/>
    <m/>
    <n v="2826817000"/>
    <n v="2256883403"/>
    <n v="569933597"/>
    <n v="0"/>
    <m/>
    <m/>
    <m/>
    <m/>
    <m/>
    <m/>
    <m/>
    <m/>
    <m/>
    <m/>
    <m/>
    <n v="0"/>
    <n v="569933597"/>
    <n v="0"/>
    <s v="RS"/>
    <s v="En Ejecución "/>
  </r>
  <r>
    <m/>
    <x v="1"/>
    <m/>
    <s v="PROYECTOS"/>
    <s v="A"/>
    <s v="URBANO"/>
    <s v="CONECTIVIDAD"/>
    <x v="1"/>
    <x v="2"/>
    <x v="17"/>
    <n v="17"/>
    <x v="1"/>
    <s v="EJECUCION"/>
    <n v="40005278"/>
    <s v="PAULINA"/>
    <s v="CONSERVACION VIAS URBANAS PUERTO VARAS (C33)"/>
    <m/>
    <n v="980817000"/>
    <n v="610418300"/>
    <n v="370398700"/>
    <n v="205288253"/>
    <m/>
    <m/>
    <m/>
    <m/>
    <m/>
    <m/>
    <m/>
    <m/>
    <m/>
    <m/>
    <m/>
    <n v="205288253"/>
    <n v="165110447"/>
    <n v="0"/>
    <s v="RS*"/>
    <s v="En Ejecución "/>
  </r>
  <r>
    <m/>
    <x v="3"/>
    <m/>
    <s v="SUBT 29"/>
    <s v="A"/>
    <s v="URBANO"/>
    <s v="SOCIAL"/>
    <x v="3"/>
    <x v="2"/>
    <x v="17"/>
    <n v="17"/>
    <x v="1"/>
    <s v="EJECUCION"/>
    <n v="30436694"/>
    <s v="PAULINA"/>
    <s v="ADQUISICION EQUIPAMIENTO ESTABLECIMIENTOS EDUCACIONALES, PTO VARAS(C33)"/>
    <m/>
    <n v="488214000"/>
    <n v="80298900"/>
    <n v="150000000"/>
    <n v="0"/>
    <m/>
    <m/>
    <m/>
    <m/>
    <m/>
    <m/>
    <m/>
    <m/>
    <m/>
    <m/>
    <m/>
    <n v="0"/>
    <n v="150000000"/>
    <n v="257915100"/>
    <s v="RS*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7549695952"/>
    <n v="4448693458"/>
    <n v="1672533261"/>
    <n v="254389176"/>
    <n v="0"/>
    <n v="0"/>
    <n v="0"/>
    <n v="0"/>
    <n v="0"/>
    <n v="0"/>
    <n v="0"/>
    <n v="0"/>
    <n v="0"/>
    <n v="0"/>
    <n v="0"/>
    <n v="254389176"/>
    <n v="1418144085"/>
    <n v="1428469233"/>
    <m/>
    <s v="En Ejecución-ARRASTRE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2"/>
    <x v="2"/>
    <x v="17"/>
    <n v="17"/>
    <x v="1"/>
    <s v="EJECUCION"/>
    <n v="30204522"/>
    <s v="KARIN"/>
    <s v="REPOSICION CUARTEL SEXTA COMPAÑIA DE BOMBEROS"/>
    <m/>
    <n v="1237007000"/>
    <n v="4375000"/>
    <n v="560086264"/>
    <n v="0"/>
    <m/>
    <m/>
    <m/>
    <m/>
    <m/>
    <m/>
    <m/>
    <m/>
    <m/>
    <m/>
    <m/>
    <n v="0"/>
    <n v="560086264"/>
    <n v="672545736"/>
    <s v="RS"/>
    <s v="Licitación Adjudicada"/>
  </r>
  <r>
    <m/>
    <x v="1"/>
    <m/>
    <s v="PROYECTOS"/>
    <s v="L"/>
    <s v="URBANO"/>
    <s v="CONECTIVIDAD"/>
    <x v="7"/>
    <x v="2"/>
    <x v="17"/>
    <n v="17"/>
    <x v="1"/>
    <s v="EJECUCION"/>
    <n v="40010719"/>
    <s v="PAULINA"/>
    <s v="MEJORAMIENTO CALLE Y PASAJE LA QUEBRADA"/>
    <m/>
    <n v="246000000"/>
    <n v="25043042"/>
    <n v="100000000"/>
    <n v="65428415"/>
    <m/>
    <m/>
    <m/>
    <m/>
    <m/>
    <m/>
    <m/>
    <m/>
    <m/>
    <m/>
    <m/>
    <n v="65428415"/>
    <n v="34571585"/>
    <n v="120956958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1483007000"/>
    <n v="29418042"/>
    <n v="660086264"/>
    <n v="65428415"/>
    <n v="0"/>
    <n v="0"/>
    <n v="0"/>
    <n v="0"/>
    <n v="0"/>
    <n v="0"/>
    <n v="0"/>
    <n v="0"/>
    <n v="0"/>
    <n v="0"/>
    <n v="0"/>
    <n v="65428415"/>
    <n v="594657849"/>
    <n v="793502694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7"/>
    <x v="2"/>
    <x v="17"/>
    <n v="17"/>
    <x v="1"/>
    <s v="EJECUCION"/>
    <n v="40015147"/>
    <m/>
    <s v="CONSERVACION ACERAS DIVERSOS SECTORES DE PUERTO VARAS (C33)"/>
    <m/>
    <n v="818000000"/>
    <n v="0"/>
    <n v="349094213"/>
    <n v="0"/>
    <m/>
    <m/>
    <m/>
    <m/>
    <m/>
    <m/>
    <m/>
    <m/>
    <m/>
    <m/>
    <m/>
    <n v="0"/>
    <n v="349094213"/>
    <n v="468905787"/>
    <s v="RS*"/>
    <s v="Convenio en Tramite"/>
  </r>
  <r>
    <m/>
    <x v="4"/>
    <m/>
    <s v="ESTUDIOS"/>
    <s v="N"/>
    <m/>
    <m/>
    <x v="1"/>
    <x v="2"/>
    <x v="17"/>
    <n v="17"/>
    <x v="1"/>
    <s v="EJECUCION"/>
    <n v="40023990"/>
    <m/>
    <s v="DIAGNOSTICO SISTEMA DE TRANSPORTE URBANO CIUDAD DE PUERTO VARAS, ETAPA I"/>
    <m/>
    <n v="200000000"/>
    <n v="0"/>
    <n v="25000000"/>
    <n v="0"/>
    <m/>
    <m/>
    <m/>
    <m/>
    <m/>
    <m/>
    <m/>
    <m/>
    <m/>
    <m/>
    <m/>
    <n v="0"/>
    <n v="25000000"/>
    <n v="175000000"/>
    <s v="RS*"/>
    <m/>
  </r>
  <r>
    <m/>
    <x v="1"/>
    <m/>
    <s v="PROYECTOS"/>
    <s v="N"/>
    <m/>
    <m/>
    <x v="7"/>
    <x v="2"/>
    <x v="17"/>
    <n v="17"/>
    <x v="1"/>
    <s v="EJECUCION"/>
    <n v="30485331"/>
    <m/>
    <s v="MEJORAMIENTO PARQUE CERRO PHILIPPI PUERTO VARAS"/>
    <m/>
    <n v="706257000"/>
    <n v="0"/>
    <n v="100000000"/>
    <n v="0"/>
    <m/>
    <m/>
    <m/>
    <m/>
    <m/>
    <m/>
    <m/>
    <m/>
    <m/>
    <m/>
    <m/>
    <n v="0"/>
    <n v="100000000"/>
    <n v="606257000"/>
    <s v="RS"/>
    <m/>
  </r>
  <r>
    <m/>
    <x v="2"/>
    <m/>
    <s v="FRIL"/>
    <s v="N"/>
    <s v="URBANO"/>
    <s v="SOCIAL"/>
    <x v="6"/>
    <x v="2"/>
    <x v="17"/>
    <n v="17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924257000"/>
    <n v="0"/>
    <n v="674094213"/>
    <n v="0"/>
    <n v="0"/>
    <n v="0"/>
    <n v="0"/>
    <n v="0"/>
    <n v="0"/>
    <n v="0"/>
    <n v="0"/>
    <n v="0"/>
    <n v="0"/>
    <n v="0"/>
    <n v="0"/>
    <n v="0"/>
    <n v="674094213"/>
    <n v="1250162787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.VARAS"/>
    <m/>
    <n v="10956959952"/>
    <n v="4478111500"/>
    <n v="3006713738"/>
    <n v="319817591"/>
    <n v="0"/>
    <n v="0"/>
    <n v="0"/>
    <n v="0"/>
    <n v="0"/>
    <n v="0"/>
    <n v="0"/>
    <n v="0"/>
    <n v="0"/>
    <n v="0"/>
    <n v="0"/>
    <n v="319817591"/>
    <n v="2686896147"/>
    <n v="3472134714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VINCIALES"/>
    <m/>
    <m/>
    <m/>
    <m/>
    <n v="0"/>
    <m/>
    <m/>
    <m/>
    <m/>
    <m/>
    <m/>
    <m/>
    <m/>
    <m/>
    <m/>
    <m/>
    <m/>
    <n v="0"/>
    <n v="0"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PV"/>
    <x v="1"/>
    <m/>
    <s v="PROYECTOS"/>
    <s v="A"/>
    <s v="RURAL"/>
    <s v="CONECTIVIDAD"/>
    <x v="1"/>
    <x v="2"/>
    <x v="18"/>
    <n v="18"/>
    <x v="7"/>
    <s v="EJECUCION"/>
    <n v="30342773"/>
    <s v="PAULINA"/>
    <s v="MEJORAMIENTO RUTA V 69 SECTOR RALUN COCHAMO"/>
    <m/>
    <n v="7077521000"/>
    <n v="6727964072"/>
    <n v="349556928"/>
    <n v="24543910"/>
    <m/>
    <m/>
    <m/>
    <m/>
    <m/>
    <m/>
    <m/>
    <m/>
    <m/>
    <m/>
    <m/>
    <n v="24543910"/>
    <n v="325013018"/>
    <n v="0"/>
    <s v="RS"/>
    <s v="En Ejecución / Reevaluación"/>
  </r>
  <r>
    <s v="S"/>
    <x v="1"/>
    <m/>
    <s v="PROYECTOS"/>
    <s v="A"/>
    <s v="RURAL"/>
    <s v="SOCIAL"/>
    <x v="9"/>
    <x v="2"/>
    <x v="18"/>
    <n v="18"/>
    <x v="1"/>
    <s v="EJECUCION"/>
    <n v="30380331"/>
    <s v="KARIN"/>
    <s v="CONSTRUCCION Y HABILITACION CENTRO DE DIALISIS HOSPITAL DE CALBUCO"/>
    <m/>
    <n v="1947580000"/>
    <n v="177066265"/>
    <n v="625000000"/>
    <n v="0"/>
    <m/>
    <m/>
    <m/>
    <m/>
    <m/>
    <m/>
    <m/>
    <m/>
    <m/>
    <m/>
    <m/>
    <n v="0"/>
    <n v="625000000"/>
    <n v="1145513735"/>
    <s v="RS"/>
    <s v="En Ejecución "/>
  </r>
  <r>
    <m/>
    <x v="1"/>
    <m/>
    <s v="PROYECTOS"/>
    <s v="A"/>
    <s v="RURAL"/>
    <s v="CONECTIVIDAD"/>
    <x v="1"/>
    <x v="2"/>
    <x v="18"/>
    <n v="18"/>
    <x v="1"/>
    <s v="EJECUCION"/>
    <n v="30133755"/>
    <s v="GLORIA"/>
    <s v="CONSERVACION RED VIAL DE VARIOS CAMINOS PAVIMENTADOS AÑO 2013 (C33)"/>
    <m/>
    <n v="9774474000"/>
    <n v="7927334204"/>
    <n v="1000000000"/>
    <n v="330005802"/>
    <m/>
    <m/>
    <m/>
    <m/>
    <m/>
    <m/>
    <m/>
    <m/>
    <m/>
    <m/>
    <m/>
    <n v="330005802"/>
    <n v="669994198"/>
    <n v="847139796"/>
    <s v="RS*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18799575000"/>
    <n v="14832364541"/>
    <n v="1974556928"/>
    <n v="354549712"/>
    <n v="0"/>
    <n v="0"/>
    <n v="0"/>
    <n v="0"/>
    <n v="0"/>
    <n v="0"/>
    <n v="0"/>
    <n v="0"/>
    <n v="0"/>
    <n v="0"/>
    <n v="0"/>
    <n v="354549712"/>
    <n v="1620007216"/>
    <n v="199265353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OCIAL"/>
    <x v="3"/>
    <x v="2"/>
    <x v="18"/>
    <n v="18"/>
    <x v="1"/>
    <s v="EJECUCION"/>
    <n v="30077481"/>
    <s v="PAULINA"/>
    <s v="RESTAURACION IGLESIA N. SRA. DE LA CANDELARIA (MN), CARELMAPU"/>
    <m/>
    <n v="2050780000"/>
    <n v="0"/>
    <n v="200000000"/>
    <n v="0"/>
    <m/>
    <m/>
    <m/>
    <m/>
    <m/>
    <m/>
    <m/>
    <m/>
    <m/>
    <m/>
    <m/>
    <n v="0"/>
    <n v="200000000"/>
    <n v="1850780000"/>
    <s v="RS"/>
    <s v="Licitación Desierta"/>
  </r>
  <r>
    <s v="H"/>
    <x v="1"/>
    <n v="1"/>
    <s v="PROYECTOS"/>
    <s v="L"/>
    <s v="URBANO"/>
    <s v="SOCIAL"/>
    <x v="7"/>
    <x v="2"/>
    <x v="18"/>
    <n v="18"/>
    <x v="1"/>
    <s v="EJECUCION"/>
    <n v="30376572"/>
    <s v="PAULINA"/>
    <s v="ACTUALIZACION PLAN MAESTRO DE AGUAS LLUVIAS DE PTO. MONTT"/>
    <m/>
    <n v="435343000"/>
    <n v="49084"/>
    <n v="50000000"/>
    <n v="0"/>
    <m/>
    <m/>
    <m/>
    <m/>
    <m/>
    <m/>
    <m/>
    <m/>
    <m/>
    <m/>
    <m/>
    <n v="0"/>
    <n v="50000000"/>
    <n v="385293916"/>
    <s v="RS"/>
    <s v="En Licitación"/>
  </r>
  <r>
    <s v="H"/>
    <x v="1"/>
    <m/>
    <s v="PROYECTOS"/>
    <s v="L"/>
    <s v="URBANO"/>
    <s v="CONECTIVIDAD"/>
    <x v="7"/>
    <x v="2"/>
    <x v="18"/>
    <n v="18"/>
    <x v="1"/>
    <s v="EJECUCION"/>
    <n v="30127010"/>
    <s v="PAULINA"/>
    <s v="MEJORAMIENTO CALLE EL TENIENTE BARRIO INDUSTRIAL"/>
    <m/>
    <n v="3678102000"/>
    <n v="417402781"/>
    <n v="700000000"/>
    <n v="125595613"/>
    <m/>
    <m/>
    <m/>
    <m/>
    <m/>
    <m/>
    <m/>
    <m/>
    <m/>
    <m/>
    <m/>
    <n v="125595613"/>
    <n v="574404387"/>
    <n v="2560699219"/>
    <s v="RS"/>
    <s v="Licitación Adjudicada"/>
  </r>
  <r>
    <s v="H"/>
    <x v="1"/>
    <m/>
    <s v="PROYECTOS"/>
    <s v="L"/>
    <s v="URBANO"/>
    <s v="CONECTIVIDAD"/>
    <x v="1"/>
    <x v="2"/>
    <x v="18"/>
    <n v="18"/>
    <x v="1"/>
    <s v="DISEÑO"/>
    <n v="30437675"/>
    <s v="PAULINA"/>
    <s v="CONSTRUCCION INTERTERRAZAS PUERTO MONTT, ETAPA I"/>
    <m/>
    <n v="500000000"/>
    <n v="0"/>
    <n v="100000000"/>
    <n v="0"/>
    <m/>
    <m/>
    <m/>
    <m/>
    <m/>
    <m/>
    <m/>
    <m/>
    <m/>
    <m/>
    <m/>
    <n v="0"/>
    <n v="100000000"/>
    <n v="400000000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6664225000"/>
    <n v="417451865"/>
    <n v="1050000000"/>
    <n v="125595613"/>
    <n v="0"/>
    <n v="0"/>
    <n v="0"/>
    <n v="0"/>
    <n v="0"/>
    <n v="0"/>
    <n v="0"/>
    <n v="0"/>
    <n v="0"/>
    <n v="0"/>
    <n v="0"/>
    <n v="125595613"/>
    <n v="924404387"/>
    <n v="5196773135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2"/>
    <x v="2"/>
    <x v="18"/>
    <n v="18"/>
    <x v="1"/>
    <s v="EJECUCION"/>
    <n v="30077182"/>
    <s v="KARIN"/>
    <s v="REPOSICION CUARTEL INVESTIGACIONES PUERTO VARAS"/>
    <s v="CERT. CORE 06 ACTUALIZA PPTO FNDR"/>
    <n v="2304827000"/>
    <n v="9000000"/>
    <n v="300000000"/>
    <n v="0"/>
    <m/>
    <m/>
    <m/>
    <m/>
    <m/>
    <m/>
    <m/>
    <m/>
    <m/>
    <m/>
    <m/>
    <n v="0"/>
    <n v="300000000"/>
    <n v="1995827000"/>
    <s v="RE"/>
    <s v="Convenio en Confección"/>
  </r>
  <r>
    <m/>
    <x v="3"/>
    <m/>
    <s v="SUBT 29"/>
    <s v="N"/>
    <m/>
    <m/>
    <x v="2"/>
    <x v="2"/>
    <x v="18"/>
    <n v="18"/>
    <x v="1"/>
    <s v="EJECUCION"/>
    <n v="40008014"/>
    <s v="PAULINA"/>
    <s v="ADQUISICION VEHICULOS POLICIALES PARA PATRULLAS ANTI-ABIGEATOS PROVINCIA DE LLANQUIHUE (C33)"/>
    <m/>
    <n v="105867000"/>
    <n v="0"/>
    <n v="105867000"/>
    <n v="0"/>
    <m/>
    <m/>
    <m/>
    <m/>
    <m/>
    <m/>
    <m/>
    <m/>
    <m/>
    <m/>
    <m/>
    <n v="0"/>
    <n v="105867000"/>
    <n v="0"/>
    <s v="RS*"/>
    <m/>
  </r>
  <r>
    <s v="ASC"/>
    <x v="1"/>
    <m/>
    <s v="PROYECTOS"/>
    <s v="N"/>
    <m/>
    <m/>
    <x v="1"/>
    <x v="2"/>
    <x v="18"/>
    <n v="18"/>
    <x v="1"/>
    <s v="EJECUCION"/>
    <n v="40027009"/>
    <m/>
    <s v="CONSERVACION PERIODICA CAMINOS VECINALES CALBUCO Y MAULLIN 2020-2021(C33)"/>
    <m/>
    <n v="900500000"/>
    <n v="0"/>
    <n v="500000000"/>
    <n v="0"/>
    <m/>
    <m/>
    <m/>
    <m/>
    <m/>
    <m/>
    <m/>
    <m/>
    <m/>
    <m/>
    <m/>
    <n v="0"/>
    <n v="500000000"/>
    <n v="400500000"/>
    <s v="RS*"/>
    <m/>
  </r>
  <r>
    <m/>
    <x v="3"/>
    <m/>
    <s v="SUBT 29"/>
    <s v="N"/>
    <m/>
    <m/>
    <x v="6"/>
    <x v="2"/>
    <x v="18"/>
    <n v="18"/>
    <x v="4"/>
    <s v="EJECUCION"/>
    <n v="40022683"/>
    <m/>
    <s v="ADQUISICION MAQUINA COMPACTADORA PARA RELLENO SANITARIO LA LAJA (C33)"/>
    <m/>
    <n v="504376000"/>
    <n v="0"/>
    <n v="504376000"/>
    <n v="0"/>
    <m/>
    <m/>
    <m/>
    <m/>
    <m/>
    <m/>
    <m/>
    <m/>
    <m/>
    <m/>
    <m/>
    <n v="0"/>
    <n v="504376000"/>
    <n v="0"/>
    <s v="RS*"/>
    <m/>
  </r>
  <r>
    <m/>
    <x v="1"/>
    <m/>
    <s v="PROYECTOS"/>
    <s v="N"/>
    <s v="RURAL"/>
    <s v="TURISMO"/>
    <x v="11"/>
    <x v="2"/>
    <x v="18"/>
    <n v="18"/>
    <x v="1"/>
    <s v="EJECUCION"/>
    <n v="40014647"/>
    <s v="KARIN"/>
    <s v="MEJORAMIENTO SENDERO SALTOS DEL PETROHUE, P. NACIONAL VIC. PEREZ ROSALES, PUERTO VARAS"/>
    <m/>
    <n v="288600000"/>
    <n v="0"/>
    <n v="96200000"/>
    <n v="32238576"/>
    <m/>
    <m/>
    <m/>
    <m/>
    <m/>
    <m/>
    <m/>
    <m/>
    <m/>
    <m/>
    <m/>
    <n v="32238576"/>
    <n v="63961424"/>
    <n v="192400000"/>
    <s v="RS"/>
    <m/>
  </r>
  <r>
    <m/>
    <x v="0"/>
    <m/>
    <m/>
    <m/>
    <m/>
    <m/>
    <x v="0"/>
    <x v="0"/>
    <x v="0"/>
    <m/>
    <x v="0"/>
    <m/>
    <m/>
    <m/>
    <s v="TOTAL DE INICIATIVAS NUEVAS"/>
    <m/>
    <n v="4104170000"/>
    <n v="9000000"/>
    <n v="1506443000"/>
    <n v="32238576"/>
    <n v="0"/>
    <n v="0"/>
    <n v="0"/>
    <n v="0"/>
    <n v="0"/>
    <n v="0"/>
    <n v="0"/>
    <n v="0"/>
    <n v="0"/>
    <n v="0"/>
    <n v="0"/>
    <n v="32238576"/>
    <n v="1474204424"/>
    <n v="2588727000"/>
    <m/>
    <s v="Licitación Cerrada (08.06.20)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PROVINCIALES"/>
    <m/>
    <n v="29567970000"/>
    <n v="15258816406"/>
    <n v="4530999928"/>
    <n v="512383901"/>
    <n v="0"/>
    <n v="0"/>
    <n v="0"/>
    <n v="0"/>
    <n v="0"/>
    <n v="0"/>
    <n v="0"/>
    <n v="0"/>
    <n v="0"/>
    <n v="0"/>
    <n v="0"/>
    <n v="512383901"/>
    <n v="4018616027"/>
    <n v="977815366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PROVINCIA DE LLANQUIHUE"/>
    <m/>
    <n v="108446512764"/>
    <n v="30955558081"/>
    <n v="22409803100.666634"/>
    <n v="3144418618"/>
    <n v="0"/>
    <n v="0"/>
    <n v="0"/>
    <n v="0"/>
    <n v="0"/>
    <n v="0"/>
    <n v="0"/>
    <n v="0"/>
    <n v="0"/>
    <n v="0"/>
    <n v="0"/>
    <n v="3144418618"/>
    <n v="19265384482.666634"/>
    <n v="55081151582.33336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ANCUD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AGUA POTABLE"/>
    <x v="8"/>
    <x v="3"/>
    <x v="19"/>
    <n v="19"/>
    <x v="1"/>
    <s v="EJECUCION"/>
    <n v="30341232"/>
    <s v="HARRY"/>
    <s v="AMPLIACION SERVICIO APR BAHIA LINAO HACIA HUAPILINAO Y R.NEGRO,ANCUD"/>
    <m/>
    <n v="160308499"/>
    <n v="126194543"/>
    <n v="34113956"/>
    <n v="17291622"/>
    <m/>
    <m/>
    <m/>
    <m/>
    <m/>
    <m/>
    <m/>
    <m/>
    <m/>
    <m/>
    <m/>
    <n v="17291622"/>
    <n v="16822334"/>
    <n v="0"/>
    <s v="RS"/>
    <s v="En Ejecución "/>
  </r>
  <r>
    <m/>
    <x v="1"/>
    <m/>
    <s v="PROYECTOS"/>
    <s v="A"/>
    <m/>
    <m/>
    <x v="6"/>
    <x v="3"/>
    <x v="19"/>
    <n v="19"/>
    <x v="1"/>
    <s v="DISEÑO"/>
    <n v="30485368"/>
    <s v="FRANCISCA"/>
    <s v="REPOSICION CENTRO REHABILITACION CLUB DE LEONES COMUNA DE ANCUD"/>
    <m/>
    <n v="101500000"/>
    <n v="30300000"/>
    <n v="30543319"/>
    <n v="40400000"/>
    <m/>
    <m/>
    <m/>
    <m/>
    <m/>
    <m/>
    <m/>
    <m/>
    <m/>
    <m/>
    <m/>
    <n v="40400000"/>
    <n v="-9856681"/>
    <n v="40656681"/>
    <s v="RS"/>
    <s v="ARI"/>
  </r>
  <r>
    <m/>
    <x v="1"/>
    <m/>
    <s v="PROYECTOS"/>
    <s v="A"/>
    <s v="RURAL"/>
    <s v="AGUA POTABLE"/>
    <x v="8"/>
    <x v="3"/>
    <x v="19"/>
    <n v="19"/>
    <x v="1"/>
    <s v="EJECUCION"/>
    <n v="30109898"/>
    <s v="HARRY"/>
    <s v="CONSTRUCCION SISTEMA DE APR SECTOR CAULIN LA CUMBRE, ANCUD"/>
    <m/>
    <n v="661606000"/>
    <n v="642350200"/>
    <n v="19255800"/>
    <n v="2415197"/>
    <m/>
    <m/>
    <m/>
    <m/>
    <m/>
    <m/>
    <m/>
    <m/>
    <m/>
    <m/>
    <m/>
    <n v="2415197"/>
    <n v="16840603"/>
    <n v="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923414499"/>
    <n v="798844743"/>
    <n v="83913075"/>
    <n v="60106819"/>
    <n v="0"/>
    <n v="0"/>
    <n v="0"/>
    <n v="0"/>
    <n v="0"/>
    <n v="0"/>
    <n v="0"/>
    <n v="0"/>
    <n v="0"/>
    <n v="0"/>
    <n v="0"/>
    <n v="60106819"/>
    <n v="23806256"/>
    <n v="40656681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AGUA POTABLE"/>
    <x v="8"/>
    <x v="3"/>
    <x v="19"/>
    <n v="19"/>
    <x v="1"/>
    <s v="EJECUCION"/>
    <n v="40009233"/>
    <s v="HARRY"/>
    <s v="CONSTRUCCION REDES DE AP Y ALC. DE AGUAS SERVIDAS DIVERSOS SECTORES CIUDAD DE ANCUD"/>
    <m/>
    <n v="659095000"/>
    <n v="256882357"/>
    <n v="300000000"/>
    <n v="93881237"/>
    <m/>
    <m/>
    <m/>
    <m/>
    <m/>
    <m/>
    <m/>
    <m/>
    <m/>
    <m/>
    <m/>
    <n v="93881237"/>
    <n v="206118763"/>
    <n v="102212643"/>
    <s v="RS"/>
    <s v="Licitación Adjudicada"/>
  </r>
  <r>
    <s v="S"/>
    <x v="1"/>
    <m/>
    <s v="PROYECTOS"/>
    <s v="L"/>
    <s v="RURAL"/>
    <s v="SOCIAL"/>
    <x v="9"/>
    <x v="3"/>
    <x v="19"/>
    <n v="19"/>
    <x v="1"/>
    <s v="EJECUCION"/>
    <n v="30093349"/>
    <s v="FRANCISCA"/>
    <s v="REPOSICION POSTA SALUD RURAL DE MANAO, COMUNA DE ANCUD"/>
    <m/>
    <n v="563580000"/>
    <n v="0"/>
    <n v="301955931"/>
    <n v="0"/>
    <m/>
    <m/>
    <m/>
    <m/>
    <m/>
    <m/>
    <m/>
    <m/>
    <m/>
    <m/>
    <m/>
    <n v="0"/>
    <n v="301955931"/>
    <n v="261624069"/>
    <s v="RS"/>
    <s v="En Licitación"/>
  </r>
  <r>
    <m/>
    <x v="1"/>
    <m/>
    <s v="PROYECTOS"/>
    <s v="L"/>
    <s v="RURAL"/>
    <s v="AGUA POTABLE"/>
    <x v="8"/>
    <x v="3"/>
    <x v="19"/>
    <n v="19"/>
    <x v="5"/>
    <s v="EJECUCION"/>
    <n v="30116708"/>
    <s v="FRANCISCA"/>
    <s v="CONSTRUCCION RED APR PUMANZANO, ANCUD"/>
    <m/>
    <n v="842254000"/>
    <n v="0"/>
    <n v="150000000"/>
    <n v="0"/>
    <m/>
    <m/>
    <m/>
    <m/>
    <m/>
    <m/>
    <m/>
    <m/>
    <m/>
    <m/>
    <m/>
    <n v="0"/>
    <n v="150000000"/>
    <n v="692254000"/>
    <s v="RS"/>
    <s v="En Licitación"/>
  </r>
  <r>
    <s v="ASC"/>
    <x v="1"/>
    <m/>
    <s v="PROYECTOS"/>
    <s v="L"/>
    <s v="URBANO"/>
    <s v="ALCANTARILLADO"/>
    <x v="8"/>
    <x v="3"/>
    <x v="19"/>
    <n v="19"/>
    <x v="1"/>
    <s v="EJECUCION"/>
    <n v="40017416"/>
    <s v="FRANCISCA"/>
    <s v="CONSTRUCCION RED DE AGUA POTABLE Y ALCANTARILLADO CALLE EL CERRO Y PASAJE 1 CAUCUMEO"/>
    <m/>
    <n v="406672000"/>
    <n v="0"/>
    <n v="200000000"/>
    <n v="0"/>
    <m/>
    <m/>
    <m/>
    <m/>
    <m/>
    <m/>
    <m/>
    <m/>
    <m/>
    <m/>
    <m/>
    <n v="0"/>
    <n v="200000000"/>
    <n v="206672000"/>
    <s v="RS"/>
    <s v="En Licitación"/>
  </r>
  <r>
    <m/>
    <x v="1"/>
    <m/>
    <s v="PROYECTOS"/>
    <s v="L"/>
    <s v="URBANO"/>
    <s v="SOCIAL"/>
    <x v="3"/>
    <x v="3"/>
    <x v="19"/>
    <n v="19"/>
    <x v="1"/>
    <s v="EJECUCION"/>
    <n v="40001823"/>
    <s v="FRANCISCA"/>
    <s v="AMPLIACION SALA PSICOMOTRIZ Y HABITOS FISICOS"/>
    <m/>
    <n v="225228000"/>
    <n v="0"/>
    <n v="60199000"/>
    <n v="0"/>
    <m/>
    <m/>
    <m/>
    <m/>
    <m/>
    <m/>
    <m/>
    <m/>
    <m/>
    <m/>
    <m/>
    <n v="0"/>
    <n v="60199000"/>
    <n v="165029000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2696829000"/>
    <n v="256882357"/>
    <n v="1012154931"/>
    <n v="93881237"/>
    <n v="0"/>
    <n v="0"/>
    <n v="0"/>
    <n v="0"/>
    <n v="0"/>
    <n v="0"/>
    <n v="0"/>
    <n v="0"/>
    <n v="0"/>
    <n v="0"/>
    <n v="0"/>
    <n v="93881237"/>
    <n v="918273694"/>
    <n v="1427791712"/>
    <m/>
    <s v="En Licitació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n v="1"/>
    <s v="ESTUDIOS"/>
    <s v="N"/>
    <m/>
    <m/>
    <x v="3"/>
    <x v="3"/>
    <x v="19"/>
    <n v="19"/>
    <x v="1"/>
    <s v="EJECUCION"/>
    <n v="30083781"/>
    <s v="FRANCISCA"/>
    <s v="DIAGNOSTICO FORTIFICACIONES DE ANCUD"/>
    <m/>
    <n v="9154000"/>
    <n v="0"/>
    <n v="9154000"/>
    <n v="0"/>
    <m/>
    <m/>
    <m/>
    <m/>
    <m/>
    <m/>
    <m/>
    <m/>
    <m/>
    <m/>
    <m/>
    <n v="0"/>
    <n v="9154000"/>
    <n v="0"/>
    <s v="RS*"/>
    <m/>
  </r>
  <r>
    <s v="ASC"/>
    <x v="1"/>
    <m/>
    <s v="PROYECTOS"/>
    <s v="N"/>
    <m/>
    <m/>
    <x v="10"/>
    <x v="3"/>
    <x v="19"/>
    <n v="19"/>
    <x v="8"/>
    <s v="EJECUCION"/>
    <n v="40012136"/>
    <m/>
    <s v="HABILITACION Y SUMINISTRO DE ENERGIA ELECTRICA SECTOR KM 26 Y 27, COMUA DE ANCUD"/>
    <m/>
    <n v="189406000"/>
    <n v="0"/>
    <n v="189406000"/>
    <n v="0"/>
    <m/>
    <m/>
    <m/>
    <m/>
    <m/>
    <m/>
    <m/>
    <m/>
    <m/>
    <m/>
    <m/>
    <n v="0"/>
    <n v="189406000"/>
    <n v="0"/>
    <s v="RS"/>
    <m/>
  </r>
  <r>
    <m/>
    <x v="2"/>
    <m/>
    <s v="FRIL"/>
    <s v="N"/>
    <s v="URBANO"/>
    <s v="SOCIAL"/>
    <x v="6"/>
    <x v="3"/>
    <x v="19"/>
    <n v="19"/>
    <x v="2"/>
    <s v="EJECUCION"/>
    <s v="FRIL"/>
    <m/>
    <s v="FONDO REGIONAL DE INICIATIVAS LOCAL"/>
    <m/>
    <n v="200000000"/>
    <n v="0"/>
    <n v="200000000"/>
    <n v="27001017"/>
    <m/>
    <m/>
    <m/>
    <m/>
    <m/>
    <m/>
    <m/>
    <m/>
    <m/>
    <m/>
    <m/>
    <n v="27001017"/>
    <n v="172998983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398560000"/>
    <n v="0"/>
    <n v="398560000"/>
    <n v="27001017"/>
    <n v="0"/>
    <n v="0"/>
    <n v="0"/>
    <n v="0"/>
    <n v="0"/>
    <n v="0"/>
    <n v="0"/>
    <n v="0"/>
    <n v="0"/>
    <n v="0"/>
    <n v="0"/>
    <n v="27001017"/>
    <n v="371558983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ANCUD"/>
    <m/>
    <n v="4018803499"/>
    <n v="1055727100"/>
    <n v="1494628006"/>
    <n v="180989073"/>
    <n v="0"/>
    <n v="0"/>
    <n v="0"/>
    <n v="0"/>
    <n v="0"/>
    <n v="0"/>
    <n v="0"/>
    <n v="0"/>
    <n v="0"/>
    <n v="0"/>
    <n v="0"/>
    <n v="180989073"/>
    <n v="1313638933"/>
    <n v="146844839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CASTR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CONECTIVIDAD"/>
    <x v="7"/>
    <x v="3"/>
    <x v="20"/>
    <n v="20"/>
    <x v="1"/>
    <s v="EJECUCION"/>
    <n v="30485135"/>
    <s v="FRANCISCA"/>
    <s v="CONSERVACION VEREDAS CASTRO ALTO, COMUNA DE CASTRO (C33)"/>
    <m/>
    <n v="457733000"/>
    <n v="435946053"/>
    <n v="13009452"/>
    <n v="0"/>
    <m/>
    <m/>
    <m/>
    <m/>
    <m/>
    <m/>
    <m/>
    <m/>
    <m/>
    <m/>
    <m/>
    <n v="0"/>
    <n v="13009452"/>
    <n v="8777495"/>
    <s v="RS*"/>
    <s v="En Ejecución "/>
  </r>
  <r>
    <m/>
    <x v="1"/>
    <m/>
    <s v="PROYECTOS"/>
    <s v="A"/>
    <s v="URBANO"/>
    <s v="SOCIAL"/>
    <x v="3"/>
    <x v="3"/>
    <x v="20"/>
    <n v="20"/>
    <x v="1"/>
    <s v="DISEÑO"/>
    <n v="30076949"/>
    <s v="FRANCISCA"/>
    <s v="REPOSICION ESCUELA DE LA CULTURA, FRIDOLINA BARRIENTOS, CASTRO"/>
    <m/>
    <n v="336933000"/>
    <n v="191276297"/>
    <n v="102168027"/>
    <n v="56290043"/>
    <m/>
    <m/>
    <m/>
    <m/>
    <m/>
    <m/>
    <m/>
    <m/>
    <m/>
    <m/>
    <m/>
    <n v="56290043"/>
    <n v="45877984"/>
    <n v="43488676"/>
    <s v="RS"/>
    <s v="En Ejecución "/>
  </r>
  <r>
    <m/>
    <x v="1"/>
    <m/>
    <s v="PROYECTOS"/>
    <s v="A"/>
    <s v="URBANO"/>
    <s v="CONECTIVIDAD"/>
    <x v="1"/>
    <x v="3"/>
    <x v="20"/>
    <n v="20"/>
    <x v="1"/>
    <s v="EJECUCION"/>
    <n v="40003369"/>
    <s v="FRANCISCA"/>
    <s v="CONSERVACION CAMINOS ISLA QUEHUI, COMUNA DE CASTRO (C33)"/>
    <m/>
    <n v="550000000"/>
    <n v="285558353"/>
    <n v="200000000"/>
    <n v="0"/>
    <m/>
    <m/>
    <m/>
    <m/>
    <m/>
    <m/>
    <m/>
    <m/>
    <m/>
    <m/>
    <m/>
    <n v="0"/>
    <n v="200000000"/>
    <n v="64441647"/>
    <s v="RS*"/>
    <s v="En Ejecución "/>
  </r>
  <r>
    <m/>
    <x v="1"/>
    <m/>
    <s v="PROYECTOS"/>
    <s v="A"/>
    <s v="URBANO"/>
    <s v="FOMENTO PRODUCTIVO"/>
    <x v="11"/>
    <x v="3"/>
    <x v="20"/>
    <n v="20"/>
    <x v="1"/>
    <s v="EJECUCION"/>
    <n v="30076663"/>
    <s v="FRANCISCA"/>
    <s v="CONSERVACION FERIA LILLO COMUNA CASTRO (C33)"/>
    <m/>
    <n v="564532000"/>
    <n v="447235824"/>
    <n v="117296176"/>
    <n v="29699282"/>
    <m/>
    <m/>
    <m/>
    <m/>
    <m/>
    <m/>
    <m/>
    <m/>
    <m/>
    <m/>
    <m/>
    <n v="29699282"/>
    <n v="87596894"/>
    <n v="0"/>
    <s v="RS*"/>
    <s v="En Ejecución "/>
  </r>
  <r>
    <m/>
    <x v="1"/>
    <m/>
    <s v="PROYECTOS"/>
    <s v="A"/>
    <s v="URBANO"/>
    <s v="SOCIAL"/>
    <x v="9"/>
    <x v="3"/>
    <x v="20"/>
    <n v="20"/>
    <x v="1"/>
    <s v="EJECUCION"/>
    <n v="20140221"/>
    <s v="HARRY"/>
    <s v="REPOSICION POSTA DE SALUD RURAL DE LA ISLA CHELIN, CASTRO"/>
    <m/>
    <n v="600518000"/>
    <n v="203793037"/>
    <n v="300000000"/>
    <n v="0"/>
    <m/>
    <m/>
    <m/>
    <m/>
    <m/>
    <m/>
    <m/>
    <m/>
    <m/>
    <m/>
    <m/>
    <n v="0"/>
    <n v="300000000"/>
    <n v="96724963"/>
    <s v="RS"/>
    <s v="En Ejecución "/>
  </r>
  <r>
    <m/>
    <x v="1"/>
    <m/>
    <s v="PROYECTOS"/>
    <s v="A"/>
    <s v="URBANO"/>
    <s v="CONECTIVIDAD"/>
    <x v="7"/>
    <x v="3"/>
    <x v="20"/>
    <n v="20"/>
    <x v="1"/>
    <s v="EJECUCION"/>
    <n v="40002877"/>
    <s v="HARRY"/>
    <s v="MEJORAMIENTO URBANISTICO AVENIDA O´HIGGINS Y AVENIDA SAN MARTIN CASTRO"/>
    <m/>
    <n v="3779356000"/>
    <n v="219759892"/>
    <n v="745133102"/>
    <n v="0"/>
    <m/>
    <m/>
    <m/>
    <m/>
    <m/>
    <m/>
    <m/>
    <m/>
    <m/>
    <m/>
    <m/>
    <n v="0"/>
    <n v="745133102"/>
    <n v="2814463006"/>
    <s v="RS"/>
    <s v="En Ejecución-ARRASTRE "/>
  </r>
  <r>
    <m/>
    <x v="0"/>
    <m/>
    <m/>
    <m/>
    <m/>
    <m/>
    <x v="0"/>
    <x v="0"/>
    <x v="0"/>
    <m/>
    <x v="0"/>
    <m/>
    <m/>
    <m/>
    <s v="TOTAL DE INICIATIVAS EN EJECUCION / LIQUIDACION "/>
    <m/>
    <n v="6289072000"/>
    <n v="1783569456"/>
    <n v="1477606757"/>
    <n v="85989325"/>
    <n v="0"/>
    <n v="0"/>
    <n v="0"/>
    <n v="0"/>
    <n v="0"/>
    <n v="0"/>
    <n v="0"/>
    <n v="0"/>
    <n v="0"/>
    <n v="0"/>
    <n v="0"/>
    <n v="85989325"/>
    <n v="1391617432"/>
    <n v="3027895787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3"/>
    <x v="3"/>
    <x v="20"/>
    <n v="20"/>
    <x v="1"/>
    <s v="DISEÑO"/>
    <n v="40005957"/>
    <m/>
    <s v="REPOSICION MUSEO MUNICIPAL Y BIBLIOTECA PUBLICA"/>
    <m/>
    <n v="139625000"/>
    <n v="0"/>
    <n v="90535797"/>
    <n v="0"/>
    <m/>
    <m/>
    <m/>
    <m/>
    <m/>
    <m/>
    <m/>
    <m/>
    <m/>
    <m/>
    <m/>
    <n v="0"/>
    <n v="90535797"/>
    <n v="49089203"/>
    <s v="RS"/>
    <s v="Convenio en Confección"/>
  </r>
  <r>
    <m/>
    <x v="1"/>
    <m/>
    <s v="PROYECTOS"/>
    <s v="N"/>
    <s v="URBANO"/>
    <s v="CONECTIVIDAD"/>
    <x v="1"/>
    <x v="3"/>
    <x v="20"/>
    <n v="20"/>
    <x v="1"/>
    <s v="EJECUCION"/>
    <n v="40014732"/>
    <m/>
    <s v="CONSERVACION CAMINOS RURALES Y URBANOS SECTOR TEN TEN Y LA CHACRAN (C33)"/>
    <m/>
    <n v="158000000"/>
    <n v="0"/>
    <n v="50000000"/>
    <n v="0"/>
    <m/>
    <m/>
    <m/>
    <m/>
    <m/>
    <m/>
    <m/>
    <m/>
    <m/>
    <m/>
    <m/>
    <n v="0"/>
    <n v="50000000"/>
    <n v="108000000"/>
    <s v="RS*"/>
    <s v="Convenio en Tramite"/>
  </r>
  <r>
    <m/>
    <x v="3"/>
    <m/>
    <s v="SUBT 29"/>
    <s v="N"/>
    <s v="URBANO"/>
    <s v="SOCIAL"/>
    <x v="6"/>
    <x v="3"/>
    <x v="20"/>
    <n v="20"/>
    <x v="1"/>
    <s v="EJECUCION"/>
    <n v="40007844"/>
    <s v="HARRY"/>
    <s v="REPOSICION CAMIONES Y CONTENEDORES COMUNA DE CASTRO (C33)"/>
    <m/>
    <n v="651525000"/>
    <n v="0"/>
    <n v="651525000"/>
    <n v="0"/>
    <m/>
    <m/>
    <m/>
    <m/>
    <m/>
    <m/>
    <m/>
    <m/>
    <m/>
    <m/>
    <m/>
    <n v="0"/>
    <n v="651525000"/>
    <n v="0"/>
    <s v="RS*"/>
    <s v="Convenio en Confección"/>
  </r>
  <r>
    <m/>
    <x v="2"/>
    <m/>
    <s v="FRIL"/>
    <s v="N"/>
    <s v="URBANO"/>
    <s v="SOCIAL"/>
    <x v="6"/>
    <x v="3"/>
    <x v="20"/>
    <n v="20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149150000"/>
    <n v="0"/>
    <n v="992060797"/>
    <n v="0"/>
    <n v="0"/>
    <n v="0"/>
    <n v="0"/>
    <n v="0"/>
    <n v="0"/>
    <n v="0"/>
    <n v="0"/>
    <n v="0"/>
    <n v="0"/>
    <n v="0"/>
    <n v="0"/>
    <n v="0"/>
    <n v="992060797"/>
    <n v="15708920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CASTRO"/>
    <m/>
    <n v="7438222000"/>
    <n v="1783569456"/>
    <n v="2469667554"/>
    <n v="85989325"/>
    <n v="0"/>
    <n v="0"/>
    <n v="0"/>
    <n v="0"/>
    <n v="0"/>
    <n v="0"/>
    <n v="0"/>
    <n v="0"/>
    <n v="0"/>
    <n v="0"/>
    <n v="0"/>
    <n v="85989325"/>
    <n v="2383678229"/>
    <n v="318498499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CHONCHI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2"/>
    <x v="3"/>
    <x v="21"/>
    <n v="21"/>
    <x v="1"/>
    <s v="EJECUCION"/>
    <n v="30126506"/>
    <s v="HARRY"/>
    <s v="CONSTRUCCION CUARTEL 2° COMPAÑIA BOMBEROS DE LA COMUNA DE CHONCHI"/>
    <m/>
    <n v="644396000"/>
    <n v="311482047"/>
    <n v="203958165"/>
    <n v="0"/>
    <m/>
    <m/>
    <m/>
    <m/>
    <m/>
    <m/>
    <m/>
    <m/>
    <m/>
    <m/>
    <m/>
    <n v="0"/>
    <n v="203958165"/>
    <n v="128955788"/>
    <s v="RS"/>
    <s v="En Ejecución "/>
  </r>
  <r>
    <s v="S"/>
    <x v="1"/>
    <m/>
    <s v="PROYECTOS"/>
    <s v="A"/>
    <s v="RURAL"/>
    <s v="SOCIAL"/>
    <x v="9"/>
    <x v="3"/>
    <x v="21"/>
    <n v="21"/>
    <x v="1"/>
    <s v="EJECUCION"/>
    <n v="30476688"/>
    <s v="HARRY"/>
    <s v="REPOSICION POSTA SALUD RURAL CUCAO, COMUNA CHONCHI"/>
    <m/>
    <n v="543264000"/>
    <n v="53730074"/>
    <n v="171389015"/>
    <n v="57781035"/>
    <m/>
    <m/>
    <m/>
    <m/>
    <m/>
    <m/>
    <m/>
    <m/>
    <m/>
    <m/>
    <m/>
    <n v="57781035"/>
    <n v="113607980"/>
    <n v="318144911"/>
    <s v="RS"/>
    <s v="En Ejecución "/>
  </r>
  <r>
    <m/>
    <x v="1"/>
    <m/>
    <s v="PROYECTOS"/>
    <s v="A"/>
    <s v="RURAL"/>
    <s v="CONECTIVIDAD"/>
    <x v="1"/>
    <x v="3"/>
    <x v="21"/>
    <n v="21"/>
    <x v="1"/>
    <s v="EJECUCION"/>
    <n v="40006762"/>
    <s v="FRANCISCA"/>
    <s v="CONSERVACION CAMINOS NO ENROLADOS COMUNA DE CHONCHI (C33)"/>
    <m/>
    <n v="588576000"/>
    <n v="520377383"/>
    <n v="0"/>
    <n v="0"/>
    <m/>
    <m/>
    <m/>
    <m/>
    <m/>
    <m/>
    <m/>
    <m/>
    <m/>
    <m/>
    <m/>
    <n v="0"/>
    <n v="0"/>
    <n v="68198617"/>
    <s v="RS*"/>
    <s v="En Ejecución "/>
  </r>
  <r>
    <m/>
    <x v="4"/>
    <m/>
    <s v="ESTUDIOS"/>
    <s v="A"/>
    <s v="RURAL"/>
    <s v="SOCIAL"/>
    <x v="7"/>
    <x v="3"/>
    <x v="21"/>
    <n v="21"/>
    <x v="1"/>
    <s v="EJECUCION"/>
    <n v="30126522"/>
    <s v="FRANCISCA"/>
    <s v="ACTUALIZACION PLAN REGULADOR COMUNA DE CHONCHI (C33)"/>
    <m/>
    <n v="120000000"/>
    <n v="110000000"/>
    <n v="10000000"/>
    <n v="0"/>
    <m/>
    <m/>
    <m/>
    <m/>
    <m/>
    <m/>
    <m/>
    <m/>
    <m/>
    <m/>
    <m/>
    <n v="0"/>
    <n v="10000000"/>
    <n v="0"/>
    <s v="RS*"/>
    <s v="En Ejecución "/>
  </r>
  <r>
    <m/>
    <x v="2"/>
    <m/>
    <s v="PMB"/>
    <s v="A"/>
    <s v="RURAL"/>
    <s v="AGUA POTABLE"/>
    <x v="8"/>
    <x v="3"/>
    <x v="21"/>
    <n v="21"/>
    <x v="6"/>
    <s v="EJECUCION"/>
    <n v="30091901"/>
    <s v="HARRY"/>
    <s v="MEJORAMIENTO Y AMPLIACION  APR DE HUILLINCO"/>
    <m/>
    <n v="597480684"/>
    <n v="499967747"/>
    <n v="0"/>
    <n v="0"/>
    <m/>
    <m/>
    <m/>
    <m/>
    <m/>
    <m/>
    <m/>
    <m/>
    <m/>
    <m/>
    <m/>
    <n v="0"/>
    <n v="0"/>
    <n v="97512937"/>
    <s v="RS"/>
    <s v="En Ejecución "/>
  </r>
  <r>
    <m/>
    <x v="1"/>
    <m/>
    <s v="PROYECTOS"/>
    <s v="A"/>
    <s v="RURAL"/>
    <s v="SOCIAL"/>
    <x v="3"/>
    <x v="3"/>
    <x v="21"/>
    <n v="21"/>
    <x v="1"/>
    <s v="EJECUCION"/>
    <n v="20157700"/>
    <s v="HARRY"/>
    <s v="REPOSICION ESCUELA RURAL DE QUITRIPULLI COMUNA DE CHONCHI"/>
    <m/>
    <n v="2850569000"/>
    <n v="62399451"/>
    <n v="142528450"/>
    <n v="0"/>
    <m/>
    <m/>
    <m/>
    <m/>
    <m/>
    <m/>
    <m/>
    <m/>
    <m/>
    <m/>
    <m/>
    <n v="0"/>
    <n v="142528450"/>
    <n v="2645641099"/>
    <s v="RS"/>
    <s v="En Ejecución-LICITACION"/>
  </r>
  <r>
    <m/>
    <x v="0"/>
    <m/>
    <m/>
    <m/>
    <m/>
    <m/>
    <x v="0"/>
    <x v="0"/>
    <x v="0"/>
    <m/>
    <x v="0"/>
    <m/>
    <m/>
    <m/>
    <s v="TOTAL DE INICIATIVAS EN EJECUCION / LIQUIDACION "/>
    <m/>
    <n v="5344285684"/>
    <n v="1557956702"/>
    <n v="527875630"/>
    <n v="57781035"/>
    <n v="0"/>
    <n v="0"/>
    <n v="0"/>
    <n v="0"/>
    <n v="0"/>
    <n v="0"/>
    <n v="0"/>
    <n v="0"/>
    <n v="0"/>
    <n v="0"/>
    <n v="0"/>
    <n v="57781035"/>
    <n v="470094595"/>
    <n v="325845335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3"/>
    <m/>
    <s v="SUBT 29"/>
    <s v="N"/>
    <m/>
    <m/>
    <x v="6"/>
    <x v="3"/>
    <x v="21"/>
    <n v="21"/>
    <x v="4"/>
    <s v="EJECUCION"/>
    <n v="40014051"/>
    <m/>
    <s v="ADQUISICION DE CONTENEDORES RESIDUOS SOLIDOS DOMICILIARIOS CHONCHI URBANO (C33)"/>
    <m/>
    <n v="250000000"/>
    <n v="0"/>
    <n v="250000000"/>
    <n v="0"/>
    <m/>
    <m/>
    <m/>
    <m/>
    <m/>
    <m/>
    <m/>
    <m/>
    <m/>
    <m/>
    <m/>
    <n v="0"/>
    <n v="250000000"/>
    <n v="0"/>
    <s v="RS*"/>
    <s v="Convenio en Tramite"/>
  </r>
  <r>
    <m/>
    <x v="1"/>
    <m/>
    <s v="PROYECTOS"/>
    <s v="N"/>
    <m/>
    <m/>
    <x v="2"/>
    <x v="3"/>
    <x v="21"/>
    <n v="21"/>
    <x v="2"/>
    <s v="EJECUCION"/>
    <n v="40019386"/>
    <m/>
    <s v="REPOSICION E ILUMINACION DE GARITAS EN DIVERSOS SECTORES DE LA COMUNA DE CHONCHI"/>
    <m/>
    <n v="200000000"/>
    <n v="0"/>
    <n v="50000000"/>
    <n v="0"/>
    <m/>
    <m/>
    <m/>
    <m/>
    <m/>
    <m/>
    <m/>
    <m/>
    <m/>
    <m/>
    <m/>
    <n v="0"/>
    <n v="50000000"/>
    <n v="150000000"/>
    <s v="RS"/>
    <m/>
  </r>
  <r>
    <m/>
    <x v="2"/>
    <m/>
    <s v="FRIL"/>
    <s v="N"/>
    <s v="URBANO"/>
    <s v="SOCIAL"/>
    <x v="6"/>
    <x v="3"/>
    <x v="21"/>
    <n v="21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650000000"/>
    <n v="0"/>
    <n v="500000000"/>
    <n v="0"/>
    <n v="0"/>
    <n v="0"/>
    <n v="0"/>
    <n v="0"/>
    <n v="0"/>
    <n v="0"/>
    <n v="0"/>
    <n v="0"/>
    <n v="0"/>
    <n v="0"/>
    <n v="0"/>
    <n v="0"/>
    <n v="500000000"/>
    <n v="15000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CHONCHI"/>
    <m/>
    <n v="5994285684"/>
    <n v="1557956702"/>
    <n v="1027875630"/>
    <n v="57781035"/>
    <n v="0"/>
    <n v="0"/>
    <n v="0"/>
    <n v="0"/>
    <n v="0"/>
    <n v="0"/>
    <n v="0"/>
    <n v="0"/>
    <n v="0"/>
    <n v="0"/>
    <n v="0"/>
    <n v="57781035"/>
    <n v="970094595"/>
    <n v="340845335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CURACO DE VELEZ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"/>
    <x v="1"/>
    <m/>
    <s v="PROYECTOS"/>
    <s v="A"/>
    <s v="RURAL"/>
    <s v="SOCIAL"/>
    <x v="9"/>
    <x v="3"/>
    <x v="22"/>
    <n v="22"/>
    <x v="1"/>
    <s v="EJECUCION"/>
    <n v="30135739"/>
    <s v="HARRY"/>
    <s v="REPOSICION POSTA DE SALUD DE PALQUI"/>
    <m/>
    <n v="571440000"/>
    <n v="493221484"/>
    <n v="78218516"/>
    <n v="0"/>
    <m/>
    <m/>
    <m/>
    <m/>
    <m/>
    <m/>
    <m/>
    <m/>
    <m/>
    <m/>
    <m/>
    <n v="0"/>
    <n v="78218516"/>
    <n v="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571440000"/>
    <n v="493221484"/>
    <n v="78218516"/>
    <n v="0"/>
    <n v="0"/>
    <n v="0"/>
    <n v="0"/>
    <n v="0"/>
    <n v="0"/>
    <n v="0"/>
    <n v="0"/>
    <n v="0"/>
    <n v="0"/>
    <n v="0"/>
    <n v="0"/>
    <n v="0"/>
    <n v="78218516"/>
    <n v="0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SOCIAL"/>
    <x v="4"/>
    <x v="3"/>
    <x v="22"/>
    <n v="22"/>
    <x v="1"/>
    <s v="EJECUCION"/>
    <n v="30095333"/>
    <s v="FRANCISCA"/>
    <s v="REPOSICION ESTADIO MUNICIPAL CURACO DE VELEZ"/>
    <m/>
    <n v="1556275000"/>
    <n v="157191500"/>
    <n v="400000000"/>
    <n v="0"/>
    <m/>
    <m/>
    <m/>
    <m/>
    <m/>
    <m/>
    <m/>
    <m/>
    <m/>
    <m/>
    <m/>
    <n v="0"/>
    <n v="400000000"/>
    <n v="999083500"/>
    <s v="RS"/>
    <m/>
  </r>
  <r>
    <m/>
    <x v="0"/>
    <m/>
    <m/>
    <m/>
    <m/>
    <m/>
    <x v="0"/>
    <x v="0"/>
    <x v="0"/>
    <m/>
    <x v="0"/>
    <m/>
    <m/>
    <m/>
    <s v="TOTAL DE INICIATIVAS  LICITACION / ADJUDICACION"/>
    <m/>
    <n v="1556275000"/>
    <n v="157191500"/>
    <n v="400000000"/>
    <n v="0"/>
    <n v="0"/>
    <n v="0"/>
    <n v="0"/>
    <n v="0"/>
    <n v="0"/>
    <n v="0"/>
    <n v="0"/>
    <n v="0"/>
    <n v="0"/>
    <n v="0"/>
    <n v="0"/>
    <n v="0"/>
    <n v="400000000"/>
    <n v="9990835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2"/>
    <m/>
    <s v="FRIL"/>
    <s v="N"/>
    <s v="URBANO"/>
    <s v="SOCIAL"/>
    <x v="6"/>
    <x v="3"/>
    <x v="22"/>
    <n v="22"/>
    <x v="2"/>
    <s v="EJECUCION"/>
    <s v="FRIL"/>
    <m/>
    <s v="FONDO REGIONAL DE INICIATIVAS LOCAL"/>
    <m/>
    <n v="200000000"/>
    <n v="0"/>
    <n v="200000000"/>
    <n v="113651927"/>
    <m/>
    <m/>
    <m/>
    <m/>
    <m/>
    <m/>
    <m/>
    <m/>
    <m/>
    <m/>
    <m/>
    <n v="113651927"/>
    <n v="86348073"/>
    <n v="0"/>
    <s v="RS**"/>
    <s v="Convenio en Confección"/>
  </r>
  <r>
    <m/>
    <x v="0"/>
    <m/>
    <m/>
    <m/>
    <m/>
    <m/>
    <x v="0"/>
    <x v="0"/>
    <x v="0"/>
    <m/>
    <x v="0"/>
    <m/>
    <m/>
    <m/>
    <s v="TOTAL DE INICIATIVAS NUEVAS"/>
    <m/>
    <n v="200000000"/>
    <n v="0"/>
    <n v="200000000"/>
    <n v="113651927"/>
    <n v="0"/>
    <n v="0"/>
    <n v="0"/>
    <n v="0"/>
    <n v="0"/>
    <n v="0"/>
    <n v="0"/>
    <n v="0"/>
    <n v="0"/>
    <n v="0"/>
    <n v="0"/>
    <n v="113651927"/>
    <n v="86348073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C.VELEZ"/>
    <m/>
    <n v="2327715000"/>
    <n v="650412984"/>
    <n v="678218516"/>
    <n v="113651927"/>
    <n v="0"/>
    <n v="0"/>
    <n v="0"/>
    <n v="0"/>
    <n v="0"/>
    <n v="0"/>
    <n v="0"/>
    <n v="0"/>
    <n v="0"/>
    <n v="0"/>
    <n v="0"/>
    <n v="113651927"/>
    <n v="564566589"/>
    <n v="9990835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DALCAHUE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4"/>
    <x v="3"/>
    <x v="23"/>
    <n v="23"/>
    <x v="1"/>
    <s v="EJECUCION"/>
    <n v="30134014"/>
    <s v="HARRY"/>
    <s v="CONSTRUCCION GIMNASIO TENAUN"/>
    <m/>
    <n v="466092000"/>
    <n v="63846643"/>
    <n v="321773188"/>
    <n v="0"/>
    <m/>
    <m/>
    <m/>
    <m/>
    <m/>
    <m/>
    <m/>
    <m/>
    <m/>
    <m/>
    <m/>
    <n v="0"/>
    <n v="321773188"/>
    <n v="80472169"/>
    <s v="RS"/>
    <s v="En Ejecución "/>
  </r>
  <r>
    <m/>
    <x v="1"/>
    <m/>
    <s v="PROYECTOS"/>
    <s v="A"/>
    <s v="RURAL"/>
    <s v="ALCANTARILLADO"/>
    <x v="8"/>
    <x v="3"/>
    <x v="23"/>
    <n v="23"/>
    <x v="1"/>
    <s v="EJECUCION"/>
    <n v="30485152"/>
    <s v="HARRY"/>
    <s v="CONSTRUCCION REDES DE AP Y ALCANT. DIVERSOS SECTORES CIUDAD DALCAHUE"/>
    <m/>
    <n v="357488184"/>
    <n v="353680553"/>
    <n v="3807631"/>
    <n v="0"/>
    <m/>
    <m/>
    <m/>
    <m/>
    <m/>
    <m/>
    <m/>
    <m/>
    <m/>
    <m/>
    <m/>
    <n v="0"/>
    <n v="3807631"/>
    <n v="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823580184"/>
    <n v="417527196"/>
    <n v="325580819"/>
    <n v="0"/>
    <n v="0"/>
    <n v="0"/>
    <n v="0"/>
    <n v="0"/>
    <n v="0"/>
    <n v="0"/>
    <n v="0"/>
    <n v="0"/>
    <n v="0"/>
    <n v="0"/>
    <n v="0"/>
    <n v="0"/>
    <n v="325580819"/>
    <n v="80472169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AGUA POTABLE"/>
    <x v="8"/>
    <x v="3"/>
    <x v="23"/>
    <n v="23"/>
    <x v="9"/>
    <s v="EJECUCION"/>
    <n v="40004659"/>
    <s v="FRANCISCA"/>
    <s v="CONSTRUCCION SISTEMA APR SECTOR BUTALCURA"/>
    <m/>
    <n v="320000000"/>
    <n v="110000000"/>
    <n v="100000000"/>
    <n v="0"/>
    <m/>
    <m/>
    <m/>
    <m/>
    <m/>
    <m/>
    <m/>
    <m/>
    <m/>
    <m/>
    <m/>
    <n v="0"/>
    <n v="100000000"/>
    <n v="110000000"/>
    <s v="RS"/>
    <s v="Licitación Adjudicada"/>
  </r>
  <r>
    <m/>
    <x v="1"/>
    <m/>
    <s v="PROYECTOS"/>
    <s v="L"/>
    <s v="RURAL"/>
    <s v="SOCIAL"/>
    <x v="4"/>
    <x v="3"/>
    <x v="23"/>
    <n v="23"/>
    <x v="1"/>
    <s v="DISEÑO"/>
    <n v="40001662"/>
    <s v="FRANCISCA"/>
    <s v="CONSTRUCCION RECINTO DEPORTIVO SECTOR MOCOPULLI, COMUNA DE DALCAHUE"/>
    <m/>
    <n v="20999000"/>
    <n v="6912500"/>
    <n v="14086500"/>
    <n v="0"/>
    <m/>
    <m/>
    <m/>
    <m/>
    <m/>
    <m/>
    <m/>
    <m/>
    <m/>
    <m/>
    <m/>
    <n v="0"/>
    <n v="14086500"/>
    <n v="0"/>
    <s v="RS"/>
    <s v="Licitación Adjudicada"/>
  </r>
  <r>
    <m/>
    <x v="1"/>
    <m/>
    <s v="PROYECTOS"/>
    <s v="L"/>
    <s v="RURAL"/>
    <s v="SOCIAL"/>
    <x v="3"/>
    <x v="3"/>
    <x v="23"/>
    <n v="23"/>
    <x v="3"/>
    <s v="EJECUCION"/>
    <n v="30134013"/>
    <s v="HARRY"/>
    <s v="REPOSICION ESCUELA TEHUACO - QUETALCO COMUNA DE DALCAHUE"/>
    <m/>
    <n v="758577000"/>
    <n v="18541310"/>
    <n v="517807328"/>
    <n v="37000000"/>
    <m/>
    <m/>
    <m/>
    <m/>
    <m/>
    <m/>
    <m/>
    <m/>
    <m/>
    <m/>
    <m/>
    <n v="37000000"/>
    <n v="480807328"/>
    <n v="222228362"/>
    <s v="RS"/>
    <s v="Licitacion Cerrada (05.06.20)"/>
  </r>
  <r>
    <m/>
    <x v="1"/>
    <m/>
    <s v="PROYECTOS"/>
    <s v="L"/>
    <s v="URBANO"/>
    <s v="SOCIAL"/>
    <x v="3"/>
    <x v="3"/>
    <x v="23"/>
    <n v="23"/>
    <x v="3"/>
    <s v="EJECUCION"/>
    <n v="30419547"/>
    <s v="FRANCISCA"/>
    <s v="MEJORAMIENTO INTEGRAL ESCUELA BASICA DE DALCAHUE"/>
    <m/>
    <n v="395089000"/>
    <n v="0"/>
    <n v="389963141"/>
    <n v="0"/>
    <m/>
    <m/>
    <m/>
    <m/>
    <m/>
    <m/>
    <m/>
    <m/>
    <m/>
    <m/>
    <m/>
    <n v="0"/>
    <n v="389963141"/>
    <n v="5125859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1494665000"/>
    <n v="135453810"/>
    <n v="1021856969"/>
    <n v="37000000"/>
    <n v="0"/>
    <n v="0"/>
    <n v="0"/>
    <n v="0"/>
    <n v="0"/>
    <n v="0"/>
    <n v="0"/>
    <n v="0"/>
    <n v="0"/>
    <n v="0"/>
    <n v="0"/>
    <n v="37000000"/>
    <n v="984856969"/>
    <n v="33735422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CONECTIVIDAD"/>
    <x v="1"/>
    <x v="3"/>
    <x v="23"/>
    <n v="23"/>
    <x v="1"/>
    <s v="EJECUCION"/>
    <n v="40013905"/>
    <m/>
    <s v="MEJORAMENTO 5 VIAS DE LA CIUDAD DE DALCAHUE"/>
    <m/>
    <n v="361068000"/>
    <n v="0"/>
    <n v="250000000"/>
    <n v="0"/>
    <m/>
    <m/>
    <m/>
    <m/>
    <m/>
    <m/>
    <m/>
    <m/>
    <m/>
    <m/>
    <m/>
    <n v="0"/>
    <n v="250000000"/>
    <n v="111068000"/>
    <s v="RS"/>
    <s v="Convenio en Tramite"/>
  </r>
  <r>
    <s v="S"/>
    <x v="1"/>
    <m/>
    <s v="PROYECTOS"/>
    <s v="N"/>
    <m/>
    <m/>
    <x v="9"/>
    <x v="3"/>
    <x v="23"/>
    <n v="23"/>
    <x v="1"/>
    <s v="EJECUCION"/>
    <n v="40005352"/>
    <m/>
    <s v="REPOSICION POSTA DE SALUD RURAL DE TENAUN"/>
    <m/>
    <n v="641897000"/>
    <n v="0"/>
    <n v="100000000"/>
    <n v="0"/>
    <m/>
    <m/>
    <m/>
    <m/>
    <m/>
    <m/>
    <m/>
    <m/>
    <m/>
    <m/>
    <m/>
    <n v="0"/>
    <n v="100000000"/>
    <n v="541897000"/>
    <s v="RS"/>
    <m/>
  </r>
  <r>
    <m/>
    <x v="2"/>
    <m/>
    <s v="FRIL"/>
    <s v="N"/>
    <s v="URBANO"/>
    <s v="SOCIAL"/>
    <x v="6"/>
    <x v="3"/>
    <x v="23"/>
    <n v="23"/>
    <x v="2"/>
    <s v="EJECUCION"/>
    <s v="FRIL"/>
    <m/>
    <s v="FONDO REGIONAL DE INICIATIVAS LOCAL"/>
    <m/>
    <n v="200000000"/>
    <n v="0"/>
    <n v="200000000"/>
    <n v="3429878"/>
    <m/>
    <m/>
    <m/>
    <m/>
    <m/>
    <m/>
    <m/>
    <m/>
    <m/>
    <m/>
    <m/>
    <n v="3429878"/>
    <n v="196570122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202965000"/>
    <n v="0"/>
    <n v="550000000"/>
    <n v="3429878"/>
    <n v="0"/>
    <n v="0"/>
    <n v="0"/>
    <n v="0"/>
    <n v="0"/>
    <n v="0"/>
    <n v="0"/>
    <n v="0"/>
    <n v="0"/>
    <n v="0"/>
    <n v="0"/>
    <n v="3429878"/>
    <n v="546570122"/>
    <n v="652965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DALCAHUE"/>
    <m/>
    <n v="3521210184"/>
    <n v="552981006"/>
    <n v="1897437788"/>
    <n v="40429878"/>
    <n v="0"/>
    <n v="0"/>
    <n v="0"/>
    <n v="0"/>
    <n v="0"/>
    <n v="0"/>
    <n v="0"/>
    <n v="0"/>
    <n v="0"/>
    <n v="0"/>
    <n v="0"/>
    <n v="40429878"/>
    <n v="1857007910"/>
    <n v="107079139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UQUELDON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"/>
    <x v="1"/>
    <m/>
    <s v="PROYECTOS"/>
    <s v="A"/>
    <s v="RURAL"/>
    <s v="SOCIAL"/>
    <x v="9"/>
    <x v="3"/>
    <x v="24"/>
    <n v="24"/>
    <x v="1"/>
    <s v="EJECUCION"/>
    <n v="30042613"/>
    <m/>
    <s v="NORMALIZACION CONSULTORIO RURAL PUQUELDON"/>
    <m/>
    <n v="3472101337"/>
    <n v="2618173447"/>
    <n v="50000000"/>
    <n v="0"/>
    <m/>
    <m/>
    <m/>
    <m/>
    <m/>
    <m/>
    <m/>
    <m/>
    <m/>
    <m/>
    <m/>
    <n v="0"/>
    <n v="50000000"/>
    <n v="803927890"/>
    <s v="RS"/>
    <s v="En Ejecución "/>
  </r>
  <r>
    <m/>
    <x v="1"/>
    <m/>
    <s v="PROYECTOS"/>
    <s v="A"/>
    <s v="RURAL"/>
    <s v="CONECTIVIDAD"/>
    <x v="1"/>
    <x v="3"/>
    <x v="24"/>
    <n v="24"/>
    <x v="1"/>
    <s v="EJECUCION"/>
    <n v="40006078"/>
    <s v="FRANCISCA"/>
    <s v="CONSERVACION CAMINOS  VECINALES EN 9 SECTORES RURALES - COMUNA DE PUQUELDON (C33)"/>
    <m/>
    <n v="666831000"/>
    <n v="664441452"/>
    <n v="2389548"/>
    <n v="0"/>
    <m/>
    <m/>
    <m/>
    <m/>
    <m/>
    <m/>
    <m/>
    <m/>
    <m/>
    <m/>
    <m/>
    <n v="0"/>
    <n v="2389548"/>
    <n v="0"/>
    <s v="RS*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4138932337"/>
    <n v="3282614899"/>
    <n v="52389548"/>
    <n v="0"/>
    <n v="0"/>
    <n v="0"/>
    <n v="0"/>
    <n v="0"/>
    <n v="0"/>
    <n v="0"/>
    <n v="0"/>
    <n v="0"/>
    <n v="0"/>
    <n v="0"/>
    <n v="0"/>
    <n v="0"/>
    <n v="52389548"/>
    <n v="803927890"/>
    <m/>
    <s v="En Ejecución-ARRASTRE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2"/>
    <m/>
    <s v="FRIL"/>
    <s v="N"/>
    <s v="URBANO"/>
    <s v="SOCIAL"/>
    <x v="6"/>
    <x v="3"/>
    <x v="24"/>
    <n v="24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s v="TOTAL DE INICIATIVAS NUEVAS"/>
    <n v="200000000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UQUELDON"/>
    <m/>
    <n v="4338932337"/>
    <n v="3282614899"/>
    <n v="252389548"/>
    <n v="0"/>
    <n v="0"/>
    <n v="0"/>
    <n v="0"/>
    <n v="0"/>
    <n v="0"/>
    <n v="0"/>
    <n v="0"/>
    <n v="0"/>
    <n v="0"/>
    <n v="0"/>
    <n v="0"/>
    <n v="0"/>
    <n v="252389548"/>
    <n v="80392789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QUEILEN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"/>
    <x v="1"/>
    <m/>
    <s v="PROYECTOS"/>
    <s v="A"/>
    <s v="RURAL"/>
    <s v="SOCIAL"/>
    <x v="9"/>
    <x v="3"/>
    <x v="25"/>
    <n v="25"/>
    <x v="1"/>
    <s v="EJECUCION"/>
    <n v="30078798"/>
    <s v="HARRY"/>
    <s v="REPOSICION POSTA DE SALUD RURAL DE PIO PIO, COMUNA DE QUEILEN"/>
    <m/>
    <n v="487098000"/>
    <n v="459236777"/>
    <n v="27861223"/>
    <n v="0"/>
    <m/>
    <m/>
    <m/>
    <m/>
    <m/>
    <m/>
    <m/>
    <m/>
    <m/>
    <m/>
    <m/>
    <n v="0"/>
    <n v="27861223"/>
    <n v="0"/>
    <s v="RS"/>
    <s v="En Ejecución "/>
  </r>
  <r>
    <m/>
    <x v="1"/>
    <m/>
    <s v="PROYECTOS"/>
    <s v="A"/>
    <m/>
    <m/>
    <x v="4"/>
    <x v="3"/>
    <x v="25"/>
    <n v="25"/>
    <x v="1"/>
    <s v="EJECUCION"/>
    <n v="30480757"/>
    <s v="FRANCISCA"/>
    <s v="CONSERVACION GIMNASIO MUNICIPAL COMUNA DE QUEILEN (C33)"/>
    <m/>
    <n v="361002000"/>
    <n v="312229753"/>
    <n v="48772247"/>
    <n v="36980985"/>
    <m/>
    <m/>
    <m/>
    <m/>
    <m/>
    <m/>
    <m/>
    <m/>
    <m/>
    <m/>
    <m/>
    <n v="36980985"/>
    <n v="11791262"/>
    <n v="0"/>
    <s v="RS*"/>
    <s v="En Ejecución-LICITACION"/>
  </r>
  <r>
    <m/>
    <x v="0"/>
    <m/>
    <m/>
    <m/>
    <m/>
    <m/>
    <x v="0"/>
    <x v="0"/>
    <x v="0"/>
    <m/>
    <x v="0"/>
    <m/>
    <m/>
    <m/>
    <s v="TOTAL DE INICIATIVAS EN EJECUCION / LIQUIDACION "/>
    <m/>
    <n v="848100000"/>
    <n v="771466530"/>
    <n v="76633470"/>
    <n v="36980985"/>
    <n v="0"/>
    <n v="0"/>
    <n v="0"/>
    <n v="0"/>
    <n v="0"/>
    <n v="0"/>
    <n v="0"/>
    <n v="0"/>
    <n v="0"/>
    <n v="0"/>
    <n v="0"/>
    <n v="36980985"/>
    <n v="39652485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4"/>
    <x v="3"/>
    <x v="25"/>
    <n v="25"/>
    <x v="1"/>
    <s v="EJECUCION"/>
    <n v="40002386"/>
    <m/>
    <s v="MEJORAMIENTO INTEGRAL ESTADIO MUNICIPAL DE QUEILEN"/>
    <m/>
    <n v="1350912000"/>
    <n v="0"/>
    <n v="568937742"/>
    <n v="0"/>
    <m/>
    <m/>
    <m/>
    <m/>
    <m/>
    <m/>
    <m/>
    <m/>
    <m/>
    <m/>
    <m/>
    <n v="0"/>
    <n v="568937742"/>
    <n v="781974258"/>
    <s v="RS"/>
    <s v="Convenio en Confección"/>
  </r>
  <r>
    <m/>
    <x v="3"/>
    <m/>
    <s v="SUBT 29"/>
    <s v="N"/>
    <m/>
    <m/>
    <x v="1"/>
    <x v="3"/>
    <x v="25"/>
    <n v="25"/>
    <x v="1"/>
    <s v="EJECUCION"/>
    <n v="40014326"/>
    <m/>
    <s v="ADQUISICION SISTEMA DE ILUMINACION AERODROMO (C33)"/>
    <m/>
    <n v="127871000"/>
    <n v="0"/>
    <n v="127871000"/>
    <n v="0"/>
    <m/>
    <m/>
    <m/>
    <m/>
    <m/>
    <m/>
    <m/>
    <m/>
    <m/>
    <m/>
    <m/>
    <n v="0"/>
    <n v="127871000"/>
    <n v="0"/>
    <s v="RS*"/>
    <s v="Convenio en Confección"/>
  </r>
  <r>
    <m/>
    <x v="2"/>
    <m/>
    <s v="FRIL"/>
    <s v="N"/>
    <s v="URBANO"/>
    <s v="SOCIAL"/>
    <x v="6"/>
    <x v="3"/>
    <x v="25"/>
    <n v="25"/>
    <x v="2"/>
    <s v="EJECUCION"/>
    <s v="FRIL"/>
    <m/>
    <s v="FONDO REGIONAL DE INICIATIVAS LOCAL"/>
    <m/>
    <n v="200000000"/>
    <n v="0"/>
    <n v="200000000"/>
    <n v="80423377"/>
    <m/>
    <m/>
    <m/>
    <m/>
    <m/>
    <m/>
    <m/>
    <m/>
    <m/>
    <m/>
    <m/>
    <n v="80423377"/>
    <n v="119576623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678783000"/>
    <n v="0"/>
    <n v="896808742"/>
    <n v="80423377"/>
    <n v="0"/>
    <n v="0"/>
    <n v="0"/>
    <n v="0"/>
    <n v="0"/>
    <n v="0"/>
    <n v="0"/>
    <n v="0"/>
    <n v="0"/>
    <n v="0"/>
    <n v="0"/>
    <n v="80423377"/>
    <n v="816385365"/>
    <n v="78197425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QUEILEN"/>
    <m/>
    <n v="2526883000"/>
    <n v="771466530"/>
    <n v="973442212"/>
    <n v="117404362"/>
    <n v="0"/>
    <n v="0"/>
    <n v="0"/>
    <n v="0"/>
    <n v="0"/>
    <n v="0"/>
    <n v="0"/>
    <n v="0"/>
    <n v="0"/>
    <n v="0"/>
    <n v="0"/>
    <n v="117404362"/>
    <n v="856037850"/>
    <n v="78197425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QUELLON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3"/>
    <x v="3"/>
    <x v="26"/>
    <n v="26"/>
    <x v="3"/>
    <s v="EJECUCION"/>
    <n v="30472589"/>
    <s v="HARRY"/>
    <s v="REPOSICION ESCUELA RURAL DE COINCO"/>
    <m/>
    <n v="2531139000"/>
    <n v="2121102141"/>
    <n v="410036859"/>
    <n v="0"/>
    <m/>
    <m/>
    <m/>
    <m/>
    <m/>
    <m/>
    <m/>
    <m/>
    <m/>
    <m/>
    <m/>
    <n v="0"/>
    <n v="410036859"/>
    <n v="0"/>
    <s v="RS"/>
    <s v="En Ejecución "/>
  </r>
  <r>
    <m/>
    <x v="1"/>
    <m/>
    <s v="PROYECTOS"/>
    <s v="A"/>
    <s v="URBANO"/>
    <s v="SOCIAL"/>
    <x v="3"/>
    <x v="3"/>
    <x v="26"/>
    <n v="26"/>
    <x v="1"/>
    <s v="EJECUCION"/>
    <n v="30135630"/>
    <s v="HARRY"/>
    <s v="REPOSICION ESCUELA RURAL DE COMPU, COMUNA DE QUELLON"/>
    <m/>
    <n v="1667420000"/>
    <n v="745531"/>
    <n v="600000000"/>
    <n v="0"/>
    <m/>
    <m/>
    <m/>
    <m/>
    <m/>
    <m/>
    <m/>
    <m/>
    <m/>
    <m/>
    <m/>
    <n v="0"/>
    <n v="600000000"/>
    <n v="1066674469"/>
    <s v="RS"/>
    <s v="En Ejecución "/>
  </r>
  <r>
    <m/>
    <x v="1"/>
    <m/>
    <s v="PROYECTOS"/>
    <s v="A"/>
    <s v="URBANO"/>
    <s v="SOCIAL"/>
    <x v="4"/>
    <x v="3"/>
    <x v="26"/>
    <n v="26"/>
    <x v="1"/>
    <s v="EJECUCION"/>
    <n v="30125850"/>
    <s v="HARRY"/>
    <s v="CONSTRUCCION MULTICANCHA CERRADA FRANCISCO COLOANE COMUNA DE QUELLON"/>
    <m/>
    <n v="302702000"/>
    <n v="232173278"/>
    <n v="25000000"/>
    <n v="62039496"/>
    <m/>
    <m/>
    <m/>
    <m/>
    <m/>
    <m/>
    <m/>
    <m/>
    <m/>
    <m/>
    <m/>
    <n v="62039496"/>
    <n v="-37039496"/>
    <n v="45528722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4501261000"/>
    <n v="2354020950"/>
    <n v="1035036859"/>
    <n v="62039496"/>
    <n v="0"/>
    <n v="0"/>
    <n v="0"/>
    <n v="0"/>
    <n v="0"/>
    <n v="0"/>
    <n v="0"/>
    <n v="0"/>
    <n v="0"/>
    <n v="0"/>
    <n v="0"/>
    <n v="62039496"/>
    <n v="972997363"/>
    <n v="1112203191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AGUA POTABLE"/>
    <x v="8"/>
    <x v="3"/>
    <x v="26"/>
    <n v="26"/>
    <x v="1"/>
    <s v="DISEÑO"/>
    <n v="30488426"/>
    <s v="FRANCISCA"/>
    <s v="CONSTRUCCION SISTEMA APR ISLA LAITEC, QUELLON"/>
    <m/>
    <n v="28825000"/>
    <n v="2882500"/>
    <n v="7206250"/>
    <n v="0"/>
    <m/>
    <m/>
    <m/>
    <m/>
    <m/>
    <m/>
    <m/>
    <m/>
    <m/>
    <m/>
    <m/>
    <n v="0"/>
    <n v="7206250"/>
    <n v="18736250"/>
    <s v="RS"/>
    <s v="Licitación Cerrada (12.06.20)"/>
  </r>
  <r>
    <m/>
    <x v="0"/>
    <m/>
    <m/>
    <m/>
    <m/>
    <m/>
    <x v="0"/>
    <x v="0"/>
    <x v="0"/>
    <m/>
    <x v="0"/>
    <m/>
    <m/>
    <m/>
    <s v="TOTAL DE INICIATIVAS  LICITACION / ADJUDICACION"/>
    <m/>
    <n v="28825000"/>
    <n v="2882500"/>
    <n v="7206250"/>
    <n v="0"/>
    <n v="0"/>
    <n v="0"/>
    <n v="0"/>
    <n v="0"/>
    <n v="0"/>
    <n v="0"/>
    <n v="0"/>
    <n v="0"/>
    <n v="0"/>
    <n v="0"/>
    <n v="0"/>
    <n v="0"/>
    <n v="7206250"/>
    <n v="1873625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SOCIAL"/>
    <x v="3"/>
    <x v="3"/>
    <x v="26"/>
    <n v="26"/>
    <x v="1"/>
    <s v="EJECUCION"/>
    <n v="30069919"/>
    <s v="FRANCISCA"/>
    <s v="CONSTRUCCION GIMNASIO ESCUELA ORIENTE DE QUELLON"/>
    <m/>
    <n v="835261000"/>
    <n v="34373680"/>
    <n v="100000000"/>
    <n v="0"/>
    <m/>
    <m/>
    <m/>
    <m/>
    <m/>
    <m/>
    <m/>
    <m/>
    <m/>
    <m/>
    <m/>
    <n v="0"/>
    <n v="100000000"/>
    <n v="700887320"/>
    <s v="RS"/>
    <s v="Convenio en Confección"/>
  </r>
  <r>
    <m/>
    <x v="1"/>
    <m/>
    <s v="PROYECTOS"/>
    <s v="N"/>
    <s v="URBANO"/>
    <s v="AGUA POTABLE"/>
    <x v="8"/>
    <x v="3"/>
    <x v="26"/>
    <n v="26"/>
    <x v="1"/>
    <s v="EJECUCION"/>
    <n v="40009684"/>
    <s v="FRANCISCA"/>
    <s v="AMPLIACION DE RED PUBLICA SIST. DE AGUA POTABLE Y ALCA. SECTOR ALCAZAR"/>
    <m/>
    <n v="508302000"/>
    <n v="0"/>
    <n v="50000000"/>
    <n v="0"/>
    <m/>
    <m/>
    <m/>
    <m/>
    <m/>
    <m/>
    <m/>
    <m/>
    <m/>
    <m/>
    <m/>
    <n v="0"/>
    <n v="50000000"/>
    <n v="458302000"/>
    <s v="RS"/>
    <s v="Convenio en Confección"/>
  </r>
  <r>
    <m/>
    <x v="1"/>
    <m/>
    <s v="PROYECTOS"/>
    <s v="N"/>
    <s v="RURAL"/>
    <s v="AGUA POTABLE"/>
    <x v="8"/>
    <x v="3"/>
    <x v="26"/>
    <n v="26"/>
    <x v="1"/>
    <s v="DISEÑO"/>
    <n v="40000178"/>
    <m/>
    <s v="CONSTRUCCION SISTEMA APR SECTORES CHAILDAD-CHANCO-YATEHUE, QUELLON"/>
    <m/>
    <n v="46350000"/>
    <n v="0"/>
    <n v="2317500"/>
    <n v="0"/>
    <m/>
    <m/>
    <m/>
    <m/>
    <m/>
    <m/>
    <m/>
    <m/>
    <m/>
    <m/>
    <m/>
    <n v="0"/>
    <n v="2317500"/>
    <n v="44032500"/>
    <s v="RS"/>
    <s v="Convenio en Tramite"/>
  </r>
  <r>
    <m/>
    <x v="3"/>
    <m/>
    <s v="SUBT 29"/>
    <s v="N"/>
    <m/>
    <m/>
    <x v="6"/>
    <x v="3"/>
    <x v="26"/>
    <n v="26"/>
    <x v="4"/>
    <s v="EJECUCION"/>
    <n v="40018680"/>
    <m/>
    <s v="ADQUISICION CAMIONES RECOLECTORES Y CONTENEDORES RSD, QUELLON (C33)"/>
    <m/>
    <n v="583695000"/>
    <n v="0"/>
    <n v="583695000"/>
    <n v="0"/>
    <m/>
    <m/>
    <m/>
    <m/>
    <m/>
    <m/>
    <m/>
    <m/>
    <m/>
    <m/>
    <m/>
    <n v="0"/>
    <n v="583695000"/>
    <n v="0"/>
    <s v="RS*"/>
    <m/>
  </r>
  <r>
    <m/>
    <x v="3"/>
    <m/>
    <s v="SUBT 29"/>
    <s v="N"/>
    <m/>
    <m/>
    <x v="6"/>
    <x v="3"/>
    <x v="26"/>
    <n v="26"/>
    <x v="1"/>
    <s v="EJECUCION"/>
    <n v="40008188"/>
    <m/>
    <s v="REPOSICION MOTONIVELADORA (C33)"/>
    <m/>
    <n v="187309000"/>
    <n v="0"/>
    <n v="187309000"/>
    <n v="0"/>
    <m/>
    <m/>
    <m/>
    <m/>
    <m/>
    <m/>
    <m/>
    <m/>
    <m/>
    <m/>
    <m/>
    <n v="0"/>
    <n v="187309000"/>
    <n v="0"/>
    <s v="RS*"/>
    <m/>
  </r>
  <r>
    <m/>
    <x v="2"/>
    <m/>
    <s v="FRIL"/>
    <s v="N"/>
    <s v="URBANO"/>
    <s v="SOCIAL"/>
    <x v="6"/>
    <x v="3"/>
    <x v="26"/>
    <n v="26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2360917000"/>
    <n v="34373680"/>
    <n v="1123321500"/>
    <n v="0"/>
    <n v="0"/>
    <n v="0"/>
    <n v="0"/>
    <n v="0"/>
    <n v="0"/>
    <n v="0"/>
    <n v="0"/>
    <n v="0"/>
    <n v="0"/>
    <n v="0"/>
    <n v="0"/>
    <n v="0"/>
    <n v="1123321500"/>
    <n v="120322182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QUELLON"/>
    <m/>
    <n v="6891003000"/>
    <n v="2391277130"/>
    <n v="2165564609"/>
    <n v="62039496"/>
    <n v="0"/>
    <n v="0"/>
    <n v="0"/>
    <n v="0"/>
    <n v="0"/>
    <n v="0"/>
    <n v="0"/>
    <n v="0"/>
    <n v="0"/>
    <n v="0"/>
    <n v="0"/>
    <n v="62039496"/>
    <n v="2103525113"/>
    <n v="2334161261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QUEMCHI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CONECTIVIDAD"/>
    <x v="1"/>
    <x v="3"/>
    <x v="27"/>
    <n v="27"/>
    <x v="1"/>
    <s v="EJECUCION"/>
    <n v="30430173"/>
    <s v="FRANCISCA"/>
    <s v="CONSERVACION CAMINOS ISLA BUTACHAUQUES (C33)"/>
    <m/>
    <n v="547411000"/>
    <n v="253005532"/>
    <n v="168627982"/>
    <n v="0"/>
    <m/>
    <m/>
    <m/>
    <m/>
    <m/>
    <m/>
    <m/>
    <m/>
    <m/>
    <m/>
    <m/>
    <n v="0"/>
    <n v="168627982"/>
    <n v="125777486"/>
    <s v="RS*"/>
    <s v="En Ejecución "/>
  </r>
  <r>
    <m/>
    <x v="1"/>
    <m/>
    <s v="PROYECTOS"/>
    <s v="A"/>
    <s v="RURAL"/>
    <s v="CONECTIVIDAD"/>
    <x v="1"/>
    <x v="3"/>
    <x v="27"/>
    <n v="27"/>
    <x v="1"/>
    <s v="EJECUCION"/>
    <n v="30396026"/>
    <s v="FRANCISCA"/>
    <s v="CONSERVACION CAMINOS RURALES SECTOR SUR (C33)"/>
    <m/>
    <n v="477979805"/>
    <n v="358482829"/>
    <n v="99496976"/>
    <n v="0"/>
    <m/>
    <m/>
    <m/>
    <m/>
    <m/>
    <m/>
    <m/>
    <m/>
    <m/>
    <m/>
    <m/>
    <n v="0"/>
    <n v="99496976"/>
    <n v="20000000"/>
    <s v="RS*"/>
    <s v="En Liquidación"/>
  </r>
  <r>
    <m/>
    <x v="1"/>
    <m/>
    <s v="PROYECTOS"/>
    <s v="A"/>
    <s v="RURAL"/>
    <s v="CONECTIVIDAD"/>
    <x v="1"/>
    <x v="3"/>
    <x v="27"/>
    <n v="27"/>
    <x v="9"/>
    <s v="EJECUCION"/>
    <n v="40005537"/>
    <s v="HARRY"/>
    <s v="CONSERVACION CAMINOS ISLA MECHUQUE (C33)"/>
    <m/>
    <n v="499000000"/>
    <n v="124500000"/>
    <n v="31243092"/>
    <n v="0"/>
    <m/>
    <m/>
    <m/>
    <m/>
    <m/>
    <m/>
    <m/>
    <m/>
    <m/>
    <m/>
    <m/>
    <n v="0"/>
    <n v="31243092"/>
    <n v="343256908"/>
    <s v="RS*"/>
    <s v="En Ejecución "/>
  </r>
  <r>
    <m/>
    <x v="1"/>
    <m/>
    <s v="PROYECTOS"/>
    <s v="A"/>
    <m/>
    <m/>
    <x v="4"/>
    <x v="3"/>
    <x v="27"/>
    <n v="27"/>
    <x v="1"/>
    <s v="EJECUCION"/>
    <n v="30133125"/>
    <m/>
    <s v="CONSTRUCCION ESTADIO MUNICIPAL DE QUEMCHI (SALDO)"/>
    <m/>
    <n v="1386058000"/>
    <n v="1224005772"/>
    <n v="0"/>
    <n v="0"/>
    <m/>
    <m/>
    <m/>
    <m/>
    <m/>
    <m/>
    <m/>
    <m/>
    <m/>
    <m/>
    <m/>
    <n v="0"/>
    <n v="0"/>
    <n v="162052228"/>
    <s v="RS"/>
    <s v="ARI"/>
  </r>
  <r>
    <m/>
    <x v="0"/>
    <m/>
    <m/>
    <m/>
    <m/>
    <m/>
    <x v="0"/>
    <x v="0"/>
    <x v="0"/>
    <m/>
    <x v="0"/>
    <m/>
    <m/>
    <m/>
    <s v="TOTAL DE INICIATIVAS EN EJECUCION / LIQUIDACION "/>
    <m/>
    <n v="2910448805"/>
    <n v="1959994133"/>
    <n v="299368050"/>
    <n v="0"/>
    <n v="0"/>
    <n v="0"/>
    <n v="0"/>
    <n v="0"/>
    <n v="0"/>
    <n v="0"/>
    <n v="0"/>
    <n v="0"/>
    <n v="0"/>
    <n v="0"/>
    <n v="0"/>
    <n v="0"/>
    <n v="299368050"/>
    <n v="651086622"/>
    <m/>
    <s v="En Ejecución-ARRASTRE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s v="S"/>
    <x v="1"/>
    <m/>
    <s v="PROYECTOS"/>
    <s v="L"/>
    <s v="RURAL"/>
    <s v="SOCIAL"/>
    <x v="9"/>
    <x v="3"/>
    <x v="27"/>
    <n v="27"/>
    <x v="1"/>
    <s v="EJECUCION"/>
    <n v="30071598"/>
    <m/>
    <s v="REPOSICION POSTA DE SALUD RURAL VOIGUE"/>
    <m/>
    <n v="500494000"/>
    <n v="0"/>
    <n v="100000000"/>
    <n v="0"/>
    <m/>
    <m/>
    <m/>
    <m/>
    <m/>
    <m/>
    <m/>
    <m/>
    <m/>
    <m/>
    <m/>
    <n v="0"/>
    <n v="100000000"/>
    <n v="400494000"/>
    <s v="RS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500494000"/>
    <n v="0"/>
    <n v="100000000"/>
    <n v="0"/>
    <n v="0"/>
    <n v="0"/>
    <n v="0"/>
    <n v="0"/>
    <n v="0"/>
    <n v="0"/>
    <n v="0"/>
    <n v="0"/>
    <n v="0"/>
    <n v="0"/>
    <n v="0"/>
    <n v="0"/>
    <n v="100000000"/>
    <n v="400494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m/>
    <m/>
    <x v="1"/>
    <x v="3"/>
    <x v="27"/>
    <n v="27"/>
    <x v="1"/>
    <s v="EJECUCION"/>
    <n v="40014315"/>
    <m/>
    <s v="CONSERVACION CAMINOS ISLA CAUCAHUE (C33)"/>
    <m/>
    <n v="600000000"/>
    <n v="0"/>
    <n v="150000000"/>
    <n v="0"/>
    <m/>
    <m/>
    <m/>
    <m/>
    <m/>
    <m/>
    <m/>
    <m/>
    <m/>
    <m/>
    <m/>
    <n v="0"/>
    <n v="150000000"/>
    <n v="450000000"/>
    <s v="RS*"/>
    <s v="ARI"/>
  </r>
  <r>
    <m/>
    <x v="3"/>
    <m/>
    <s v="SUBT 29"/>
    <s v="N"/>
    <m/>
    <m/>
    <x v="6"/>
    <x v="3"/>
    <x v="27"/>
    <n v="27"/>
    <x v="4"/>
    <s v="EJECUCION"/>
    <n v="40014311"/>
    <s v="HARRY"/>
    <s v="REPOSICION DOS CAMIONES RECOLECTORES DE BASURA Y ADQUISICION DE UN CAMION RECOLECTOR PARA SECTORES INSULARES (C33)"/>
    <m/>
    <n v="291193000"/>
    <n v="0"/>
    <n v="291193000"/>
    <n v="0"/>
    <m/>
    <m/>
    <m/>
    <m/>
    <m/>
    <m/>
    <m/>
    <m/>
    <m/>
    <m/>
    <m/>
    <n v="0"/>
    <n v="291193000"/>
    <n v="0"/>
    <s v="RS*"/>
    <m/>
  </r>
  <r>
    <m/>
    <x v="1"/>
    <m/>
    <s v="PROYECTOS"/>
    <s v="N"/>
    <m/>
    <m/>
    <x v="9"/>
    <x v="3"/>
    <x v="27"/>
    <n v="27"/>
    <x v="1"/>
    <s v="EJECUCION"/>
    <n v="40010066"/>
    <m/>
    <s v="CONSTRUCCION SALA DE REHABILITACION KINESICA CESFAM"/>
    <m/>
    <n v="167348000"/>
    <n v="0"/>
    <n v="50000000"/>
    <n v="0"/>
    <m/>
    <m/>
    <m/>
    <m/>
    <m/>
    <m/>
    <m/>
    <m/>
    <m/>
    <m/>
    <m/>
    <n v="0"/>
    <n v="50000000"/>
    <n v="117348000"/>
    <s v="RS"/>
    <m/>
  </r>
  <r>
    <m/>
    <x v="2"/>
    <m/>
    <s v="FRIL"/>
    <s v="N"/>
    <s v="URBANO"/>
    <s v="SOCIAL"/>
    <x v="6"/>
    <x v="3"/>
    <x v="27"/>
    <n v="27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258541000"/>
    <n v="0"/>
    <n v="691193000"/>
    <n v="0"/>
    <n v="0"/>
    <n v="0"/>
    <n v="0"/>
    <n v="0"/>
    <n v="0"/>
    <n v="0"/>
    <n v="0"/>
    <n v="0"/>
    <n v="0"/>
    <n v="0"/>
    <n v="0"/>
    <n v="0"/>
    <n v="691193000"/>
    <n v="567348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QUEMCHI"/>
    <m/>
    <n v="4669483805"/>
    <n v="1959994133"/>
    <n v="1090561050"/>
    <n v="0"/>
    <n v="0"/>
    <n v="0"/>
    <n v="0"/>
    <n v="0"/>
    <n v="0"/>
    <n v="0"/>
    <n v="0"/>
    <n v="0"/>
    <n v="0"/>
    <n v="0"/>
    <n v="0"/>
    <n v="0"/>
    <n v="1090561050"/>
    <n v="1618928622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QUINCHA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"/>
    <x v="1"/>
    <m/>
    <s v="PROYECTOS"/>
    <s v="A"/>
    <s v="RURAL"/>
    <s v="SOCIAL"/>
    <x v="9"/>
    <x v="3"/>
    <x v="28"/>
    <n v="28"/>
    <x v="5"/>
    <s v="EJECUCION"/>
    <n v="40013068"/>
    <s v="HARRY"/>
    <s v="REPOSICION POSTA DE SALUD RURAL VILLA CHAULINEC"/>
    <m/>
    <n v="617342000"/>
    <n v="730000"/>
    <n v="496342000"/>
    <n v="0"/>
    <m/>
    <m/>
    <m/>
    <m/>
    <m/>
    <m/>
    <m/>
    <m/>
    <m/>
    <m/>
    <m/>
    <n v="0"/>
    <n v="496342000"/>
    <n v="12027000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617342000"/>
    <n v="730000"/>
    <n v="496342000"/>
    <n v="0"/>
    <n v="0"/>
    <n v="0"/>
    <n v="0"/>
    <n v="0"/>
    <n v="0"/>
    <n v="0"/>
    <n v="0"/>
    <n v="0"/>
    <n v="0"/>
    <n v="0"/>
    <n v="0"/>
    <n v="0"/>
    <n v="496342000"/>
    <n v="12027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SOCIAL"/>
    <x v="7"/>
    <x v="3"/>
    <x v="28"/>
    <n v="28"/>
    <x v="1"/>
    <s v="EJECUCION"/>
    <n v="40008054"/>
    <s v="HARRY"/>
    <s v="CONSERVACION DE VEREDAS SECTOR CENTRO DE ACHAO (C33)"/>
    <m/>
    <n v="367393000"/>
    <n v="0"/>
    <n v="200000000"/>
    <n v="0"/>
    <m/>
    <m/>
    <m/>
    <m/>
    <m/>
    <m/>
    <m/>
    <m/>
    <m/>
    <m/>
    <m/>
    <n v="0"/>
    <n v="200000000"/>
    <n v="167393000"/>
    <s v="RS*"/>
    <s v="Licitación Desierta"/>
  </r>
  <r>
    <m/>
    <x v="0"/>
    <m/>
    <m/>
    <m/>
    <m/>
    <m/>
    <x v="0"/>
    <x v="0"/>
    <x v="0"/>
    <m/>
    <x v="0"/>
    <m/>
    <m/>
    <m/>
    <s v="TOTAL DE INICIATIVAS  LICITACION / ADJUDICACION"/>
    <m/>
    <n v="367393000"/>
    <n v="0"/>
    <n v="200000000"/>
    <n v="0"/>
    <n v="0"/>
    <n v="0"/>
    <n v="0"/>
    <n v="0"/>
    <n v="0"/>
    <n v="0"/>
    <n v="0"/>
    <n v="0"/>
    <n v="0"/>
    <n v="0"/>
    <n v="0"/>
    <n v="0"/>
    <n v="200000000"/>
    <n v="167393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RURAL"/>
    <s v="SOCIAL"/>
    <x v="1"/>
    <x v="3"/>
    <x v="28"/>
    <n v="28"/>
    <x v="1"/>
    <s v="EJECUCION"/>
    <n v="40015676"/>
    <m/>
    <s v="CONSTRUCCION PUNTO DE POSADA ISLA MEULIN, QUINCHAO"/>
    <m/>
    <n v="155000000"/>
    <n v="0"/>
    <n v="7750000"/>
    <n v="0"/>
    <m/>
    <m/>
    <m/>
    <m/>
    <m/>
    <m/>
    <m/>
    <m/>
    <m/>
    <m/>
    <m/>
    <n v="0"/>
    <n v="7750000"/>
    <n v="147250000"/>
    <s v="RS"/>
    <s v="Convenio en Confección"/>
  </r>
  <r>
    <m/>
    <x v="2"/>
    <m/>
    <s v="FRIL"/>
    <s v="N"/>
    <s v="URBANO"/>
    <s v="SOCIAL"/>
    <x v="6"/>
    <x v="3"/>
    <x v="28"/>
    <n v="28"/>
    <x v="2"/>
    <s v="EJECUCION"/>
    <s v="FRIL"/>
    <m/>
    <s v="FONDO REGIONAL DE INICIATIVAS LOCAL"/>
    <m/>
    <n v="200000000"/>
    <n v="0"/>
    <n v="200000000"/>
    <n v="7074985"/>
    <m/>
    <m/>
    <m/>
    <m/>
    <m/>
    <m/>
    <m/>
    <m/>
    <m/>
    <m/>
    <m/>
    <n v="7074985"/>
    <n v="192925015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355000000"/>
    <n v="0"/>
    <n v="207750000"/>
    <n v="7074985"/>
    <n v="0"/>
    <n v="0"/>
    <n v="0"/>
    <n v="0"/>
    <n v="0"/>
    <n v="0"/>
    <n v="0"/>
    <n v="0"/>
    <n v="0"/>
    <n v="0"/>
    <n v="0"/>
    <n v="7074985"/>
    <n v="200675015"/>
    <n v="14725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QUINCHAO"/>
    <m/>
    <n v="1339735000"/>
    <n v="730000"/>
    <n v="904092000"/>
    <n v="7074985"/>
    <n v="0"/>
    <n v="0"/>
    <n v="0"/>
    <n v="0"/>
    <n v="0"/>
    <n v="0"/>
    <n v="0"/>
    <n v="0"/>
    <n v="0"/>
    <n v="0"/>
    <n v="0"/>
    <n v="7074985"/>
    <n v="897017015"/>
    <n v="434913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VINCIALES"/>
    <m/>
    <m/>
    <m/>
    <m/>
    <n v="0"/>
    <m/>
    <m/>
    <m/>
    <m/>
    <m/>
    <m/>
    <m/>
    <m/>
    <m/>
    <m/>
    <m/>
    <m/>
    <n v="0"/>
    <n v="0"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4"/>
    <x v="3"/>
    <x v="29"/>
    <n v="29"/>
    <x v="1"/>
    <s v="EJECUCION"/>
    <n v="30381175"/>
    <s v="FRANCISCA"/>
    <s v="CONSTRUCCION COMPLEJO DEPORTIVO CANCHA RAYADA"/>
    <m/>
    <n v="1528367000"/>
    <n v="527224353"/>
    <n v="550000000"/>
    <n v="12960778"/>
    <m/>
    <m/>
    <m/>
    <m/>
    <m/>
    <m/>
    <m/>
    <m/>
    <m/>
    <m/>
    <m/>
    <n v="12960778"/>
    <n v="537039222"/>
    <n v="451142647"/>
    <s v="RS"/>
    <s v="En Ejecución "/>
  </r>
  <r>
    <s v="S"/>
    <x v="1"/>
    <m/>
    <s v="PROYECTOS"/>
    <s v="A"/>
    <s v="RURAL"/>
    <s v="SOCIAL"/>
    <x v="9"/>
    <x v="3"/>
    <x v="29"/>
    <n v="29"/>
    <x v="1"/>
    <s v="EJECUCION"/>
    <n v="30083335"/>
    <s v="HARRY"/>
    <s v="NORMALIZACION HOSPITAL DE QUELLON, PROVINCIA DE CHILOE"/>
    <m/>
    <n v="2016128000"/>
    <n v="82700000"/>
    <n v="600347000"/>
    <n v="0"/>
    <m/>
    <m/>
    <m/>
    <m/>
    <m/>
    <m/>
    <m/>
    <m/>
    <m/>
    <m/>
    <m/>
    <n v="0"/>
    <n v="600347000"/>
    <n v="1333081000"/>
    <s v="RS"/>
    <s v="En Ejecución "/>
  </r>
  <r>
    <m/>
    <x v="1"/>
    <m/>
    <s v="PROYECTOS"/>
    <s v="A"/>
    <s v="RURAL"/>
    <s v="CONECTIVIDAD"/>
    <x v="1"/>
    <x v="3"/>
    <x v="29"/>
    <n v="29"/>
    <x v="1"/>
    <s v="EJECUCION"/>
    <n v="30453827"/>
    <s v="FRANCISCA"/>
    <s v="CONSERVACION CAMINOS VECINALES POR GLOSA , ETAPA I PROVINCIA DE CHILOE (C33)"/>
    <m/>
    <n v="1298249800"/>
    <n v="798004491"/>
    <n v="309740846"/>
    <n v="0"/>
    <m/>
    <m/>
    <m/>
    <m/>
    <m/>
    <m/>
    <m/>
    <m/>
    <m/>
    <m/>
    <m/>
    <n v="0"/>
    <n v="309740846"/>
    <n v="190504463"/>
    <s v="RS*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4842744800"/>
    <n v="1407928844"/>
    <n v="1460087846"/>
    <n v="12960778"/>
    <n v="0"/>
    <n v="0"/>
    <n v="0"/>
    <n v="0"/>
    <n v="0"/>
    <n v="0"/>
    <n v="0"/>
    <n v="0"/>
    <n v="0"/>
    <n v="0"/>
    <n v="0"/>
    <n v="12960778"/>
    <n v="1447127068"/>
    <n v="197472811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s v="S"/>
    <x v="1"/>
    <m/>
    <s v="PROYECTOS"/>
    <s v="L"/>
    <s v="RURAL"/>
    <s v="SOCIAL"/>
    <x v="9"/>
    <x v="3"/>
    <x v="29"/>
    <n v="29"/>
    <x v="1"/>
    <s v="EJECUCION"/>
    <n v="30083300"/>
    <s v="HARRY"/>
    <s v="NORMALIZACION HOSPITAL DE ANCUD"/>
    <m/>
    <n v="4454843000"/>
    <n v="0"/>
    <n v="550375908.66670203"/>
    <n v="0"/>
    <m/>
    <m/>
    <m/>
    <m/>
    <m/>
    <m/>
    <m/>
    <m/>
    <m/>
    <m/>
    <m/>
    <n v="0"/>
    <n v="550375908.66670203"/>
    <n v="3904467091.3332977"/>
    <s v="RS"/>
    <s v="En Licitación (15.07.20)"/>
  </r>
  <r>
    <m/>
    <x v="0"/>
    <m/>
    <m/>
    <m/>
    <m/>
    <m/>
    <x v="0"/>
    <x v="0"/>
    <x v="0"/>
    <m/>
    <x v="0"/>
    <m/>
    <m/>
    <m/>
    <s v="TOTAL DE INICIATIVAS  LICITACION / ADJUDICACION"/>
    <m/>
    <n v="4454843000"/>
    <n v="0"/>
    <n v="550375908.66670203"/>
    <n v="0"/>
    <n v="0"/>
    <n v="0"/>
    <n v="0"/>
    <n v="0"/>
    <n v="0"/>
    <n v="0"/>
    <n v="0"/>
    <n v="0"/>
    <n v="0"/>
    <n v="0"/>
    <n v="0"/>
    <n v="0"/>
    <n v="550375908.66670203"/>
    <n v="3904467091.3332977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 PROVINCIALES"/>
    <m/>
    <n v="9297587800"/>
    <n v="1407928844"/>
    <n v="2010463754.666702"/>
    <n v="12960778"/>
    <n v="0"/>
    <n v="0"/>
    <n v="0"/>
    <n v="0"/>
    <n v="0"/>
    <n v="0"/>
    <n v="0"/>
    <n v="0"/>
    <n v="0"/>
    <n v="0"/>
    <n v="0"/>
    <n v="12960778"/>
    <n v="1997502976.666702"/>
    <n v="5879195201.3332977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PROVINCIA DE CHILOE"/>
    <m/>
    <n v="52363861309"/>
    <n v="15414658784"/>
    <n v="14964340667.666702"/>
    <n v="678320859"/>
    <n v="0"/>
    <n v="0"/>
    <n v="0"/>
    <n v="0"/>
    <n v="0"/>
    <n v="0"/>
    <n v="0"/>
    <n v="0"/>
    <n v="0"/>
    <n v="0"/>
    <n v="0"/>
    <n v="678320859"/>
    <n v="14286019808.666702"/>
    <n v="21984861857.33329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CHAITEN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6"/>
    <x v="4"/>
    <x v="30"/>
    <n v="30"/>
    <x v="1"/>
    <s v="DISEÑO"/>
    <n v="30103541"/>
    <s v="FABRICIO"/>
    <s v="REPOSICION EDIFICIO MUNICIPAL DE CHAITEN"/>
    <m/>
    <n v="137807000"/>
    <n v="72307000"/>
    <n v="22820000"/>
    <n v="0"/>
    <m/>
    <m/>
    <m/>
    <m/>
    <m/>
    <m/>
    <m/>
    <m/>
    <m/>
    <m/>
    <m/>
    <n v="0"/>
    <n v="22820000"/>
    <n v="42680000"/>
    <s v="RS"/>
    <s v="En Ejecución "/>
  </r>
  <r>
    <m/>
    <x v="0"/>
    <m/>
    <m/>
    <m/>
    <m/>
    <m/>
    <x v="0"/>
    <x v="0"/>
    <x v="0"/>
    <m/>
    <x v="0"/>
    <m/>
    <m/>
    <m/>
    <s v="TOTAL DE INICIATIVAS EN EJECUCION / LIQUIDACION "/>
    <m/>
    <n v="137807000"/>
    <n v="72307000"/>
    <n v="22820000"/>
    <n v="0"/>
    <n v="0"/>
    <n v="0"/>
    <n v="0"/>
    <n v="0"/>
    <n v="0"/>
    <n v="0"/>
    <n v="0"/>
    <n v="0"/>
    <n v="0"/>
    <n v="0"/>
    <n v="0"/>
    <n v="0"/>
    <n v="22820000"/>
    <n v="42680000"/>
    <m/>
    <s v="ARI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URBANO"/>
    <s v="CONECTIVIDAD"/>
    <x v="1"/>
    <x v="4"/>
    <x v="30"/>
    <n v="30"/>
    <x v="1"/>
    <s v="PREFACTIBILIDAD"/>
    <n v="30186523"/>
    <s v="FABRICIO"/>
    <s v="CONSTRUCCION CONEXION VIAL ISLA TALCAN ARCH. DESERTORES,CHAITEN"/>
    <m/>
    <n v="491402000"/>
    <n v="23100000"/>
    <n v="96264227"/>
    <n v="0"/>
    <m/>
    <m/>
    <m/>
    <m/>
    <m/>
    <m/>
    <m/>
    <m/>
    <m/>
    <m/>
    <m/>
    <n v="0"/>
    <n v="96264227"/>
    <n v="372037773"/>
    <s v="RS"/>
    <s v="En Licitación (20.07.20)"/>
  </r>
  <r>
    <m/>
    <x v="0"/>
    <m/>
    <m/>
    <m/>
    <m/>
    <m/>
    <x v="0"/>
    <x v="0"/>
    <x v="0"/>
    <m/>
    <x v="0"/>
    <m/>
    <m/>
    <m/>
    <s v="TOTAL DE INICIATIVAS  LICITACION / ADJUDICACION"/>
    <m/>
    <n v="491402000"/>
    <n v="23100000"/>
    <n v="96264227"/>
    <n v="0"/>
    <n v="0"/>
    <n v="0"/>
    <n v="0"/>
    <n v="0"/>
    <n v="0"/>
    <n v="0"/>
    <n v="0"/>
    <n v="0"/>
    <n v="0"/>
    <n v="0"/>
    <n v="0"/>
    <n v="0"/>
    <n v="96264227"/>
    <n v="37203777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3"/>
    <m/>
    <s v="SUBT 29"/>
    <s v="N"/>
    <m/>
    <m/>
    <x v="2"/>
    <x v="4"/>
    <x v="30"/>
    <n v="30"/>
    <x v="1"/>
    <s v="EJECUCION"/>
    <n v="40019239"/>
    <m/>
    <s v="REPOSICION EQUIPOS LUMINARIAS ALUMBRADO PUBLICO CHAITEN URBANO (C33)"/>
    <m/>
    <n v="534255000"/>
    <n v="0"/>
    <n v="300000000"/>
    <n v="0"/>
    <m/>
    <m/>
    <m/>
    <m/>
    <m/>
    <m/>
    <m/>
    <m/>
    <m/>
    <m/>
    <m/>
    <n v="0"/>
    <n v="300000000"/>
    <n v="234255000"/>
    <s v="RS*"/>
    <m/>
  </r>
  <r>
    <m/>
    <x v="2"/>
    <m/>
    <s v="FRIL"/>
    <s v="N"/>
    <s v="URBANO"/>
    <s v="SOCIAL"/>
    <x v="6"/>
    <x v="4"/>
    <x v="30"/>
    <n v="30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734255000"/>
    <n v="0"/>
    <n v="500000000"/>
    <n v="0"/>
    <n v="0"/>
    <n v="0"/>
    <n v="0"/>
    <n v="0"/>
    <n v="0"/>
    <n v="0"/>
    <n v="0"/>
    <n v="0"/>
    <n v="0"/>
    <n v="0"/>
    <n v="0"/>
    <n v="0"/>
    <n v="500000000"/>
    <n v="234255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CHAITEN"/>
    <m/>
    <n v="1363464000"/>
    <n v="95407000"/>
    <n v="619084227"/>
    <n v="0"/>
    <n v="0"/>
    <n v="0"/>
    <n v="0"/>
    <n v="0"/>
    <n v="0"/>
    <n v="0"/>
    <n v="0"/>
    <n v="0"/>
    <n v="0"/>
    <n v="0"/>
    <n v="0"/>
    <n v="0"/>
    <n v="619084227"/>
    <n v="64897277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FUTALEUFU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PV"/>
    <x v="1"/>
    <m/>
    <s v="PROYECTOS"/>
    <s v="A"/>
    <s v="RURAL"/>
    <s v="SOCIAL"/>
    <x v="3"/>
    <x v="4"/>
    <x v="31"/>
    <n v="31"/>
    <x v="7"/>
    <s v="EJECUCION"/>
    <n v="30072372"/>
    <s v="FABRICIO"/>
    <s v="AMPLIACION ESCUELA BASICA  FUTALEUFU PARA EDUCACION MEDIA"/>
    <m/>
    <n v="3944224378"/>
    <n v="3825956050"/>
    <n v="38715777"/>
    <n v="0"/>
    <m/>
    <m/>
    <m/>
    <m/>
    <m/>
    <m/>
    <m/>
    <m/>
    <m/>
    <m/>
    <m/>
    <n v="0"/>
    <n v="38715777"/>
    <n v="79552551"/>
    <s v="RS"/>
    <s v="En Ejecución "/>
  </r>
  <r>
    <s v="PV"/>
    <x v="1"/>
    <m/>
    <s v="PROYECTOS"/>
    <s v="A"/>
    <s v="RURAL"/>
    <s v="SOCIAL"/>
    <x v="4"/>
    <x v="4"/>
    <x v="31"/>
    <n v="31"/>
    <x v="7"/>
    <s v="EJECUCION"/>
    <n v="30086361"/>
    <s v="FABRICIO"/>
    <s v="REPOSICION GIMNASIO MUNICIPAL DE FUTALEUFU"/>
    <m/>
    <n v="3900581000"/>
    <n v="3439918627"/>
    <n v="308041677"/>
    <n v="0"/>
    <m/>
    <m/>
    <m/>
    <m/>
    <m/>
    <m/>
    <m/>
    <m/>
    <m/>
    <m/>
    <m/>
    <n v="0"/>
    <n v="308041677"/>
    <n v="152620696"/>
    <s v="RS(RE)"/>
    <s v="En Ejecución "/>
  </r>
  <r>
    <s v="PV"/>
    <x v="1"/>
    <m/>
    <s v="PROYECTOS"/>
    <s v="A"/>
    <m/>
    <m/>
    <x v="1"/>
    <x v="4"/>
    <x v="31"/>
    <n v="31"/>
    <x v="7"/>
    <s v="EJECUCION"/>
    <n v="30102779"/>
    <s v="FABRICIO"/>
    <s v="CONSTRUCCION TERMINAL DE BUSES DE FUTALEUFU"/>
    <m/>
    <n v="703415000"/>
    <n v="563024010"/>
    <n v="139920811"/>
    <n v="0"/>
    <m/>
    <m/>
    <m/>
    <m/>
    <m/>
    <m/>
    <m/>
    <m/>
    <m/>
    <m/>
    <m/>
    <n v="0"/>
    <n v="139920811"/>
    <n v="470179"/>
    <s v="RS"/>
    <s v="En Ejecución "/>
  </r>
  <r>
    <m/>
    <x v="1"/>
    <m/>
    <s v="PROYECTOS"/>
    <s v="A"/>
    <s v="RURAL"/>
    <s v="SOCIAL"/>
    <x v="7"/>
    <x v="4"/>
    <x v="31"/>
    <n v="31"/>
    <x v="1"/>
    <s v="DISEÑO"/>
    <n v="30352430"/>
    <s v="FABRICIO"/>
    <s v="CONSTRUCCION PARQUE MUNICIPAL DE FUTALEUFU"/>
    <m/>
    <n v="118160000"/>
    <n v="74000000"/>
    <n v="39000000"/>
    <n v="0"/>
    <m/>
    <m/>
    <m/>
    <m/>
    <m/>
    <m/>
    <m/>
    <m/>
    <m/>
    <m/>
    <m/>
    <n v="0"/>
    <n v="39000000"/>
    <n v="5160000"/>
    <s v="RS"/>
    <m/>
  </r>
  <r>
    <m/>
    <x v="0"/>
    <m/>
    <m/>
    <m/>
    <m/>
    <m/>
    <x v="0"/>
    <x v="0"/>
    <x v="0"/>
    <m/>
    <x v="0"/>
    <m/>
    <m/>
    <m/>
    <s v="TOTAL DE INICIATIVAS EN EJECUCION / LIQUIDACION "/>
    <m/>
    <n v="8666380378"/>
    <n v="7902898687"/>
    <n v="525678265"/>
    <n v="0"/>
    <n v="0"/>
    <n v="0"/>
    <n v="0"/>
    <n v="0"/>
    <n v="0"/>
    <n v="0"/>
    <n v="0"/>
    <n v="0"/>
    <n v="0"/>
    <n v="0"/>
    <n v="0"/>
    <n v="0"/>
    <n v="525678265"/>
    <n v="237803426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4"/>
    <m/>
    <s v="ESTUDIOS"/>
    <s v="L"/>
    <s v="RURAL"/>
    <s v="SOCIAL"/>
    <x v="7"/>
    <x v="4"/>
    <x v="31"/>
    <n v="31"/>
    <x v="1"/>
    <s v="EJECUCION"/>
    <n v="30341678"/>
    <s v="FABRICIO"/>
    <s v="ANALISIS ESTUDIO PLAN REGULADOR COMUNAL DE FUTALEUFU (C33)"/>
    <m/>
    <n v="126058000"/>
    <n v="0"/>
    <n v="50000000"/>
    <n v="0"/>
    <m/>
    <m/>
    <m/>
    <m/>
    <m/>
    <m/>
    <m/>
    <m/>
    <m/>
    <m/>
    <m/>
    <n v="0"/>
    <n v="50000000"/>
    <n v="76058000"/>
    <s v="RS*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126058000"/>
    <n v="0"/>
    <n v="50000000"/>
    <n v="0"/>
    <n v="0"/>
    <n v="0"/>
    <n v="0"/>
    <n v="0"/>
    <n v="0"/>
    <n v="0"/>
    <n v="0"/>
    <n v="0"/>
    <n v="0"/>
    <n v="0"/>
    <n v="0"/>
    <n v="0"/>
    <n v="50000000"/>
    <n v="76058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3"/>
    <m/>
    <s v="SUBT 29"/>
    <s v="N"/>
    <m/>
    <m/>
    <x v="6"/>
    <x v="4"/>
    <x v="31"/>
    <n v="31"/>
    <x v="1"/>
    <s v="EJECUCION"/>
    <n v="40024504"/>
    <m/>
    <s v="ADQUISICION EQUIPOS Y EQUIPAMIENRO PARA HABILITACION MUNICIPALIDAD(C33)"/>
    <m/>
    <n v="99048000"/>
    <n v="0"/>
    <n v="99048000"/>
    <n v="0"/>
    <m/>
    <m/>
    <m/>
    <m/>
    <m/>
    <m/>
    <m/>
    <m/>
    <m/>
    <m/>
    <m/>
    <n v="0"/>
    <n v="99048000"/>
    <n v="0"/>
    <s v="RS*"/>
    <m/>
  </r>
  <r>
    <m/>
    <x v="2"/>
    <m/>
    <s v="FRIL"/>
    <s v="N"/>
    <s v="URBANO"/>
    <s v="SOCIAL"/>
    <x v="6"/>
    <x v="4"/>
    <x v="31"/>
    <n v="31"/>
    <x v="2"/>
    <s v="EJECUCION"/>
    <s v="FRIL"/>
    <m/>
    <s v="FONDO REGIONAL DE INICIATIVAS LOCAL"/>
    <m/>
    <n v="200000000"/>
    <n v="0"/>
    <n v="200000000"/>
    <n v="49512258"/>
    <m/>
    <m/>
    <m/>
    <m/>
    <m/>
    <m/>
    <m/>
    <m/>
    <m/>
    <m/>
    <m/>
    <n v="49512258"/>
    <n v="150487742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299048000"/>
    <n v="0"/>
    <n v="299048000"/>
    <n v="49512258"/>
    <n v="0"/>
    <n v="0"/>
    <n v="0"/>
    <n v="0"/>
    <n v="0"/>
    <n v="0"/>
    <n v="0"/>
    <n v="0"/>
    <n v="0"/>
    <n v="0"/>
    <n v="0"/>
    <n v="49512258"/>
    <n v="249535742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FUTALEUFU"/>
    <m/>
    <n v="9091486378"/>
    <n v="7902898687"/>
    <n v="874726265"/>
    <n v="49512258"/>
    <n v="0"/>
    <n v="0"/>
    <n v="0"/>
    <n v="0"/>
    <n v="0"/>
    <n v="0"/>
    <n v="0"/>
    <n v="0"/>
    <n v="0"/>
    <n v="0"/>
    <n v="0"/>
    <n v="49512258"/>
    <n v="825214007"/>
    <n v="31386142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HUALAIHUE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S-PV"/>
    <x v="1"/>
    <m/>
    <s v="PROYECTOS"/>
    <s v="A"/>
    <s v="RURAL"/>
    <s v="SOCIAL"/>
    <x v="9"/>
    <x v="4"/>
    <x v="32"/>
    <n v="32"/>
    <x v="7"/>
    <s v="EJECUCION"/>
    <n v="30311722"/>
    <s v="FABRICIO"/>
    <s v="REPOSICION POSTA SALUD RURAL AULEN"/>
    <m/>
    <n v="576755000"/>
    <n v="553325273"/>
    <n v="23429727"/>
    <n v="35723661"/>
    <m/>
    <m/>
    <m/>
    <m/>
    <m/>
    <m/>
    <m/>
    <m/>
    <m/>
    <m/>
    <m/>
    <n v="35723661"/>
    <n v="-12293934"/>
    <n v="0"/>
    <s v="RS"/>
    <s v="En Ejecución "/>
  </r>
  <r>
    <m/>
    <x v="1"/>
    <m/>
    <s v="PROYECTOS"/>
    <s v="A"/>
    <s v="RURAL"/>
    <s v="SOCIAL"/>
    <x v="3"/>
    <x v="4"/>
    <x v="32"/>
    <n v="32"/>
    <x v="1"/>
    <s v="EJECUCION"/>
    <n v="30277425"/>
    <s v="FABRICIO"/>
    <s v="CONSERVACION GIMNASIO ESCUELA SEMILLERO ROLECHA(C33)"/>
    <m/>
    <n v="231709000"/>
    <n v="217737229"/>
    <n v="6728348"/>
    <n v="0"/>
    <m/>
    <m/>
    <m/>
    <m/>
    <m/>
    <m/>
    <m/>
    <m/>
    <m/>
    <m/>
    <m/>
    <n v="0"/>
    <n v="6728348"/>
    <n v="7243423"/>
    <s v="RS*"/>
    <s v="En Ejecución "/>
  </r>
  <r>
    <m/>
    <x v="1"/>
    <m/>
    <s v="PROYECTOS"/>
    <s v="A"/>
    <s v="RURAL"/>
    <s v="CONECTIVIDAD"/>
    <x v="1"/>
    <x v="4"/>
    <x v="32"/>
    <n v="32"/>
    <x v="1"/>
    <s v="EJECUCION"/>
    <n v="30471092"/>
    <s v="FABRICIO"/>
    <s v="CONSERVACION CAMINOS VECINALES GLOSA 7,COMUNA HUALAIHUE, PROV. PALENA(C33)"/>
    <m/>
    <n v="364878000"/>
    <n v="356421271"/>
    <n v="8456729"/>
    <n v="0"/>
    <m/>
    <m/>
    <m/>
    <m/>
    <m/>
    <m/>
    <m/>
    <m/>
    <m/>
    <m/>
    <m/>
    <n v="0"/>
    <n v="8456729"/>
    <n v="0"/>
    <s v="RS*"/>
    <s v="En Ejecución "/>
  </r>
  <r>
    <m/>
    <x v="1"/>
    <m/>
    <s v="PROYECTOS"/>
    <s v="A"/>
    <s v="RURAL"/>
    <s v="AGUA POTABLE"/>
    <x v="8"/>
    <x v="4"/>
    <x v="32"/>
    <n v="32"/>
    <x v="5"/>
    <s v="EJECUCION"/>
    <n v="30065600"/>
    <s v="FABRICIO"/>
    <s v="CONSTRUCCION SISTEMA AGUA POTABLE EL MANZANO"/>
    <m/>
    <n v="657583000"/>
    <n v="0"/>
    <n v="457583000"/>
    <n v="0"/>
    <m/>
    <m/>
    <m/>
    <m/>
    <m/>
    <m/>
    <m/>
    <m/>
    <m/>
    <m/>
    <m/>
    <n v="0"/>
    <n v="457583000"/>
    <n v="200000000"/>
    <s v="RS"/>
    <s v="En Ejecución"/>
  </r>
  <r>
    <m/>
    <x v="0"/>
    <m/>
    <m/>
    <m/>
    <m/>
    <m/>
    <x v="0"/>
    <x v="0"/>
    <x v="0"/>
    <m/>
    <x v="0"/>
    <m/>
    <m/>
    <m/>
    <s v="TOTAL DE INICIATIVAS EN EJECUCION / LIQUIDACION "/>
    <m/>
    <n v="1830925000"/>
    <n v="1127483773"/>
    <n v="496197804"/>
    <n v="35723661"/>
    <n v="0"/>
    <n v="0"/>
    <n v="0"/>
    <n v="0"/>
    <n v="0"/>
    <n v="0"/>
    <n v="0"/>
    <n v="0"/>
    <n v="0"/>
    <n v="0"/>
    <n v="0"/>
    <n v="35723661"/>
    <n v="460474143"/>
    <n v="207243423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AGUA POTABLE"/>
    <x v="8"/>
    <x v="4"/>
    <x v="32"/>
    <n v="32"/>
    <x v="1"/>
    <s v="DISEÑO"/>
    <n v="30338024"/>
    <s v="FABRICIO"/>
    <s v="CONSTRUCCION SISTEMA AGUA POTABLE PUNTILLA PICHICOLO"/>
    <m/>
    <n v="33986000"/>
    <n v="0"/>
    <n v="10000000"/>
    <n v="0"/>
    <m/>
    <m/>
    <m/>
    <m/>
    <m/>
    <m/>
    <m/>
    <m/>
    <m/>
    <m/>
    <m/>
    <n v="0"/>
    <n v="10000000"/>
    <n v="23986000"/>
    <s v="RS"/>
    <s v="Licitación Adjudicada (02.03.20)"/>
  </r>
  <r>
    <m/>
    <x v="1"/>
    <m/>
    <s v="PROYECTOS"/>
    <s v="L"/>
    <s v="RURAL"/>
    <s v="AGUA POTABLE"/>
    <x v="8"/>
    <x v="4"/>
    <x v="32"/>
    <n v="32"/>
    <x v="1"/>
    <s v="DISEÑO"/>
    <n v="30338523"/>
    <s v="FABRICIO"/>
    <s v="CONSTRUCCION SISTEMA AGUA POTABLE CHOLGO"/>
    <m/>
    <n v="33986000"/>
    <n v="0"/>
    <n v="10000000"/>
    <n v="0"/>
    <m/>
    <m/>
    <m/>
    <m/>
    <m/>
    <m/>
    <m/>
    <m/>
    <m/>
    <m/>
    <m/>
    <n v="0"/>
    <n v="10000000"/>
    <n v="23986000"/>
    <s v="RS"/>
    <s v="Licitación Adjudicada (02.03.20)"/>
  </r>
  <r>
    <s v="AS"/>
    <x v="1"/>
    <m/>
    <s v="PROYECTOS"/>
    <s v="L"/>
    <m/>
    <m/>
    <x v="10"/>
    <x v="4"/>
    <x v="32"/>
    <n v="32"/>
    <x v="8"/>
    <s v="EJECUCION"/>
    <n v="40003992"/>
    <s v="RENE"/>
    <s v="CONSTRUCCION SUMINISTRO E. ELECTRICA FOTOVOLTAICA LOC. DE QUIACA-ISLA LLANCAHUE"/>
    <m/>
    <n v="474773000"/>
    <n v="0"/>
    <n v="300000000"/>
    <n v="0"/>
    <m/>
    <m/>
    <m/>
    <m/>
    <m/>
    <m/>
    <m/>
    <m/>
    <m/>
    <m/>
    <m/>
    <n v="0"/>
    <n v="300000000"/>
    <n v="174773000"/>
    <s v="RS"/>
    <m/>
  </r>
  <r>
    <m/>
    <x v="0"/>
    <m/>
    <m/>
    <m/>
    <m/>
    <m/>
    <x v="0"/>
    <x v="0"/>
    <x v="0"/>
    <m/>
    <x v="0"/>
    <m/>
    <m/>
    <m/>
    <s v="TOTAL DE INICIATIVAS  LICITACION / ADJUDICACION"/>
    <m/>
    <n v="542745000"/>
    <n v="0"/>
    <n v="320000000"/>
    <n v="0"/>
    <n v="0"/>
    <n v="0"/>
    <n v="0"/>
    <n v="0"/>
    <n v="0"/>
    <n v="0"/>
    <n v="0"/>
    <n v="0"/>
    <n v="0"/>
    <n v="0"/>
    <n v="0"/>
    <n v="0"/>
    <n v="320000000"/>
    <n v="222745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3"/>
    <m/>
    <s v="SUBT 29"/>
    <s v="N"/>
    <m/>
    <m/>
    <x v="1"/>
    <x v="4"/>
    <x v="32"/>
    <n v="32"/>
    <x v="1"/>
    <s v="EJECUCION"/>
    <n v="30471865"/>
    <m/>
    <s v="ADQUISICION SISTEMA DE ILUMINACION PAD. RIO NEGRO HORNOPIREN(C33)"/>
    <m/>
    <n v="101104000"/>
    <n v="0"/>
    <n v="101104000"/>
    <n v="0"/>
    <m/>
    <m/>
    <m/>
    <m/>
    <m/>
    <m/>
    <m/>
    <m/>
    <m/>
    <m/>
    <m/>
    <n v="0"/>
    <n v="101104000"/>
    <n v="0"/>
    <s v="RS*"/>
    <s v="Convenio en Confección"/>
  </r>
  <r>
    <m/>
    <x v="3"/>
    <m/>
    <s v="SUBT 29"/>
    <s v="N"/>
    <m/>
    <m/>
    <x v="1"/>
    <x v="4"/>
    <x v="32"/>
    <n v="32"/>
    <x v="1"/>
    <s v="EJECUCION"/>
    <n v="30361477"/>
    <m/>
    <s v="ADQUISICION Y REPOSICION VEHICULOS Y MAQUINARIA CAMINOS VECINALES (C33)"/>
    <m/>
    <n v="397041000"/>
    <n v="0"/>
    <n v="397041000"/>
    <n v="0"/>
    <m/>
    <m/>
    <m/>
    <m/>
    <m/>
    <m/>
    <m/>
    <m/>
    <m/>
    <m/>
    <m/>
    <n v="0"/>
    <n v="397041000"/>
    <n v="0"/>
    <s v="RS*"/>
    <m/>
  </r>
  <r>
    <m/>
    <x v="2"/>
    <m/>
    <s v="FRIL"/>
    <s v="N"/>
    <s v="URBANO"/>
    <s v="SOCIAL"/>
    <x v="6"/>
    <x v="4"/>
    <x v="32"/>
    <n v="32"/>
    <x v="2"/>
    <s v="EJECUCION"/>
    <s v="FRIL"/>
    <m/>
    <s v="FONDO REGIONAL DE INICIATIVAS LOCAL"/>
    <m/>
    <n v="200000000"/>
    <n v="0"/>
    <n v="200000000"/>
    <n v="0"/>
    <m/>
    <m/>
    <m/>
    <m/>
    <m/>
    <m/>
    <m/>
    <m/>
    <m/>
    <m/>
    <m/>
    <m/>
    <n v="200000000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698145000"/>
    <n v="0"/>
    <n v="698145000"/>
    <n v="0"/>
    <n v="0"/>
    <n v="0"/>
    <n v="0"/>
    <n v="0"/>
    <n v="0"/>
    <n v="0"/>
    <n v="0"/>
    <n v="0"/>
    <n v="0"/>
    <n v="0"/>
    <n v="0"/>
    <n v="0"/>
    <n v="698145000"/>
    <n v="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HUALAIHUE"/>
    <m/>
    <n v="3071815000"/>
    <n v="1127483773"/>
    <n v="1514342804"/>
    <n v="35723661"/>
    <n v="0"/>
    <n v="0"/>
    <n v="0"/>
    <n v="0"/>
    <n v="0"/>
    <n v="0"/>
    <n v="0"/>
    <n v="0"/>
    <n v="0"/>
    <n v="0"/>
    <n v="0"/>
    <n v="35723661"/>
    <n v="1478619143"/>
    <n v="42998842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COMUNA DE PALENA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RURAL"/>
    <s v="SOCIAL"/>
    <x v="7"/>
    <x v="4"/>
    <x v="33"/>
    <n v="33"/>
    <x v="1"/>
    <s v="EJECUCION"/>
    <n v="30135233"/>
    <s v="FABRICIO"/>
    <s v="MEJORAMIENTO CIRCUITO PEATONAL HISTORICO COMUNA DE PALENA"/>
    <m/>
    <n v="2433282000"/>
    <n v="503235568"/>
    <n v="700000000"/>
    <n v="182837688"/>
    <m/>
    <m/>
    <m/>
    <m/>
    <m/>
    <m/>
    <m/>
    <m/>
    <m/>
    <m/>
    <m/>
    <n v="182837688"/>
    <n v="517162312"/>
    <n v="1230046432"/>
    <s v="RS"/>
    <s v="En Ejecución "/>
  </r>
  <r>
    <m/>
    <x v="1"/>
    <m/>
    <s v="PROYECTOS"/>
    <s v="A"/>
    <m/>
    <m/>
    <x v="6"/>
    <x v="4"/>
    <x v="33"/>
    <n v="33"/>
    <x v="1"/>
    <s v="DISEÑO"/>
    <n v="30116040"/>
    <s v="FABRICIO"/>
    <s v="CONSTRUCCION BODEGA Y GALPON MUNICIPAL"/>
    <m/>
    <n v="43998000"/>
    <n v="35173080"/>
    <n v="8824920"/>
    <n v="0"/>
    <m/>
    <m/>
    <m/>
    <m/>
    <m/>
    <m/>
    <m/>
    <m/>
    <m/>
    <m/>
    <m/>
    <n v="0"/>
    <n v="8824920"/>
    <n v="0"/>
    <s v="RS"/>
    <s v="En Liquidación"/>
  </r>
  <r>
    <s v="PV"/>
    <x v="1"/>
    <m/>
    <s v="PROYECTOS"/>
    <s v="A"/>
    <s v="RURAL"/>
    <s v="SOCIAL"/>
    <x v="2"/>
    <x v="4"/>
    <x v="33"/>
    <n v="33"/>
    <x v="7"/>
    <s v="EJECUCION"/>
    <n v="30115295"/>
    <s v="FABRICIO"/>
    <s v="REPOSICION Y AMPLIACION CUARTEL 1° COMPAÑIA DE BOMBEROS DE PALENA"/>
    <m/>
    <n v="788374000"/>
    <n v="622243006"/>
    <n v="50000000"/>
    <n v="0"/>
    <m/>
    <m/>
    <m/>
    <m/>
    <m/>
    <m/>
    <m/>
    <m/>
    <m/>
    <m/>
    <m/>
    <n v="0"/>
    <n v="50000000"/>
    <n v="116130994"/>
    <s v="RS(RE)"/>
    <m/>
  </r>
  <r>
    <m/>
    <x v="0"/>
    <m/>
    <m/>
    <m/>
    <m/>
    <m/>
    <x v="0"/>
    <x v="0"/>
    <x v="0"/>
    <m/>
    <x v="0"/>
    <m/>
    <m/>
    <m/>
    <s v="TOTAL DE INICIATIVAS EN EJECUCION / LIQUIDACION "/>
    <m/>
    <n v="3265654000"/>
    <n v="1160651654"/>
    <n v="758824920"/>
    <n v="182837688"/>
    <n v="0"/>
    <n v="0"/>
    <n v="0"/>
    <n v="0"/>
    <n v="0"/>
    <n v="0"/>
    <n v="0"/>
    <n v="0"/>
    <n v="0"/>
    <n v="0"/>
    <n v="0"/>
    <n v="182837688"/>
    <n v="575987232"/>
    <n v="1346177426"/>
    <m/>
    <s v="En Ejecución-LICITACIO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m/>
    <x v="1"/>
    <m/>
    <s v="PROYECTOS"/>
    <s v="L"/>
    <s v="RURAL"/>
    <s v="CONECTIVIDAD"/>
    <x v="7"/>
    <x v="4"/>
    <x v="33"/>
    <n v="33"/>
    <x v="1"/>
    <s v="EJECUCION"/>
    <n v="30487244"/>
    <s v="FABRICIO"/>
    <s v="CONSERVACION VEREDAS CALLES DE PALENA (C33)"/>
    <m/>
    <n v="68106000"/>
    <n v="47522650"/>
    <n v="20583350"/>
    <n v="0"/>
    <m/>
    <m/>
    <m/>
    <m/>
    <m/>
    <m/>
    <m/>
    <m/>
    <m/>
    <m/>
    <m/>
    <n v="0"/>
    <n v="20583350"/>
    <n v="0"/>
    <s v="RS*"/>
    <s v="Licitación Adjudicada"/>
  </r>
  <r>
    <m/>
    <x v="4"/>
    <m/>
    <s v="ESTUDIOS"/>
    <s v="L"/>
    <s v="RURAL"/>
    <s v="SOCIAL"/>
    <x v="7"/>
    <x v="4"/>
    <x v="33"/>
    <n v="33"/>
    <x v="1"/>
    <s v="EJECUCION"/>
    <n v="30474713"/>
    <s v="FABRICIO"/>
    <s v="ACTUALIZACION PLAN REGULADOR COMUNA DE PALENA (C33)"/>
    <m/>
    <n v="130000000"/>
    <n v="0"/>
    <n v="30000000"/>
    <n v="0"/>
    <m/>
    <m/>
    <m/>
    <m/>
    <m/>
    <m/>
    <m/>
    <m/>
    <m/>
    <m/>
    <m/>
    <n v="0"/>
    <n v="30000000"/>
    <n v="100000000"/>
    <s v="RS*"/>
    <s v="Licitación Desierta"/>
  </r>
  <r>
    <m/>
    <x v="0"/>
    <m/>
    <m/>
    <m/>
    <m/>
    <m/>
    <x v="0"/>
    <x v="0"/>
    <x v="0"/>
    <m/>
    <x v="0"/>
    <m/>
    <m/>
    <m/>
    <s v="TOTAL DE INICIATIVAS  LICITACION / ADJUDICACION"/>
    <m/>
    <n v="198106000"/>
    <n v="47522650"/>
    <n v="50583350"/>
    <n v="0"/>
    <n v="0"/>
    <n v="0"/>
    <n v="0"/>
    <n v="0"/>
    <n v="0"/>
    <n v="0"/>
    <n v="0"/>
    <n v="0"/>
    <n v="0"/>
    <n v="0"/>
    <n v="0"/>
    <n v="0"/>
    <n v="50583350"/>
    <n v="1000000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s v="ASC"/>
    <x v="1"/>
    <m/>
    <s v="PROYECTOS"/>
    <s v="N"/>
    <s v="RURAL"/>
    <s v="SOCIAL"/>
    <x v="10"/>
    <x v="4"/>
    <x v="33"/>
    <n v="33"/>
    <x v="1"/>
    <s v="EJECUCION"/>
    <n v="40012912"/>
    <m/>
    <s v="HABILITACION SUMINISTRO ENERGIA ELECTRICA SECTOR EL TIGRE, PALENA"/>
    <m/>
    <n v="200303000"/>
    <n v="0"/>
    <n v="200303000"/>
    <n v="0"/>
    <m/>
    <m/>
    <m/>
    <m/>
    <m/>
    <m/>
    <m/>
    <m/>
    <m/>
    <m/>
    <m/>
    <n v="0"/>
    <n v="200303000"/>
    <n v="0"/>
    <s v="RS"/>
    <s v="Convenio en Confección"/>
  </r>
  <r>
    <s v="PV"/>
    <x v="1"/>
    <m/>
    <s v="PROYECTOS"/>
    <s v="N"/>
    <s v="RURAL"/>
    <s v="SOCIAL"/>
    <x v="1"/>
    <x v="4"/>
    <x v="33"/>
    <n v="33"/>
    <x v="7"/>
    <s v="PREFACTIBILIDAD"/>
    <n v="30384235"/>
    <m/>
    <s v="CONSTRUCCION CONEXION VIAL SECTOR PALENA - LAGO PALENA"/>
    <m/>
    <n v="814000000"/>
    <n v="0"/>
    <n v="249275282"/>
    <n v="0"/>
    <m/>
    <m/>
    <m/>
    <m/>
    <m/>
    <m/>
    <m/>
    <m/>
    <m/>
    <m/>
    <m/>
    <n v="0"/>
    <n v="249275282"/>
    <n v="564724718"/>
    <s v="RS"/>
    <s v="Convenio en Confección"/>
  </r>
  <r>
    <m/>
    <x v="2"/>
    <m/>
    <s v="FRIL"/>
    <s v="N"/>
    <s v="URBANO"/>
    <s v="SOCIAL"/>
    <x v="6"/>
    <x v="4"/>
    <x v="33"/>
    <n v="33"/>
    <x v="2"/>
    <s v="EJECUCION"/>
    <s v="FRIL"/>
    <m/>
    <s v="FONDO REGIONAL DE INICIATIVAS LOCAL"/>
    <m/>
    <n v="200000000"/>
    <n v="0"/>
    <n v="200000000"/>
    <n v="33621499"/>
    <m/>
    <m/>
    <m/>
    <m/>
    <m/>
    <m/>
    <m/>
    <m/>
    <m/>
    <m/>
    <m/>
    <n v="33621499"/>
    <n v="166378501"/>
    <n v="0"/>
    <s v="RS**"/>
    <m/>
  </r>
  <r>
    <m/>
    <x v="0"/>
    <m/>
    <m/>
    <m/>
    <m/>
    <m/>
    <x v="0"/>
    <x v="0"/>
    <x v="0"/>
    <m/>
    <x v="0"/>
    <m/>
    <m/>
    <m/>
    <s v="TOTAL DE INICIATIVAS NUEVAS"/>
    <m/>
    <n v="1214303000"/>
    <n v="0"/>
    <n v="649578282"/>
    <n v="33621499"/>
    <n v="0"/>
    <n v="0"/>
    <n v="0"/>
    <n v="0"/>
    <n v="0"/>
    <n v="0"/>
    <n v="0"/>
    <n v="0"/>
    <n v="0"/>
    <n v="0"/>
    <n v="0"/>
    <n v="33621499"/>
    <n v="615956783"/>
    <n v="564724718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COMUNA DE  PALENA"/>
    <m/>
    <n v="4678063000"/>
    <n v="1208174304"/>
    <n v="1458986552"/>
    <n v="216459187"/>
    <n v="0"/>
    <n v="0"/>
    <n v="0"/>
    <n v="0"/>
    <n v="0"/>
    <n v="0"/>
    <n v="0"/>
    <n v="0"/>
    <n v="0"/>
    <n v="0"/>
    <n v="0"/>
    <n v="216459187"/>
    <n v="1242527365"/>
    <n v="2010902144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VINCIALES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s v="PV"/>
    <x v="1"/>
    <m/>
    <s v="PROYECTOS"/>
    <s v="A"/>
    <s v="RURAL"/>
    <s v="CONECTIVIDAD"/>
    <x v="1"/>
    <x v="4"/>
    <x v="34"/>
    <n v="34"/>
    <x v="7"/>
    <s v="EJECUCION"/>
    <n v="30342673"/>
    <s v="FABRICIO"/>
    <s v="CONSTRUCCION CAMINO RUTA  W 807 SECTOR PUENTE NEGRO PTE. AQUELLAS"/>
    <m/>
    <n v="9788091000"/>
    <n v="133735539"/>
    <n v="2470443072"/>
    <n v="0"/>
    <m/>
    <m/>
    <m/>
    <m/>
    <m/>
    <m/>
    <m/>
    <m/>
    <m/>
    <m/>
    <m/>
    <n v="0"/>
    <n v="2470443072"/>
    <n v="7183912389"/>
    <s v="RS"/>
    <s v="En Ejecución "/>
  </r>
  <r>
    <s v="PV"/>
    <x v="1"/>
    <m/>
    <s v="PROYECTOS"/>
    <s v="A"/>
    <s v="RURAL"/>
    <s v="CONECTIVIDAD"/>
    <x v="1"/>
    <x v="4"/>
    <x v="34"/>
    <n v="34"/>
    <x v="7"/>
    <s v="EJECUCION"/>
    <n v="30342679"/>
    <s v="FABRICIO"/>
    <s v="CONSERVACION PERIODICA, CAMINO BASICO ROL W-813 Y ROL W-815 (C33)"/>
    <m/>
    <n v="4990418000"/>
    <n v="4853909931"/>
    <n v="136508069"/>
    <n v="0"/>
    <m/>
    <m/>
    <m/>
    <m/>
    <m/>
    <m/>
    <m/>
    <m/>
    <m/>
    <m/>
    <m/>
    <n v="0"/>
    <n v="136508069"/>
    <n v="0"/>
    <s v="RS*"/>
    <s v="En Ejecución "/>
  </r>
  <r>
    <s v="PV"/>
    <x v="1"/>
    <m/>
    <s v="PROYECTOS"/>
    <s v="A"/>
    <s v="RURAL"/>
    <s v="CONECTIVIDAD"/>
    <x v="1"/>
    <x v="4"/>
    <x v="34"/>
    <n v="34"/>
    <x v="7"/>
    <s v="EJECUCION"/>
    <n v="30371674"/>
    <s v="FABRICIO"/>
    <s v="REPOSICION TERMINAL PORTUARIO DE CHAITEN"/>
    <m/>
    <n v="2400000000"/>
    <n v="977479734"/>
    <n v="1071732659"/>
    <n v="0"/>
    <m/>
    <m/>
    <m/>
    <m/>
    <m/>
    <m/>
    <m/>
    <m/>
    <m/>
    <m/>
    <m/>
    <n v="0"/>
    <n v="1071732659"/>
    <n v="350787607"/>
    <s v="RS"/>
    <s v="En Ejecución "/>
  </r>
  <r>
    <m/>
    <x v="1"/>
    <n v="1"/>
    <s v="ESTUDIOS"/>
    <s v="A"/>
    <m/>
    <m/>
    <x v="6"/>
    <x v="4"/>
    <x v="34"/>
    <n v="34"/>
    <x v="1"/>
    <s v="EJECUCION"/>
    <n v="30447539"/>
    <s v="PAULINA"/>
    <s v="DIAGNOSTICO DIVERSOS SECTORES EN ISLAS DESERTORES (C33)"/>
    <m/>
    <n v="140366668"/>
    <n v="140366668"/>
    <n v="0"/>
    <n v="0"/>
    <m/>
    <m/>
    <m/>
    <m/>
    <m/>
    <m/>
    <m/>
    <m/>
    <m/>
    <m/>
    <m/>
    <n v="0"/>
    <n v="0"/>
    <n v="0"/>
    <s v="RS*"/>
    <s v="Terminado"/>
  </r>
  <r>
    <m/>
    <x v="3"/>
    <m/>
    <s v="SUBT 29"/>
    <s v="A"/>
    <s v="URBANO"/>
    <s v="SALUD"/>
    <x v="9"/>
    <x v="4"/>
    <x v="34"/>
    <n v="34"/>
    <x v="1"/>
    <s v="EJECUCION"/>
    <n v="30428989"/>
    <s v="FABRICIO"/>
    <s v="ADQUISICION EQUIPOS Y EQUIPAMIENTO PARA HOSPITALES PROVINCIA DE PALENA (C33)"/>
    <m/>
    <n v="505927000"/>
    <n v="457608866"/>
    <n v="48318134"/>
    <n v="0"/>
    <m/>
    <m/>
    <m/>
    <m/>
    <m/>
    <m/>
    <m/>
    <m/>
    <m/>
    <m/>
    <m/>
    <n v="0"/>
    <n v="48318134"/>
    <n v="0"/>
    <s v="RS*"/>
    <s v="En Ejecución-LICITACION"/>
  </r>
  <r>
    <m/>
    <x v="0"/>
    <m/>
    <m/>
    <m/>
    <m/>
    <m/>
    <x v="0"/>
    <x v="0"/>
    <x v="0"/>
    <m/>
    <x v="0"/>
    <m/>
    <m/>
    <m/>
    <s v="TOTAL DE INICIATIVAS EN EJECUCION / LIQUIDACION "/>
    <m/>
    <n v="17824802668"/>
    <n v="6563100738"/>
    <n v="3727001934"/>
    <n v="0"/>
    <n v="0"/>
    <n v="0"/>
    <n v="0"/>
    <n v="0"/>
    <n v="0"/>
    <n v="0"/>
    <n v="0"/>
    <n v="0"/>
    <n v="0"/>
    <n v="0"/>
    <n v="0"/>
    <n v="0"/>
    <n v="3727001934"/>
    <n v="753469999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s v="S-PV"/>
    <x v="1"/>
    <m/>
    <s v="PROYECTOS"/>
    <s v="L"/>
    <s v="URBANO"/>
    <s v="SALUD"/>
    <x v="9"/>
    <x v="4"/>
    <x v="34"/>
    <n v="34"/>
    <x v="7"/>
    <s v="EJECUCION"/>
    <n v="30060589"/>
    <s v="FABRICIO"/>
    <s v="MEJORAMIENTO HOSPITAL DE  CHAITEN."/>
    <s v="* CERT CORE 11 AUMENTA PPTO"/>
    <n v="16300314000"/>
    <n v="0"/>
    <n v="1000000000"/>
    <n v="0"/>
    <m/>
    <m/>
    <m/>
    <m/>
    <m/>
    <m/>
    <m/>
    <m/>
    <m/>
    <m/>
    <m/>
    <n v="0"/>
    <n v="1000000000"/>
    <n v="15300314000"/>
    <s v="RS(RE)"/>
    <m/>
  </r>
  <r>
    <m/>
    <x v="0"/>
    <m/>
    <m/>
    <m/>
    <m/>
    <m/>
    <x v="0"/>
    <x v="0"/>
    <x v="0"/>
    <m/>
    <x v="0"/>
    <m/>
    <m/>
    <m/>
    <s v="TOTAL DE INICIATIVAS  LICITACION / ADJUDICACION"/>
    <m/>
    <n v="16300314000"/>
    <n v="0"/>
    <n v="1000000000"/>
    <n v="0"/>
    <n v="0"/>
    <n v="0"/>
    <n v="0"/>
    <n v="0"/>
    <n v="0"/>
    <n v="0"/>
    <n v="0"/>
    <n v="0"/>
    <n v="0"/>
    <n v="0"/>
    <n v="0"/>
    <n v="0"/>
    <n v="1000000000"/>
    <n v="15300314000"/>
    <m/>
    <s v="Licitación Desierta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s v="PV"/>
    <x v="1"/>
    <m/>
    <s v="PROYECTOS"/>
    <s v="N"/>
    <s v="RURAL"/>
    <s v="CONECTIVIDAD"/>
    <x v="1"/>
    <x v="4"/>
    <x v="34"/>
    <n v="34"/>
    <x v="7"/>
    <s v="EJECUCION"/>
    <n v="30384677"/>
    <s v="FABRICIO"/>
    <s v="MEJORAMIENTO RUTA 235-CH SECTOR V. S. LUCIA-P. RAMIREZ, PROV. PALENA"/>
    <m/>
    <n v="25923943000"/>
    <n v="10017216"/>
    <n v="863358000"/>
    <n v="96539007"/>
    <m/>
    <m/>
    <m/>
    <m/>
    <m/>
    <m/>
    <m/>
    <m/>
    <m/>
    <m/>
    <m/>
    <n v="96539007"/>
    <n v="766818993"/>
    <n v="25050567784"/>
    <s v="RS"/>
    <s v="Convenio en Confección"/>
  </r>
  <r>
    <m/>
    <x v="1"/>
    <m/>
    <s v="PROYECTOS"/>
    <s v="N"/>
    <s v="RURAL"/>
    <s v="CONECTIVIDAD"/>
    <x v="1"/>
    <x v="4"/>
    <x v="34"/>
    <n v="34"/>
    <x v="1"/>
    <s v="EJECUCION"/>
    <n v="30468388"/>
    <s v="FABRICIO"/>
    <s v="AMPLIACION AREA DE MOVIMIENTO PEQUEÑO AERODROMO ALTO PALENA"/>
    <m/>
    <n v="425541000"/>
    <n v="0"/>
    <n v="21277050"/>
    <n v="0"/>
    <m/>
    <m/>
    <m/>
    <m/>
    <m/>
    <m/>
    <m/>
    <m/>
    <m/>
    <m/>
    <m/>
    <n v="0"/>
    <n v="21277050"/>
    <n v="404263950"/>
    <s v="RS"/>
    <s v="Convenio en Tramite"/>
  </r>
  <r>
    <m/>
    <x v="3"/>
    <m/>
    <s v="SUBT 29"/>
    <s v="N"/>
    <m/>
    <m/>
    <x v="2"/>
    <x v="4"/>
    <x v="34"/>
    <n v="34"/>
    <x v="1"/>
    <s v="EJECUCION"/>
    <n v="30480167"/>
    <m/>
    <s v="ADQUISICION LANCHA POLICIAL TENENCIA HORNOPIREN, COMUNA HUALAIHUE(C33)"/>
    <m/>
    <n v="237746000"/>
    <n v="0"/>
    <n v="237746000"/>
    <n v="0"/>
    <m/>
    <m/>
    <m/>
    <m/>
    <m/>
    <m/>
    <m/>
    <m/>
    <m/>
    <m/>
    <m/>
    <n v="0"/>
    <n v="237746000"/>
    <n v="0"/>
    <s v="RS*"/>
    <s v="Convenio en Tramite"/>
  </r>
  <r>
    <m/>
    <x v="1"/>
    <m/>
    <s v="PROYECTOS"/>
    <s v="N"/>
    <s v="URBANO"/>
    <s v="CONECTIVIDAD"/>
    <x v="1"/>
    <x v="4"/>
    <x v="34"/>
    <n v="34"/>
    <x v="1"/>
    <s v="EJECUCION"/>
    <n v="30458729"/>
    <s v="FABRICIO"/>
    <s v="MEJORAMIENTO AREA DE MOVIMIENTO PEQUEÑO AERODROMO AYACARA"/>
    <m/>
    <n v="742950000"/>
    <n v="0"/>
    <n v="37147500"/>
    <n v="0"/>
    <m/>
    <m/>
    <m/>
    <m/>
    <m/>
    <m/>
    <m/>
    <m/>
    <m/>
    <m/>
    <m/>
    <n v="0"/>
    <n v="37147500"/>
    <n v="705802500"/>
    <s v="RS"/>
    <m/>
  </r>
  <r>
    <m/>
    <x v="3"/>
    <m/>
    <s v="SUBT 29"/>
    <s v="N"/>
    <m/>
    <m/>
    <x v="6"/>
    <x v="4"/>
    <x v="34"/>
    <n v="34"/>
    <x v="1"/>
    <s v="EJECUCION"/>
    <n v="30398377"/>
    <m/>
    <s v="ADQUISICION EQUIPOS GPS BIENES NACIONALES PALENA (C33)"/>
    <m/>
    <n v="33689000"/>
    <n v="0"/>
    <n v="33689000"/>
    <n v="0"/>
    <m/>
    <m/>
    <m/>
    <m/>
    <m/>
    <m/>
    <m/>
    <m/>
    <m/>
    <m/>
    <m/>
    <n v="0"/>
    <n v="33689000"/>
    <n v="0"/>
    <s v="RS*"/>
    <m/>
  </r>
  <r>
    <m/>
    <x v="0"/>
    <m/>
    <m/>
    <m/>
    <m/>
    <m/>
    <x v="0"/>
    <x v="0"/>
    <x v="0"/>
    <m/>
    <x v="0"/>
    <m/>
    <m/>
    <m/>
    <s v="TOTAL DE INICIATIVAS NUEVAS"/>
    <m/>
    <n v="27363869000"/>
    <n v="10017216"/>
    <n v="1193217550"/>
    <n v="96539007"/>
    <n v="0"/>
    <n v="0"/>
    <n v="0"/>
    <n v="0"/>
    <n v="0"/>
    <n v="0"/>
    <n v="0"/>
    <n v="0"/>
    <n v="0"/>
    <n v="0"/>
    <n v="0"/>
    <n v="96539007"/>
    <n v="1096678543"/>
    <n v="26160634234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 PROVINCIALES"/>
    <m/>
    <n v="61488985668"/>
    <n v="6573117954"/>
    <n v="5920219484"/>
    <n v="96539007"/>
    <n v="0"/>
    <n v="0"/>
    <n v="0"/>
    <n v="0"/>
    <n v="0"/>
    <n v="0"/>
    <n v="0"/>
    <n v="0"/>
    <n v="0"/>
    <n v="0"/>
    <n v="0"/>
    <n v="96539007"/>
    <n v="5823680477"/>
    <n v="4899564823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PROVINCIA DE PALENA"/>
    <m/>
    <n v="79693814046"/>
    <n v="16907081718"/>
    <n v="10387359332"/>
    <n v="398234113"/>
    <n v="0"/>
    <n v="0"/>
    <n v="0"/>
    <n v="0"/>
    <n v="0"/>
    <n v="0"/>
    <n v="0"/>
    <n v="0"/>
    <n v="0"/>
    <n v="0"/>
    <n v="0"/>
    <n v="398234113"/>
    <n v="9989125219"/>
    <n v="5239937299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REGIONALES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EN EJECUCION / LIQUIDACION "/>
    <m/>
    <m/>
    <m/>
    <m/>
    <m/>
    <m/>
    <m/>
    <m/>
    <m/>
    <m/>
    <m/>
    <m/>
    <m/>
    <m/>
    <m/>
    <m/>
    <m/>
    <m/>
    <m/>
    <m/>
    <m/>
  </r>
  <r>
    <m/>
    <x v="1"/>
    <m/>
    <s v="PROYECTOS"/>
    <s v="A"/>
    <s v="URBANO"/>
    <s v="SOCIAL"/>
    <x v="9"/>
    <x v="5"/>
    <x v="35"/>
    <n v="35"/>
    <x v="1"/>
    <s v="EJECUCION"/>
    <n v="30364305"/>
    <s v="PAULINA"/>
    <s v="AMPLIACION Y MEJORAMIENTO INSTITUTO TELETON"/>
    <m/>
    <n v="3185189000"/>
    <n v="3008590769"/>
    <n v="125391979"/>
    <n v="13358810"/>
    <m/>
    <m/>
    <m/>
    <m/>
    <m/>
    <m/>
    <m/>
    <m/>
    <m/>
    <m/>
    <m/>
    <n v="13358810"/>
    <n v="112033169"/>
    <n v="51206252"/>
    <s v="RS"/>
    <s v="En Ejecución "/>
  </r>
  <r>
    <m/>
    <x v="3"/>
    <m/>
    <s v="SUBT 29"/>
    <s v="A"/>
    <s v="URBANO"/>
    <s v="SOCIAL"/>
    <x v="9"/>
    <x v="5"/>
    <x v="35"/>
    <n v="35"/>
    <x v="1"/>
    <s v="EJECUCION"/>
    <n v="30488894"/>
    <s v="KARIN"/>
    <s v="ADQUISICION EQUIPOS Y EQUIPAMIENTO PARA HABILITACION PABELLON CMA (C33)"/>
    <m/>
    <n v="1055427000"/>
    <n v="368055889"/>
    <n v="100000000"/>
    <n v="0"/>
    <m/>
    <m/>
    <m/>
    <m/>
    <m/>
    <m/>
    <m/>
    <m/>
    <m/>
    <m/>
    <m/>
    <n v="0"/>
    <n v="100000000"/>
    <n v="587371111"/>
    <s v="RS*"/>
    <s v="En Ejecución "/>
  </r>
  <r>
    <m/>
    <x v="5"/>
    <m/>
    <s v="SUBSIDIO PRIVADO"/>
    <s v="A"/>
    <s v="RURAL"/>
    <s v="SOCIAL"/>
    <x v="10"/>
    <x v="5"/>
    <x v="35"/>
    <n v="35"/>
    <x v="8"/>
    <s v="EJECUCION"/>
    <s v="SUTBT 24"/>
    <s v="RENE"/>
    <s v="SUBSIDIO OPERACION SISTEMA DE AUTOGENERACION DE ENERGIA EN ZONAS AISLADAS"/>
    <m/>
    <n v="3405537000"/>
    <n v="0"/>
    <n v="2510040000"/>
    <n v="0"/>
    <m/>
    <m/>
    <m/>
    <m/>
    <m/>
    <m/>
    <m/>
    <m/>
    <m/>
    <m/>
    <m/>
    <m/>
    <n v="2510040000"/>
    <n v="895497000"/>
    <s v="RS***"/>
    <s v="En Ejecución "/>
  </r>
  <r>
    <m/>
    <x v="1"/>
    <m/>
    <s v="PROYECTOS"/>
    <s v="A"/>
    <s v="URBANO"/>
    <s v="SOCIAL"/>
    <x v="6"/>
    <x v="5"/>
    <x v="35"/>
    <n v="35"/>
    <x v="1"/>
    <s v="EJECUCION"/>
    <n v="30460140"/>
    <s v="PAULINA"/>
    <s v="CONSERVACION FACHADAS Y CIRCULACIONES CENTRO ADMINISTRATIVO REGIONAL (C33)"/>
    <s v="* CERT CORE 19 INCORPORA PPTO 2021"/>
    <n v="3712267936"/>
    <n v="3549833203"/>
    <n v="162434733"/>
    <n v="0"/>
    <m/>
    <m/>
    <m/>
    <m/>
    <m/>
    <m/>
    <m/>
    <m/>
    <m/>
    <m/>
    <m/>
    <n v="0"/>
    <n v="162434733"/>
    <n v="0"/>
    <s v="RS*"/>
    <s v="En Ejecución "/>
  </r>
  <r>
    <m/>
    <x v="5"/>
    <m/>
    <s v="6% PRIVADO"/>
    <s v="A"/>
    <s v="RURAL"/>
    <s v="SOCIAL"/>
    <x v="6"/>
    <x v="5"/>
    <x v="35"/>
    <n v="35"/>
    <x v="1"/>
    <s v="EJECUCION"/>
    <s v="SUTBT 24"/>
    <n v="0.06"/>
    <s v="APLICACION NUMERAL 2.1 GLOSA COMUN PARA GOBIERNOS REGIONALES-PRIVADO"/>
    <m/>
    <n v="2496540000"/>
    <n v="0"/>
    <n v="2496540000"/>
    <n v="0"/>
    <m/>
    <m/>
    <m/>
    <m/>
    <m/>
    <m/>
    <m/>
    <m/>
    <m/>
    <m/>
    <m/>
    <m/>
    <n v="2496540000"/>
    <n v="0"/>
    <s v="RS***"/>
    <s v="En Ejecución "/>
  </r>
  <r>
    <m/>
    <x v="5"/>
    <m/>
    <s v="SUBSIDIO PUBLICO"/>
    <s v="A"/>
    <s v="RURAL"/>
    <s v="SOCIAL"/>
    <x v="10"/>
    <x v="5"/>
    <x v="35"/>
    <n v="35"/>
    <x v="8"/>
    <s v="EJECUCION"/>
    <s v="SUTBT 24"/>
    <s v="RENE"/>
    <s v="MUNICIPALIDADES-SUBSIDIO OPERACION SISTEMA DE AUTOGENERACION DE ENERGIA EN ZONAS AISLADAS"/>
    <m/>
    <n v="661135000"/>
    <n v="0"/>
    <n v="661135000"/>
    <n v="0"/>
    <m/>
    <m/>
    <m/>
    <m/>
    <m/>
    <m/>
    <m/>
    <m/>
    <m/>
    <m/>
    <m/>
    <m/>
    <n v="661135000"/>
    <n v="0"/>
    <s v="RS***"/>
    <s v="En Ejecución "/>
  </r>
  <r>
    <m/>
    <x v="5"/>
    <m/>
    <s v="6% MUNICIPAL"/>
    <s v="A"/>
    <s v="RURAL"/>
    <s v="SOCIAL"/>
    <x v="6"/>
    <x v="5"/>
    <x v="35"/>
    <n v="35"/>
    <x v="1"/>
    <s v="EJECUCION"/>
    <s v="SUTBT 24"/>
    <n v="0.06"/>
    <s v="APLICACION NUMERAL 2.1 GLOSA COMUN PARA GOBIERNOS REGIONALES-PUBLICO"/>
    <m/>
    <n v="2350784000"/>
    <n v="0"/>
    <n v="2350784000"/>
    <n v="0"/>
    <m/>
    <m/>
    <m/>
    <m/>
    <m/>
    <m/>
    <m/>
    <m/>
    <m/>
    <m/>
    <m/>
    <m/>
    <n v="2350784000"/>
    <n v="0"/>
    <s v="RS***"/>
    <s v="En Ejecución "/>
  </r>
  <r>
    <m/>
    <x v="2"/>
    <m/>
    <s v="APORTE BOMBERO"/>
    <s v="A"/>
    <s v="URBANO"/>
    <s v="SOCIAL"/>
    <x v="2"/>
    <x v="5"/>
    <x v="35"/>
    <n v="35"/>
    <x v="1"/>
    <s v="EJECUCION"/>
    <n v="40016388"/>
    <s v="GLORIA"/>
    <s v="TRANSFERENCIA ADQUISICION 12 CARROS Y 9 CAMIONETAS BOMBEROS - APORTE BOMBEROS REGION DE LOS LAGOS"/>
    <m/>
    <n v="2500000000"/>
    <n v="0"/>
    <n v="2500000000"/>
    <n v="0"/>
    <m/>
    <m/>
    <m/>
    <m/>
    <m/>
    <m/>
    <m/>
    <m/>
    <m/>
    <m/>
    <m/>
    <n v="0"/>
    <n v="2500000000"/>
    <n v="0"/>
    <s v="RS**"/>
    <s v="En Ejecución"/>
  </r>
  <r>
    <m/>
    <x v="4"/>
    <m/>
    <s v="ESTUDIOS"/>
    <s v="A"/>
    <s v="RURAL"/>
    <s v="SOCIAL"/>
    <x v="6"/>
    <x v="5"/>
    <x v="35"/>
    <n v="35"/>
    <x v="1"/>
    <s v="EJECUCION"/>
    <n v="40016120"/>
    <s v="PAULINA"/>
    <s v="ACTUALIZACION ESTRATEGIA DE DESARROLLO REGION DE LOS LAGOS"/>
    <m/>
    <n v="350000000"/>
    <n v="13900000"/>
    <n v="200000000"/>
    <n v="0"/>
    <m/>
    <m/>
    <m/>
    <m/>
    <m/>
    <m/>
    <m/>
    <m/>
    <m/>
    <m/>
    <m/>
    <n v="0"/>
    <n v="200000000"/>
    <n v="136100000"/>
    <s v="RS*"/>
    <s v="En Ejecución "/>
  </r>
  <r>
    <m/>
    <x v="2"/>
    <m/>
    <s v="CHATARRIZACION"/>
    <s v="A"/>
    <s v="URBANO"/>
    <s v="CONECTIVIDAD"/>
    <x v="1"/>
    <x v="5"/>
    <x v="35"/>
    <n v="35"/>
    <x v="10"/>
    <s v="EJECUCION"/>
    <n v="30429222"/>
    <s v="ADELA"/>
    <s v="TRANSFERENCIA PROGRAMA RENOVACION FLOTA LOCOMOCION COLECTIVA"/>
    <m/>
    <n v="2606915000"/>
    <n v="0"/>
    <n v="2606915000"/>
    <n v="0"/>
    <m/>
    <m/>
    <m/>
    <m/>
    <m/>
    <m/>
    <m/>
    <m/>
    <m/>
    <m/>
    <m/>
    <n v="0"/>
    <n v="2606915000"/>
    <n v="0"/>
    <s v="RS**"/>
    <m/>
  </r>
  <r>
    <m/>
    <x v="0"/>
    <m/>
    <m/>
    <m/>
    <m/>
    <m/>
    <x v="0"/>
    <x v="0"/>
    <x v="0"/>
    <m/>
    <x v="0"/>
    <m/>
    <m/>
    <m/>
    <s v="TOTAL DE INICIATIVAS EN EJECUCION / LIQUIDACION "/>
    <m/>
    <n v="22323794936"/>
    <n v="6940379861"/>
    <n v="13713240712"/>
    <n v="13358810"/>
    <n v="0"/>
    <n v="0"/>
    <n v="0"/>
    <n v="0"/>
    <n v="0"/>
    <n v="0"/>
    <n v="0"/>
    <n v="0"/>
    <n v="0"/>
    <n v="0"/>
    <n v="0"/>
    <n v="13358810"/>
    <n v="13699881902"/>
    <n v="1670174363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 LICITACION / ADJUDICACION"/>
    <m/>
    <m/>
    <m/>
    <m/>
    <m/>
    <m/>
    <m/>
    <m/>
    <m/>
    <m/>
    <m/>
    <m/>
    <m/>
    <m/>
    <m/>
    <m/>
    <m/>
    <m/>
    <m/>
    <m/>
    <m/>
  </r>
  <r>
    <s v="ASC"/>
    <x v="1"/>
    <m/>
    <s v="PROYECTOS"/>
    <s v="L"/>
    <s v="RURAL"/>
    <s v="CONECTIVIDAD"/>
    <x v="1"/>
    <x v="5"/>
    <x v="35"/>
    <n v="35"/>
    <x v="1"/>
    <s v="EJECUCION"/>
    <n v="40022424"/>
    <s v="GLORIA"/>
    <s v="CONSERVACION DIVERSOS CAMINOS DE RIPIO, REGION DE LOS LAGOS, AÑO 2020-2021 (C33)"/>
    <m/>
    <n v="2028090000"/>
    <n v="0"/>
    <n v="537565267"/>
    <n v="0"/>
    <m/>
    <m/>
    <m/>
    <m/>
    <m/>
    <m/>
    <m/>
    <m/>
    <m/>
    <m/>
    <m/>
    <n v="0"/>
    <n v="537565267"/>
    <n v="1490524733"/>
    <s v="RS*"/>
    <s v="En Licitación"/>
  </r>
  <r>
    <m/>
    <x v="0"/>
    <m/>
    <m/>
    <m/>
    <m/>
    <m/>
    <x v="0"/>
    <x v="0"/>
    <x v="0"/>
    <m/>
    <x v="0"/>
    <m/>
    <m/>
    <m/>
    <s v="TOTAL DE INICIATIVAS  LICITACION / ADJUDICACION"/>
    <m/>
    <n v="2028090000"/>
    <n v="0"/>
    <n v="537565267"/>
    <n v="0"/>
    <n v="0"/>
    <n v="0"/>
    <n v="0"/>
    <n v="0"/>
    <n v="0"/>
    <n v="0"/>
    <n v="0"/>
    <n v="0"/>
    <n v="0"/>
    <n v="0"/>
    <n v="0"/>
    <n v="0"/>
    <n v="537565267"/>
    <n v="1490524733"/>
    <m/>
    <s v="En Licitació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INICIATIVAS NUEVAS"/>
    <m/>
    <m/>
    <m/>
    <m/>
    <m/>
    <m/>
    <m/>
    <m/>
    <m/>
    <m/>
    <m/>
    <m/>
    <m/>
    <m/>
    <m/>
    <m/>
    <m/>
    <m/>
    <m/>
    <m/>
    <m/>
  </r>
  <r>
    <m/>
    <x v="1"/>
    <m/>
    <s v="PROYECTOS"/>
    <s v="N"/>
    <s v="URBANO"/>
    <s v="CONECTIVIDAD"/>
    <x v="3"/>
    <x v="5"/>
    <x v="35"/>
    <n v="35"/>
    <x v="1"/>
    <s v="EJECUCION"/>
    <n v="30091074"/>
    <s v="PAULINA"/>
    <s v="CONSTRUCCION BIBLIOTECA REGIONAL LOS LAGOS, PUERTO MONTT"/>
    <m/>
    <n v="5484512000"/>
    <n v="0"/>
    <n v="130000000"/>
    <n v="0"/>
    <m/>
    <m/>
    <m/>
    <m/>
    <m/>
    <m/>
    <m/>
    <m/>
    <m/>
    <m/>
    <m/>
    <n v="0"/>
    <n v="130000000"/>
    <n v="5354512000"/>
    <s v="RS"/>
    <s v="Convenio en Confección"/>
  </r>
  <r>
    <s v="ASC"/>
    <x v="1"/>
    <m/>
    <s v="PROYECTOS"/>
    <s v="N"/>
    <s v="RURAL"/>
    <s v="CONECTIVIDAD"/>
    <x v="1"/>
    <x v="5"/>
    <x v="35"/>
    <n v="35"/>
    <x v="1"/>
    <s v="EJECUCION"/>
    <n v="40022435"/>
    <m/>
    <s v="CONSERVACION PER. CAM. VEC., C DE CALBUCO, HUALAIHUE Y PALENA REG. DE LOS LAGOS, 2020 - 2021(C33)"/>
    <m/>
    <n v="613500000"/>
    <n v="0"/>
    <n v="30675000"/>
    <n v="0"/>
    <m/>
    <m/>
    <m/>
    <m/>
    <m/>
    <m/>
    <m/>
    <m/>
    <m/>
    <m/>
    <m/>
    <n v="0"/>
    <n v="30675000"/>
    <n v="582825000"/>
    <s v="RS*"/>
    <s v="Convenio en Tramite"/>
  </r>
  <r>
    <m/>
    <x v="1"/>
    <m/>
    <s v="PROYECTOS"/>
    <s v="N"/>
    <m/>
    <m/>
    <x v="6"/>
    <x v="5"/>
    <x v="35"/>
    <n v="35"/>
    <x v="1"/>
    <s v="EJECUCION"/>
    <n v="30462595"/>
    <m/>
    <s v="MEJORAMIENTO AREAS EXTERIORES Y OBRAS COMPLEMENTARIAS CENTRO ADMINISTRACION REGIONAL"/>
    <m/>
    <n v="996652000"/>
    <n v="0"/>
    <n v="49832600"/>
    <n v="0"/>
    <m/>
    <m/>
    <m/>
    <m/>
    <m/>
    <m/>
    <m/>
    <m/>
    <m/>
    <m/>
    <m/>
    <n v="0"/>
    <n v="49832600"/>
    <n v="946819400"/>
    <s v="RS"/>
    <m/>
  </r>
  <r>
    <m/>
    <x v="3"/>
    <m/>
    <s v="SUBT 29"/>
    <s v="N"/>
    <m/>
    <m/>
    <x v="2"/>
    <x v="5"/>
    <x v="35"/>
    <n v="35"/>
    <x v="1"/>
    <s v="EJECUCION"/>
    <n v="40019624"/>
    <m/>
    <s v="REPOSICION MOTOS TODO TERRENO PARA LOS CUARTES OPERATIVOS TERRITORIALES DE LOS LAGOS(C33)"/>
    <m/>
    <n v="275000000"/>
    <n v="0"/>
    <n v="275000000"/>
    <n v="0"/>
    <m/>
    <m/>
    <m/>
    <m/>
    <m/>
    <m/>
    <m/>
    <m/>
    <m/>
    <m/>
    <m/>
    <n v="0"/>
    <n v="275000000"/>
    <n v="0"/>
    <s v="RS*"/>
    <m/>
  </r>
  <r>
    <m/>
    <x v="3"/>
    <m/>
    <s v="SUBT 29"/>
    <s v="N"/>
    <m/>
    <m/>
    <x v="2"/>
    <x v="5"/>
    <x v="35"/>
    <n v="35"/>
    <x v="1"/>
    <s v="EJECUCION"/>
    <n v="40009147"/>
    <m/>
    <s v="REPOSICION VEHICULOS POLICIALES UNIDADES Y DESTACAMENTO DE LA REGION DE LOS LAGOS(C33)"/>
    <m/>
    <n v="1302032000"/>
    <n v="0"/>
    <n v="302032000"/>
    <n v="0"/>
    <m/>
    <m/>
    <m/>
    <m/>
    <m/>
    <m/>
    <m/>
    <m/>
    <m/>
    <m/>
    <m/>
    <n v="0"/>
    <n v="302032000"/>
    <n v="1000000000"/>
    <s v="RS*"/>
    <m/>
  </r>
  <r>
    <m/>
    <x v="3"/>
    <m/>
    <s v="SUBT 29"/>
    <s v="N"/>
    <m/>
    <m/>
    <x v="2"/>
    <x v="5"/>
    <x v="35"/>
    <n v="35"/>
    <x v="1"/>
    <s v="EJECUCION"/>
    <n v="40019750"/>
    <s v="PAULINA"/>
    <s v="ADQUISICION EQUIPOS PARA ANALISIS EVIDENCIA INFORMATICA Y DIGITAL POLICIAL LOS LAGOS(C33)"/>
    <m/>
    <n v="539595000"/>
    <n v="0"/>
    <n v="539595000"/>
    <n v="0"/>
    <m/>
    <m/>
    <m/>
    <m/>
    <m/>
    <m/>
    <m/>
    <m/>
    <m/>
    <m/>
    <m/>
    <n v="0"/>
    <n v="539595000"/>
    <n v="0"/>
    <s v="RS*"/>
    <m/>
  </r>
  <r>
    <m/>
    <x v="3"/>
    <m/>
    <s v="SUBT 29"/>
    <s v="N"/>
    <m/>
    <m/>
    <x v="2"/>
    <x v="5"/>
    <x v="35"/>
    <n v="35"/>
    <x v="1"/>
    <s v="EJECUCION"/>
    <n v="40020318"/>
    <s v="PAULINA"/>
    <s v="REPOSICION VEHICULOS PDI, REGION DE LOS LAGOS(C33)"/>
    <m/>
    <n v="531990000"/>
    <n v="0"/>
    <n v="531990000"/>
    <n v="0"/>
    <m/>
    <m/>
    <m/>
    <m/>
    <m/>
    <m/>
    <m/>
    <m/>
    <m/>
    <m/>
    <m/>
    <n v="0"/>
    <n v="531990000"/>
    <n v="0"/>
    <s v="RS*"/>
    <m/>
  </r>
  <r>
    <m/>
    <x v="1"/>
    <n v="1"/>
    <s v="ESTUDIOS"/>
    <s v="N"/>
    <s v="URBANO"/>
    <s v="SOCIAL"/>
    <x v="6"/>
    <x v="5"/>
    <x v="35"/>
    <n v="35"/>
    <x v="9"/>
    <s v="EJECUCION"/>
    <n v="40015918"/>
    <m/>
    <s v="DIAGNOSTICO PLAN MARCO DE DESARROLLO TERRITORIAL (PMDT) TERRITORIO NORTE Y PIRDT"/>
    <m/>
    <n v="201000000"/>
    <n v="0"/>
    <n v="150000000"/>
    <n v="0"/>
    <m/>
    <m/>
    <m/>
    <m/>
    <m/>
    <m/>
    <m/>
    <m/>
    <m/>
    <m/>
    <m/>
    <n v="0"/>
    <n v="150000000"/>
    <n v="51000000"/>
    <s v="RS*"/>
    <s v="Convenio en Tramite"/>
  </r>
  <r>
    <m/>
    <x v="1"/>
    <m/>
    <s v="PROYECTOS"/>
    <s v="N"/>
    <m/>
    <m/>
    <x v="1"/>
    <x v="5"/>
    <x v="35"/>
    <n v="35"/>
    <x v="1"/>
    <s v="EJECUCION"/>
    <n v="40026778"/>
    <m/>
    <s v="CONSERVACION DE LA RED VIAL PAV., PROV. LLANQUIHUE Y OSORNO, REG. DE LOS LAGOS 2020-2021(C33)"/>
    <m/>
    <n v="3350500000"/>
    <n v="0"/>
    <n v="140000000"/>
    <n v="0"/>
    <m/>
    <m/>
    <m/>
    <m/>
    <m/>
    <m/>
    <m/>
    <m/>
    <m/>
    <m/>
    <m/>
    <n v="0"/>
    <n v="140000000"/>
    <n v="3210500000"/>
    <s v="RS*"/>
    <s v="Convenio en Tramite"/>
  </r>
  <r>
    <m/>
    <x v="1"/>
    <n v="1"/>
    <s v="PROYECTOS"/>
    <s v="N"/>
    <m/>
    <m/>
    <x v="8"/>
    <x v="5"/>
    <x v="35"/>
    <n v="35"/>
    <x v="9"/>
    <s v="EJECUCION"/>
    <n v="40027131"/>
    <s v="PAULINA"/>
    <s v="ANALISIS Y DET. DE BRECHAS A.P. Y ALC. PROV. OSORNO Y LLANQUIHUE"/>
    <m/>
    <n v="241133000"/>
    <n v="0"/>
    <n v="30000000"/>
    <n v="0"/>
    <m/>
    <m/>
    <m/>
    <m/>
    <m/>
    <m/>
    <m/>
    <m/>
    <m/>
    <m/>
    <m/>
    <n v="0"/>
    <n v="30000000"/>
    <n v="211133000"/>
    <s v="RS"/>
    <m/>
  </r>
  <r>
    <m/>
    <x v="4"/>
    <m/>
    <s v="ESTUDIOS"/>
    <s v="N"/>
    <s v="RURAL"/>
    <s v="SOCIAL"/>
    <x v="6"/>
    <x v="5"/>
    <x v="35"/>
    <n v="35"/>
    <x v="1"/>
    <s v="EJECUCION"/>
    <n v="30430874"/>
    <m/>
    <s v="ACTUALIZACION MODIFICACION Y REESTRUCTURACION DE LA PROPUESTA PROT (C33)"/>
    <m/>
    <n v="413944000"/>
    <n v="0"/>
    <n v="200000000"/>
    <n v="0"/>
    <m/>
    <m/>
    <m/>
    <m/>
    <m/>
    <m/>
    <m/>
    <m/>
    <m/>
    <m/>
    <m/>
    <n v="0"/>
    <n v="200000000"/>
    <n v="213944000"/>
    <s v="RS*"/>
    <m/>
  </r>
  <r>
    <m/>
    <x v="0"/>
    <m/>
    <m/>
    <m/>
    <m/>
    <m/>
    <x v="0"/>
    <x v="0"/>
    <x v="0"/>
    <m/>
    <x v="0"/>
    <m/>
    <m/>
    <m/>
    <s v="TOTAL DE INICIATIVAS NUEVAS"/>
    <m/>
    <n v="13949858000"/>
    <n v="0"/>
    <n v="2379124600"/>
    <n v="0"/>
    <n v="0"/>
    <n v="0"/>
    <n v="0"/>
    <n v="0"/>
    <n v="0"/>
    <n v="0"/>
    <n v="0"/>
    <n v="0"/>
    <n v="0"/>
    <n v="0"/>
    <n v="0"/>
    <n v="0"/>
    <n v="2379124600"/>
    <n v="11570733400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TOTAL REGIONAL"/>
    <m/>
    <n v="38301742936"/>
    <n v="6940379861"/>
    <n v="16629930579"/>
    <n v="13358810"/>
    <n v="0"/>
    <n v="0"/>
    <n v="0"/>
    <n v="0"/>
    <n v="0"/>
    <n v="0"/>
    <n v="0"/>
    <n v="0"/>
    <n v="0"/>
    <n v="0"/>
    <n v="0"/>
    <n v="13358810"/>
    <n v="16616571769"/>
    <n v="14731432496"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s v="PRESUPUESTO PROGRAMAS"/>
    <x v="0"/>
    <m/>
    <m/>
    <m/>
    <m/>
    <m/>
    <x v="0"/>
    <x v="0"/>
    <x v="0"/>
    <m/>
    <x v="0"/>
    <m/>
    <m/>
    <m/>
    <s v="FOMENTO"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GRAMA DE REACTIVACION ECONOMICA"/>
    <m/>
    <m/>
    <m/>
    <m/>
    <m/>
    <m/>
    <m/>
    <m/>
    <m/>
    <m/>
    <m/>
    <m/>
    <m/>
    <m/>
    <m/>
    <m/>
    <m/>
    <m/>
    <m/>
    <m/>
    <m/>
  </r>
  <r>
    <s v="R"/>
    <x v="2"/>
    <m/>
    <s v="TRANSF. SS.PP."/>
    <s v="A"/>
    <s v="URBANO"/>
    <s v="FOMENTO PRODUCTIVO"/>
    <x v="11"/>
    <x v="6"/>
    <x v="36"/>
    <n v="36"/>
    <x v="1"/>
    <s v="SERCOTEC"/>
    <n v="40025181"/>
    <s v="ADELA"/>
    <s v="RECUPERACION ECONOMICA MICROEMPRESAS LOS LAGOS (REACTIVATE)"/>
    <m/>
    <n v="2000000000"/>
    <n v="1500000000"/>
    <n v="500000000"/>
    <n v="0"/>
    <m/>
    <m/>
    <m/>
    <m/>
    <m/>
    <m/>
    <m/>
    <m/>
    <m/>
    <m/>
    <m/>
    <n v="0"/>
    <n v="500000000"/>
    <n v="0"/>
    <s v="RS**"/>
    <s v="Por Iniciar Tramite DIPRES"/>
  </r>
  <r>
    <s v="R"/>
    <x v="2"/>
    <m/>
    <s v="TRANSF. SS.PP."/>
    <s v="A"/>
    <s v="URBANO"/>
    <s v="FOMENTO PRODUCTIVO"/>
    <x v="11"/>
    <x v="6"/>
    <x v="36"/>
    <n v="36"/>
    <x v="1"/>
    <s v="FUNCHI"/>
    <n v="40025247"/>
    <s v="ADELA"/>
    <s v="RECUPERACION ECONOMICA A TRAVES DE MICROEMPRESAS FAMILIARES"/>
    <m/>
    <n v="1000000000"/>
    <n v="52765000"/>
    <n v="947235000"/>
    <n v="0"/>
    <m/>
    <m/>
    <m/>
    <m/>
    <m/>
    <m/>
    <m/>
    <m/>
    <m/>
    <m/>
    <m/>
    <n v="0"/>
    <n v="947235000"/>
    <n v="0"/>
    <s v="RS**"/>
    <s v="En Toma de Razon CGR"/>
  </r>
  <r>
    <s v="R"/>
    <x v="2"/>
    <m/>
    <s v="TRANSF. SS.PP."/>
    <s v="A"/>
    <s v="URBANO"/>
    <s v="FOMENTO PRODUCTIVO"/>
    <x v="11"/>
    <x v="6"/>
    <x v="36"/>
    <n v="36"/>
    <x v="1"/>
    <s v="FOSIS"/>
    <n v="40025197"/>
    <s v="ADELA"/>
    <s v="RECUPERACION ECONOMICA DEL SECTOR INFORMAL REGION DE LOS LAGOS"/>
    <m/>
    <n v="1750000000"/>
    <n v="999996000"/>
    <n v="750000000"/>
    <n v="0"/>
    <m/>
    <m/>
    <m/>
    <m/>
    <m/>
    <m/>
    <m/>
    <m/>
    <m/>
    <m/>
    <m/>
    <n v="0"/>
    <n v="750000000"/>
    <n v="4000"/>
    <s v="RS**"/>
    <s v="En Toma de Razon CGR"/>
  </r>
  <r>
    <s v="R"/>
    <x v="2"/>
    <m/>
    <s v="TRANSF. SS.PP."/>
    <s v="A"/>
    <s v="URBANO"/>
    <s v="FOMENTO PRODUCTIVO"/>
    <x v="11"/>
    <x v="6"/>
    <x v="36"/>
    <n v="36"/>
    <x v="1"/>
    <s v="FUNDACION ARTESANIAS DE CHILE"/>
    <n v="40025326"/>
    <s v="ADELA"/>
    <s v="RECUPERACION ECONOMICA DE LA ARTESANIA TRADICIONAL DE LA REGION DE LOS LAGOS   "/>
    <m/>
    <n v="250000000"/>
    <n v="10000000"/>
    <n v="240000000"/>
    <n v="0"/>
    <m/>
    <m/>
    <m/>
    <m/>
    <m/>
    <m/>
    <m/>
    <m/>
    <m/>
    <m/>
    <m/>
    <n v="0"/>
    <n v="240000000"/>
    <n v="0"/>
    <s v="RS**"/>
    <s v="En Toma de Razon CGR"/>
  </r>
  <r>
    <s v="ASC-R"/>
    <x v="2"/>
    <m/>
    <s v="TRANSF. SS.PP."/>
    <s v="N"/>
    <s v="URBANO"/>
    <s v="FOMENTO PRODUCTIVO"/>
    <x v="12"/>
    <x v="6"/>
    <x v="36"/>
    <n v="36"/>
    <x v="1"/>
    <s v="INDAP"/>
    <n v="40014814"/>
    <m/>
    <s v="PROGRAMA DE CAPACITACION PARA LA INNOVACION Y TECNIFICACION A NIVEL PREDIAL, PARA JOVENES Y MUJERES, USUARIOS DE INDAP DE LA REGION DE LOS LAGOS"/>
    <m/>
    <n v="800000000"/>
    <n v="0"/>
    <n v="800000000"/>
    <n v="0"/>
    <m/>
    <m/>
    <m/>
    <m/>
    <m/>
    <m/>
    <m/>
    <m/>
    <m/>
    <m/>
    <m/>
    <n v="0"/>
    <n v="800000000"/>
    <n v="0"/>
    <s v="RS**"/>
    <s v="En Toma de Razon CGR"/>
  </r>
  <r>
    <s v="ASC-R"/>
    <x v="2"/>
    <m/>
    <s v="TRANSF. SS.PP."/>
    <s v="N"/>
    <s v="URBANO"/>
    <s v="FOMENTO PRODUCTIVO"/>
    <x v="11"/>
    <x v="6"/>
    <x v="36"/>
    <n v="36"/>
    <x v="1"/>
    <s v="FOSIS"/>
    <n v="40026403"/>
    <m/>
    <s v="RECUPERACION ECONOMICA PARA AGRUPACIONES VULNERABLES REGION DE LOS LAGOS"/>
    <m/>
    <n v="500000000"/>
    <n v="0"/>
    <n v="500000000"/>
    <n v="0"/>
    <m/>
    <m/>
    <m/>
    <m/>
    <m/>
    <m/>
    <m/>
    <m/>
    <m/>
    <m/>
    <m/>
    <n v="0"/>
    <n v="500000000"/>
    <n v="0"/>
    <s v="RS**"/>
    <s v="Para Tramite DIPRES"/>
  </r>
  <r>
    <m/>
    <x v="0"/>
    <m/>
    <m/>
    <m/>
    <m/>
    <m/>
    <x v="0"/>
    <x v="0"/>
    <x v="0"/>
    <m/>
    <x v="0"/>
    <m/>
    <m/>
    <m/>
    <s v="TOTAL RECUPERACION ECONOMICA"/>
    <m/>
    <n v="6300000000"/>
    <n v="2562761000"/>
    <n v="3737235000"/>
    <n v="0"/>
    <n v="0"/>
    <n v="0"/>
    <n v="0"/>
    <n v="0"/>
    <n v="0"/>
    <n v="0"/>
    <n v="0"/>
    <n v="0"/>
    <n v="0"/>
    <n v="0"/>
    <n v="0"/>
    <n v="0"/>
    <n v="3737235000"/>
    <n v="4000"/>
    <m/>
    <s v="Para Tramite DIPRES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GRAMA DE ACUERDO SOCIAL"/>
    <m/>
    <m/>
    <m/>
    <m/>
    <m/>
    <m/>
    <m/>
    <m/>
    <m/>
    <m/>
    <m/>
    <m/>
    <m/>
    <m/>
    <m/>
    <m/>
    <m/>
    <m/>
    <m/>
    <m/>
    <m/>
  </r>
  <r>
    <s v="AS"/>
    <x v="2"/>
    <m/>
    <s v="TRANSF. SS.PP."/>
    <s v="A"/>
    <s v="URBANO"/>
    <s v="FOMENTO PRODUCTIVO"/>
    <x v="11"/>
    <x v="6"/>
    <x v="36"/>
    <n v="36"/>
    <x v="1"/>
    <s v="SERCOTEC"/>
    <n v="40019477"/>
    <s v="ADELA"/>
    <s v="TRANSFERENCIA APOYO LEVANTEMOS PYMES"/>
    <m/>
    <n v="1000000000"/>
    <n v="880000000"/>
    <n v="120000000"/>
    <n v="0"/>
    <m/>
    <m/>
    <m/>
    <m/>
    <m/>
    <m/>
    <m/>
    <m/>
    <m/>
    <m/>
    <m/>
    <n v="0"/>
    <n v="120000000"/>
    <n v="0"/>
    <s v="RS**"/>
    <m/>
  </r>
  <r>
    <s v="AS"/>
    <x v="2"/>
    <m/>
    <s v="TRANSF. SS.PP."/>
    <s v="A"/>
    <s v="RURAL"/>
    <s v="FOMENTO PRODUCTIVO"/>
    <x v="13"/>
    <x v="6"/>
    <x v="36"/>
    <n v="36"/>
    <x v="1"/>
    <s v="FUNCHI"/>
    <n v="40019474"/>
    <s v="ADELA"/>
    <s v="PROGRAMA DIVERSIFICACION PRODUCTIVA MUJERES EMP. SECTOR ALGUERO"/>
    <m/>
    <n v="120000000"/>
    <n v="7000000"/>
    <n v="113000000"/>
    <n v="0"/>
    <m/>
    <m/>
    <m/>
    <m/>
    <m/>
    <m/>
    <m/>
    <m/>
    <m/>
    <m/>
    <m/>
    <n v="0"/>
    <n v="113000000"/>
    <n v="0"/>
    <s v="RS**"/>
    <s v="Para Tramite DIPRES"/>
  </r>
  <r>
    <s v="AS"/>
    <x v="2"/>
    <m/>
    <s v="TRANSF. SS.PP."/>
    <s v="A"/>
    <s v="RURAL"/>
    <s v="FOMENTO PRODUCTIVO"/>
    <x v="13"/>
    <x v="6"/>
    <x v="36"/>
    <n v="36"/>
    <x v="1"/>
    <s v="FUNCHI"/>
    <n v="40019475"/>
    <s v="ADELA"/>
    <s v="PROGRAMA DE TRANSFERENCIA CAPACITACION Y RECONVERSION LABORAL PARA ALGUEROS DE ANCUD"/>
    <m/>
    <n v="150000000"/>
    <n v="13000000"/>
    <n v="137000000"/>
    <n v="0"/>
    <m/>
    <m/>
    <m/>
    <m/>
    <m/>
    <m/>
    <m/>
    <m/>
    <m/>
    <m/>
    <m/>
    <n v="0"/>
    <n v="137000000"/>
    <n v="0"/>
    <s v="RS**"/>
    <s v="En Ejecución"/>
  </r>
  <r>
    <s v="AS"/>
    <x v="2"/>
    <m/>
    <s v="TRANSF. SS.PP."/>
    <s v="A"/>
    <s v="RURAL"/>
    <s v="FOMENTO PRODUCTIVO"/>
    <x v="13"/>
    <x v="6"/>
    <x v="36"/>
    <n v="36"/>
    <x v="1"/>
    <s v="FUNCHI"/>
    <n v="40019379"/>
    <s v="ADELA"/>
    <s v="PROGRAMA DE APOYO A PESCADORES ARTESANALES DEMERSALES"/>
    <m/>
    <n v="300000000"/>
    <n v="200000000"/>
    <n v="100000000"/>
    <n v="0"/>
    <m/>
    <m/>
    <m/>
    <m/>
    <m/>
    <m/>
    <m/>
    <m/>
    <m/>
    <m/>
    <m/>
    <n v="0"/>
    <n v="100000000"/>
    <n v="0"/>
    <s v="RS**"/>
    <s v="Por Iniciar Tramite DIPRES"/>
  </r>
  <r>
    <s v="AS"/>
    <x v="2"/>
    <m/>
    <s v="TRANSF. SS.PP."/>
    <s v="A"/>
    <s v="URBANO"/>
    <s v="FOMENTO PRODUCTIVO"/>
    <x v="7"/>
    <x v="6"/>
    <x v="36"/>
    <n v="36"/>
    <x v="1"/>
    <s v="FOSIS"/>
    <n v="40019414"/>
    <m/>
    <s v="TRANSFERENCIA MEJORAMIENTO CONDICIONES DE HABITABILIDAD (S)"/>
    <m/>
    <n v="500000000"/>
    <n v="20000000"/>
    <n v="480000000"/>
    <n v="0"/>
    <m/>
    <m/>
    <m/>
    <m/>
    <m/>
    <m/>
    <m/>
    <m/>
    <m/>
    <m/>
    <m/>
    <n v="0"/>
    <n v="480000000"/>
    <n v="0"/>
    <s v="RS**"/>
    <s v="En Ejecución"/>
  </r>
  <r>
    <s v="AS"/>
    <x v="2"/>
    <m/>
    <s v="TRANSF. SS.PP."/>
    <s v="A"/>
    <s v="RURAL"/>
    <s v="FOMENTO PRODUCTIVO"/>
    <x v="11"/>
    <x v="6"/>
    <x v="36"/>
    <n v="36"/>
    <x v="1"/>
    <s v="FOSIS"/>
    <n v="40019469"/>
    <m/>
    <s v="REPOSICION PROGRAMA DE EMPRENDIMIENTO DE MUJERES JEFAS DE HOGAR"/>
    <m/>
    <n v="150000000"/>
    <n v="20000000"/>
    <n v="130000000"/>
    <n v="0"/>
    <m/>
    <m/>
    <m/>
    <m/>
    <m/>
    <m/>
    <m/>
    <m/>
    <m/>
    <m/>
    <m/>
    <n v="0"/>
    <n v="130000000"/>
    <n v="0"/>
    <s v="RS**"/>
    <s v="En Toma de Razon CGR"/>
  </r>
  <r>
    <s v="AS"/>
    <x v="2"/>
    <m/>
    <s v="TRANSF. SS.PP."/>
    <s v="N"/>
    <s v="URBANO"/>
    <s v="FOMENTO PRODUCTIVO"/>
    <x v="11"/>
    <x v="6"/>
    <x v="36"/>
    <n v="36"/>
    <x v="1"/>
    <s v="SENAMA"/>
    <n v="40024008"/>
    <m/>
    <s v="PREVEN. PROGR. MEJOR. INTEGRAL DE LA CALIDAD DE VIDA DE LAS PERSONAS MAYORES (S)"/>
    <m/>
    <n v="474000000"/>
    <n v="0"/>
    <n v="474000000"/>
    <n v="0"/>
    <m/>
    <m/>
    <m/>
    <m/>
    <m/>
    <m/>
    <m/>
    <m/>
    <m/>
    <m/>
    <m/>
    <n v="0"/>
    <n v="474000000"/>
    <n v="0"/>
    <s v="RS**"/>
    <s v="En Ejecución"/>
  </r>
  <r>
    <s v="AS"/>
    <x v="2"/>
    <m/>
    <s v="TRANSF. SS.PP."/>
    <s v="N"/>
    <s v="URBANO"/>
    <s v="FOMENTO PRODUCTIVO"/>
    <x v="9"/>
    <x v="6"/>
    <x v="36"/>
    <n v="36"/>
    <x v="1"/>
    <s v="SENAMA"/>
    <n v="40015477"/>
    <m/>
    <s v="PREVENCION PROGRAMA DE CUIDADOS DOMICILIARIOS REGION DE LOS LAGOS (S)"/>
    <m/>
    <n v="456000000"/>
    <n v="0"/>
    <n v="456000000"/>
    <n v="0"/>
    <m/>
    <m/>
    <m/>
    <m/>
    <m/>
    <m/>
    <m/>
    <m/>
    <m/>
    <m/>
    <m/>
    <n v="0"/>
    <n v="456000000"/>
    <n v="0"/>
    <s v="RS**"/>
    <s v="Por Iniciar Tramite DIPRES"/>
  </r>
  <r>
    <s v="AS"/>
    <x v="2"/>
    <m/>
    <s v="TRANSF. SS.PP."/>
    <s v="A"/>
    <s v="RURAL"/>
    <s v="FOMENTO PRODUCTIVO"/>
    <x v="11"/>
    <x v="6"/>
    <x v="36"/>
    <n v="36"/>
    <x v="1"/>
    <s v="SERNAMEG"/>
    <n v="40019440"/>
    <m/>
    <s v="CAPACITACION APOYO AL EMPREDIMIENTO DE LA MUJER: UN PASO MAS (S)"/>
    <m/>
    <n v="130000000"/>
    <n v="10000000"/>
    <n v="110000000"/>
    <n v="0"/>
    <m/>
    <m/>
    <m/>
    <m/>
    <m/>
    <m/>
    <m/>
    <m/>
    <m/>
    <m/>
    <m/>
    <n v="0"/>
    <n v="110000000"/>
    <n v="10000000"/>
    <s v="RS**"/>
    <s v="En Toma de Razon CGR"/>
  </r>
  <r>
    <s v="AS"/>
    <x v="2"/>
    <m/>
    <s v="TRANSF. SS.PP."/>
    <s v="A"/>
    <s v="URBANO"/>
    <s v="FOMENTO PRODUCTIVO"/>
    <x v="11"/>
    <x v="6"/>
    <x v="36"/>
    <n v="36"/>
    <x v="1"/>
    <s v="GENDARMERIA"/>
    <n v="40019444"/>
    <s v="ADELA"/>
    <s v="PREVENCION APOYO A LA REINSERCION SOCIAL, UN COMPROMISO EN SOCIEDAD (S)"/>
    <m/>
    <n v="200000000"/>
    <n v="3999977"/>
    <n v="185000000"/>
    <n v="0"/>
    <m/>
    <m/>
    <m/>
    <m/>
    <m/>
    <m/>
    <m/>
    <m/>
    <m/>
    <m/>
    <m/>
    <n v="0"/>
    <n v="185000000"/>
    <n v="11000023"/>
    <s v="RS**"/>
    <s v="En Toma de Razon CGR"/>
  </r>
  <r>
    <s v="AS"/>
    <x v="2"/>
    <m/>
    <s v="TRANSF. SS.PP."/>
    <s v="A"/>
    <s v="URBANO"/>
    <s v="FOMENTO PRODUCTIVO"/>
    <x v="7"/>
    <x v="6"/>
    <x v="36"/>
    <n v="36"/>
    <x v="1"/>
    <s v="SEREMI VIVIENDA"/>
    <n v="40019414"/>
    <m/>
    <s v="TRANSF. MEJOR. DE VIVIENDAS CON SUBSIDIOS ENFOCADOS A EFICIENCIA ENERGETICA"/>
    <m/>
    <n v="1300000000"/>
    <n v="20000000"/>
    <n v="775000000"/>
    <n v="0"/>
    <m/>
    <m/>
    <m/>
    <m/>
    <m/>
    <m/>
    <m/>
    <m/>
    <m/>
    <m/>
    <m/>
    <n v="0"/>
    <n v="775000000"/>
    <n v="505000000"/>
    <s v="RS**"/>
    <s v="En Toma de Razon CGR"/>
  </r>
  <r>
    <m/>
    <x v="0"/>
    <m/>
    <m/>
    <m/>
    <m/>
    <m/>
    <x v="0"/>
    <x v="0"/>
    <x v="0"/>
    <m/>
    <x v="0"/>
    <m/>
    <m/>
    <m/>
    <s v="TOTAL ACUERDO SOCIAL"/>
    <m/>
    <n v="4780000000"/>
    <n v="1173999977"/>
    <n v="3080000000"/>
    <n v="0"/>
    <n v="0"/>
    <n v="0"/>
    <n v="0"/>
    <n v="0"/>
    <n v="0"/>
    <n v="0"/>
    <n v="0"/>
    <n v="0"/>
    <n v="0"/>
    <n v="0"/>
    <n v="0"/>
    <n v="0"/>
    <n v="3080000000"/>
    <n v="526000023"/>
    <m/>
    <s v="Para Tramite DIPRES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GRAMA DE ACUERDO SOCIAL COMPLEMENTARIO"/>
    <m/>
    <m/>
    <m/>
    <m/>
    <m/>
    <m/>
    <m/>
    <m/>
    <m/>
    <m/>
    <m/>
    <m/>
    <m/>
    <m/>
    <m/>
    <m/>
    <m/>
    <m/>
    <m/>
    <m/>
    <m/>
  </r>
  <r>
    <s v="ASC"/>
    <x v="2"/>
    <m/>
    <s v="TRANSF. SS.PP."/>
    <s v="N"/>
    <s v="URBANO"/>
    <s v="FOMENTO PRODUCTIVO"/>
    <x v="11"/>
    <x v="6"/>
    <x v="36"/>
    <n v="36"/>
    <x v="1"/>
    <s v="SENADIS"/>
    <n v="40025947"/>
    <m/>
    <s v="TRANSF. FINANC. DE AYUDAS TECNICAS PARA PERSONAS CON DISCAPACIDAD DE LA X REGION (S)"/>
    <m/>
    <n v="248000000"/>
    <n v="0"/>
    <n v="248000000"/>
    <n v="0"/>
    <m/>
    <m/>
    <m/>
    <m/>
    <m/>
    <m/>
    <m/>
    <m/>
    <m/>
    <m/>
    <m/>
    <n v="0"/>
    <n v="248000000"/>
    <n v="0"/>
    <s v="RS**"/>
    <m/>
  </r>
  <r>
    <s v="ASC"/>
    <x v="2"/>
    <m/>
    <s v="TRANSF. SS.PP."/>
    <s v="A"/>
    <s v="URBANO"/>
    <s v="FOMENTO PRODUCTIVO"/>
    <x v="11"/>
    <x v="6"/>
    <x v="36"/>
    <n v="36"/>
    <x v="1"/>
    <s v="FUDEA-SERNATUR"/>
    <n v="40022229"/>
    <s v="ADELA"/>
    <s v="TRANSFERENCIA REACTIVACION ECONOMICA PYMES TURISMO REGION DE LOS LAGOS"/>
    <m/>
    <n v="1500000000"/>
    <n v="434689139"/>
    <n v="1012765000"/>
    <n v="0"/>
    <m/>
    <m/>
    <m/>
    <m/>
    <m/>
    <m/>
    <m/>
    <m/>
    <m/>
    <m/>
    <m/>
    <n v="0"/>
    <n v="1012765000"/>
    <n v="52545861"/>
    <s v="RS**"/>
    <s v="Para Tramite DIPRES"/>
  </r>
  <r>
    <m/>
    <x v="0"/>
    <m/>
    <m/>
    <m/>
    <m/>
    <m/>
    <x v="0"/>
    <x v="0"/>
    <x v="0"/>
    <m/>
    <x v="0"/>
    <m/>
    <m/>
    <m/>
    <s v="TOTAL ACUERDO SOCIAL COMPLEMENTARIO"/>
    <m/>
    <n v="1748000000"/>
    <n v="434689139"/>
    <n v="1260765000"/>
    <n v="0"/>
    <n v="0"/>
    <n v="0"/>
    <n v="0"/>
    <n v="0"/>
    <n v="0"/>
    <n v="0"/>
    <n v="0"/>
    <n v="0"/>
    <n v="0"/>
    <n v="0"/>
    <n v="0"/>
    <n v="0"/>
    <n v="1260765000"/>
    <n v="52545861"/>
    <m/>
    <s v="En Ejecución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GRAMA PATAGONIA VERDE"/>
    <m/>
    <m/>
    <m/>
    <m/>
    <m/>
    <m/>
    <m/>
    <m/>
    <m/>
    <m/>
    <m/>
    <m/>
    <m/>
    <m/>
    <m/>
    <m/>
    <m/>
    <m/>
    <m/>
    <m/>
    <m/>
  </r>
  <r>
    <s v="PV"/>
    <x v="2"/>
    <m/>
    <s v="TRANSF. SS.PP."/>
    <s v="A"/>
    <s v="RURAL"/>
    <s v="FOMENTO PRODUCTIVO"/>
    <x v="12"/>
    <x v="6"/>
    <x v="36"/>
    <n v="36"/>
    <x v="7"/>
    <s v="INDAP"/>
    <n v="30341275"/>
    <s v="ADELA"/>
    <s v="TRANSFERENCIA PROGRAMA REGULARIZACION DERECHO APROVECHAMIENTOS DE AGUA"/>
    <m/>
    <n v="203000000"/>
    <n v="184613176"/>
    <n v="15686600"/>
    <n v="0"/>
    <m/>
    <m/>
    <m/>
    <m/>
    <m/>
    <m/>
    <m/>
    <m/>
    <m/>
    <m/>
    <m/>
    <n v="0"/>
    <n v="15686600"/>
    <n v="2700224"/>
    <s v="RS**"/>
    <s v="En Ejecución "/>
  </r>
  <r>
    <s v="PV"/>
    <x v="2"/>
    <m/>
    <s v="TRANSF. SS.PP."/>
    <s v="A"/>
    <s v="RURAL"/>
    <s v="FOMENTO PRODUCTIVO"/>
    <x v="6"/>
    <x v="6"/>
    <x v="36"/>
    <n v="36"/>
    <x v="7"/>
    <s v="INDAP"/>
    <n v="30341329"/>
    <s v="ADELA"/>
    <s v="TRANSFERENCIA ASESORIA ESPECIALIZADA CONSOLIDACION TENENCIA TIERRA EN AFC"/>
    <m/>
    <n v="309000000"/>
    <n v="301181123"/>
    <n v="7818877"/>
    <n v="0"/>
    <m/>
    <m/>
    <m/>
    <m/>
    <m/>
    <m/>
    <m/>
    <m/>
    <m/>
    <m/>
    <m/>
    <n v="0"/>
    <n v="7818877"/>
    <n v="0"/>
    <s v="RS**"/>
    <s v="En Ejecución "/>
  </r>
  <r>
    <s v="PV"/>
    <x v="2"/>
    <m/>
    <s v="TRANSF. SS.PP."/>
    <s v="A"/>
    <m/>
    <m/>
    <x v="11"/>
    <x v="6"/>
    <x v="36"/>
    <n v="36"/>
    <x v="7"/>
    <s v="INDAP"/>
    <n v="30341323"/>
    <s v="ADELA"/>
    <s v="TRANSFERENCIA FORTALECIMIENTO Y COMPETITIVIDAD DE LA ARTESANIA"/>
    <m/>
    <n v="190000000"/>
    <n v="189316581"/>
    <n v="683419"/>
    <n v="0"/>
    <m/>
    <m/>
    <m/>
    <m/>
    <m/>
    <m/>
    <m/>
    <m/>
    <m/>
    <m/>
    <m/>
    <n v="0"/>
    <n v="683419"/>
    <n v="0"/>
    <s v="RS**"/>
    <s v="En Ejecución "/>
  </r>
  <r>
    <s v="PV"/>
    <x v="2"/>
    <m/>
    <s v="TRANSF. SS.PP."/>
    <s v="A"/>
    <s v="RURAL"/>
    <s v="FOMENTO PRODUCTIVO"/>
    <x v="12"/>
    <x v="6"/>
    <x v="36"/>
    <n v="36"/>
    <x v="7"/>
    <s v="SEREMI DE AGRICULTURA"/>
    <n v="30341175"/>
    <s v="ADELA"/>
    <s v="PROGRAMA MEJORAMIENTO GENETICO OVINO/BOVINO TPV"/>
    <m/>
    <n v="600000000"/>
    <n v="296299083"/>
    <n v="112181123"/>
    <n v="0"/>
    <m/>
    <m/>
    <m/>
    <m/>
    <m/>
    <m/>
    <m/>
    <m/>
    <m/>
    <m/>
    <m/>
    <n v="0"/>
    <n v="112181123"/>
    <n v="191519794"/>
    <s v="RS**"/>
    <m/>
  </r>
  <r>
    <s v="PV"/>
    <x v="2"/>
    <m/>
    <s v="TRANSF. SS.PP."/>
    <s v="A"/>
    <s v="RURAL"/>
    <s v="FOMENTO PRODUCTIVO"/>
    <x v="12"/>
    <x v="6"/>
    <x v="36"/>
    <n v="36"/>
    <x v="7"/>
    <s v="SEREMI DE AGRICULTURA"/>
    <n v="30419826"/>
    <s v="ADELA"/>
    <s v="CAPACITACION PARA EL FOMENTO AGROFORESTAL EN PALENA Y COCHAMO"/>
    <m/>
    <n v="315000000"/>
    <n v="307367807"/>
    <n v="7632193"/>
    <n v="0"/>
    <m/>
    <m/>
    <m/>
    <m/>
    <m/>
    <m/>
    <m/>
    <m/>
    <m/>
    <m/>
    <m/>
    <n v="0"/>
    <n v="7632193"/>
    <n v="0"/>
    <s v="RS**"/>
    <s v="En Ejecución "/>
  </r>
  <r>
    <s v="PV"/>
    <x v="2"/>
    <m/>
    <s v="TRANSF. SS.PP."/>
    <s v="A"/>
    <s v="RURAL"/>
    <s v="FOMENTO PRODUCTIVO"/>
    <x v="12"/>
    <x v="6"/>
    <x v="36"/>
    <n v="36"/>
    <x v="7"/>
    <s v="SEREMI DE AGRICULTURA"/>
    <n v="30341173"/>
    <s v="ADELA"/>
    <s v="TRANSFERENCIA PROGRAMA VALORACION SELLO ORIGEN DE PRODUCTOS SILVOAGROPECUARIOS"/>
    <m/>
    <n v="450000000"/>
    <n v="294207260"/>
    <n v="136367807"/>
    <n v="0"/>
    <m/>
    <m/>
    <m/>
    <m/>
    <m/>
    <m/>
    <m/>
    <m/>
    <m/>
    <m/>
    <m/>
    <n v="0"/>
    <n v="136367807"/>
    <n v="19424933"/>
    <s v="RS**"/>
    <s v="En Ejecución "/>
  </r>
  <r>
    <s v="PV"/>
    <x v="2"/>
    <m/>
    <s v="TRANSF. SS.PP."/>
    <s v="A"/>
    <s v="RURAL"/>
    <s v="FOMENTO PRODUCTIVO"/>
    <x v="12"/>
    <x v="6"/>
    <x v="36"/>
    <n v="36"/>
    <x v="7"/>
    <s v="SEREMI DE AGRICULTURA"/>
    <n v="30329922"/>
    <s v="ADELA"/>
    <s v="TRANSFERENCIA TECNOLOGICA PARA EL DESARROLLO Y POTENCIAMIENTO DE LA AFC"/>
    <m/>
    <n v="530000000"/>
    <n v="296632948"/>
    <n v="50000000"/>
    <n v="0"/>
    <m/>
    <m/>
    <m/>
    <m/>
    <m/>
    <m/>
    <m/>
    <m/>
    <m/>
    <m/>
    <m/>
    <n v="0"/>
    <n v="50000000"/>
    <n v="183367052"/>
    <s v="RS**"/>
    <s v="En Ejecución "/>
  </r>
  <r>
    <s v="PV"/>
    <x v="2"/>
    <m/>
    <s v="TRANSF. SS.PP."/>
    <s v="A"/>
    <s v="RURAL"/>
    <s v="FOMENTO PRODUCTIVO"/>
    <x v="12"/>
    <x v="6"/>
    <x v="36"/>
    <n v="36"/>
    <x v="7"/>
    <s v="SAG"/>
    <n v="30341424"/>
    <s v="ADELA"/>
    <s v="TRANSFERENCIA MONITOREO SITUACION SANITARIA EN BOVINOS Y OVINOS DEL TPV"/>
    <m/>
    <n v="169500000"/>
    <n v="126296879"/>
    <n v="43203121"/>
    <n v="0"/>
    <m/>
    <m/>
    <m/>
    <m/>
    <m/>
    <m/>
    <m/>
    <m/>
    <m/>
    <m/>
    <m/>
    <n v="0"/>
    <n v="43203121"/>
    <n v="0"/>
    <s v="RS**"/>
    <s v="En Ejecución "/>
  </r>
  <r>
    <s v="PV"/>
    <x v="2"/>
    <m/>
    <s v="TRANSF. SS.PP."/>
    <s v="A"/>
    <s v="RURAL"/>
    <s v="FOMENTO PRODUCTIVO"/>
    <x v="12"/>
    <x v="6"/>
    <x v="36"/>
    <n v="36"/>
    <x v="7"/>
    <s v="SAG"/>
    <n v="30341439"/>
    <s v="ADELA"/>
    <s v="TRANSFERENCIA PROGRAMA RECUPERACION SUELO DEGRADADOS EN TPV"/>
    <m/>
    <n v="210000000"/>
    <n v="30782899"/>
    <n v="96389657"/>
    <n v="0"/>
    <m/>
    <m/>
    <m/>
    <m/>
    <m/>
    <m/>
    <m/>
    <m/>
    <m/>
    <m/>
    <m/>
    <n v="0"/>
    <n v="96389657"/>
    <n v="82827444"/>
    <s v="RS**"/>
    <s v="En Ejecución "/>
  </r>
  <r>
    <s v="PV"/>
    <x v="2"/>
    <m/>
    <s v="TRANSF. SS.PP."/>
    <s v="A"/>
    <s v="RURAL"/>
    <s v="FOMENTO PRODUCTIVO"/>
    <x v="11"/>
    <x v="6"/>
    <x v="36"/>
    <n v="36"/>
    <x v="7"/>
    <s v="SERNATUR"/>
    <n v="30337226"/>
    <s v="ADELA"/>
    <s v="TRANSFERENCIA DESARROLLO DEL T.I.E. EN TERRITORIO PATAGONIA VERDE "/>
    <m/>
    <n v="1275000000"/>
    <n v="1249784880"/>
    <n v="24000000"/>
    <n v="0"/>
    <m/>
    <m/>
    <m/>
    <m/>
    <m/>
    <m/>
    <m/>
    <m/>
    <m/>
    <m/>
    <m/>
    <n v="0"/>
    <n v="24000000"/>
    <n v="1215120"/>
    <s v="RS**"/>
    <s v="En Ejecución "/>
  </r>
  <r>
    <s v="PV"/>
    <x v="2"/>
    <m/>
    <s v="TRANSF. SS.PP."/>
    <s v="A"/>
    <s v="RURAL"/>
    <s v="SOCIAL"/>
    <x v="6"/>
    <x v="6"/>
    <x v="36"/>
    <n v="36"/>
    <x v="7"/>
    <s v="SEREMI DE BIENES NACIONALES"/>
    <n v="30426980"/>
    <s v="ADELA"/>
    <s v="SANEAMIENTO DE LA TENENCIA IRREGULAR DE LA PROPIEDAD PATAGONIA VERDE"/>
    <m/>
    <n v="500000000"/>
    <n v="325273549"/>
    <n v="174726451"/>
    <n v="0"/>
    <m/>
    <m/>
    <m/>
    <m/>
    <m/>
    <m/>
    <m/>
    <m/>
    <m/>
    <m/>
    <m/>
    <n v="0"/>
    <n v="174726451"/>
    <n v="0"/>
    <s v="RS**"/>
    <s v="En Ejecución "/>
  </r>
  <r>
    <m/>
    <x v="0"/>
    <m/>
    <m/>
    <m/>
    <m/>
    <m/>
    <x v="0"/>
    <x v="0"/>
    <x v="0"/>
    <m/>
    <x v="0"/>
    <m/>
    <m/>
    <m/>
    <s v="TOTAL PATAGONIA VERDE"/>
    <m/>
    <n v="4751500000"/>
    <n v="3601756185"/>
    <n v="668689248"/>
    <n v="0"/>
    <n v="0"/>
    <n v="0"/>
    <n v="0"/>
    <n v="0"/>
    <n v="0"/>
    <n v="0"/>
    <n v="0"/>
    <n v="0"/>
    <n v="0"/>
    <n v="0"/>
    <n v="0"/>
    <n v="0"/>
    <n v="668689248"/>
    <n v="481054567"/>
    <m/>
    <s v="En Ejecución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GRAMAS DE ARRASTRE"/>
    <m/>
    <m/>
    <m/>
    <m/>
    <m/>
    <m/>
    <m/>
    <m/>
    <m/>
    <m/>
    <m/>
    <m/>
    <m/>
    <m/>
    <m/>
    <m/>
    <m/>
    <m/>
    <m/>
    <m/>
    <m/>
  </r>
  <r>
    <m/>
    <x v="2"/>
    <m/>
    <s v="TRANSF. SS.PP."/>
    <s v="A"/>
    <s v="RURAL"/>
    <s v="FOMENTO PRODUCTIVO"/>
    <x v="6"/>
    <x v="6"/>
    <x v="36"/>
    <n v="36"/>
    <x v="1"/>
    <s v="INDAP"/>
    <n v="30485206"/>
    <s v="ADELA"/>
    <s v="DIFUSION PARA EL FORTALECIMIENTO Y DASARROLLO DEL SITIO SIPAN Y SELLO SIPAN"/>
    <m/>
    <n v="202400000"/>
    <n v="37349999"/>
    <n v="40000000"/>
    <n v="0"/>
    <m/>
    <m/>
    <m/>
    <m/>
    <m/>
    <m/>
    <m/>
    <m/>
    <m/>
    <m/>
    <m/>
    <n v="0"/>
    <n v="40000000"/>
    <n v="125050001"/>
    <s v="RS**"/>
    <m/>
  </r>
  <r>
    <m/>
    <x v="2"/>
    <m/>
    <s v="TRANSF. SS.PP."/>
    <s v="A"/>
    <s v="RURAL"/>
    <s v="FOMENTO PRODUCTIVO"/>
    <x v="12"/>
    <x v="6"/>
    <x v="36"/>
    <n v="36"/>
    <x v="1"/>
    <s v="INDAP"/>
    <n v="40014803"/>
    <s v="ADELA"/>
    <s v="PROGRAMA DE FERTILIZACION MEJORANDO LA PRODUCTIVIDAD GANADERA EN LA PROVINCIA DE PALENA "/>
    <m/>
    <n v="764464240"/>
    <n v="219937838"/>
    <n v="100000000"/>
    <n v="0"/>
    <m/>
    <m/>
    <m/>
    <m/>
    <m/>
    <m/>
    <m/>
    <m/>
    <m/>
    <m/>
    <m/>
    <n v="0"/>
    <n v="100000000"/>
    <n v="444526402"/>
    <s v="RS**"/>
    <s v="En Ejecución "/>
  </r>
  <r>
    <m/>
    <x v="2"/>
    <m/>
    <s v="TRANSF. SS.PP."/>
    <s v="A"/>
    <s v="RURAL"/>
    <s v="FOMENTO PRODUCTIVO"/>
    <x v="12"/>
    <x v="6"/>
    <x v="36"/>
    <n v="36"/>
    <x v="1"/>
    <s v="INDAP"/>
    <n v="30433775"/>
    <s v="ADELA"/>
    <s v="MEJORAMIENTO DE SUELOS  EN TERRITORIOS INDIGENAS"/>
    <m/>
    <n v="500000000"/>
    <n v="495707192"/>
    <n v="4292808"/>
    <n v="0"/>
    <m/>
    <m/>
    <m/>
    <m/>
    <m/>
    <m/>
    <m/>
    <m/>
    <m/>
    <m/>
    <m/>
    <n v="0"/>
    <n v="4292808"/>
    <n v="0"/>
    <s v="RS**"/>
    <s v="En Ejecución "/>
  </r>
  <r>
    <m/>
    <x v="2"/>
    <m/>
    <s v="TRANSF. SS.PP."/>
    <s v="A"/>
    <s v="RURAL"/>
    <s v="FOMENTO PRODUCTIVO"/>
    <x v="12"/>
    <x v="6"/>
    <x v="36"/>
    <n v="36"/>
    <x v="1"/>
    <s v="SAG"/>
    <n v="30482027"/>
    <s v="ADELA"/>
    <s v="ERRADICACION DE LA BRUCELOSIS BOVINA"/>
    <m/>
    <n v="500000000"/>
    <n v="481749364"/>
    <n v="18250636"/>
    <n v="0"/>
    <m/>
    <m/>
    <m/>
    <m/>
    <m/>
    <m/>
    <m/>
    <m/>
    <m/>
    <m/>
    <m/>
    <n v="0"/>
    <n v="18250636"/>
    <n v="0"/>
    <s v="RS**"/>
    <s v="En Ejecución "/>
  </r>
  <r>
    <m/>
    <x v="2"/>
    <m/>
    <s v="TRANSF. SS.PP."/>
    <s v="A"/>
    <s v="RURAL"/>
    <s v="FOMENTO PRODUCTIVO"/>
    <x v="12"/>
    <x v="6"/>
    <x v="36"/>
    <n v="36"/>
    <x v="1"/>
    <s v="SAG"/>
    <n v="30482019"/>
    <s v="ADELA"/>
    <s v="ERRADICACION VISON DE LA REGION DE LOS LAGOS"/>
    <m/>
    <n v="400000000"/>
    <n v="181514893"/>
    <n v="71749364"/>
    <n v="0"/>
    <m/>
    <m/>
    <m/>
    <m/>
    <m/>
    <m/>
    <m/>
    <m/>
    <m/>
    <m/>
    <m/>
    <n v="0"/>
    <n v="71749364"/>
    <n v="146735743"/>
    <s v="RS**"/>
    <m/>
  </r>
  <r>
    <m/>
    <x v="2"/>
    <m/>
    <s v="TRANSF. SS.PP."/>
    <s v="A"/>
    <s v="RURAL"/>
    <s v="SILVOAGROPECUARIO"/>
    <x v="12"/>
    <x v="6"/>
    <x v="36"/>
    <n v="36"/>
    <x v="1"/>
    <s v="SEREMI DE AGRICULTURA"/>
    <n v="40012343"/>
    <m/>
    <s v="CAPACITACION  Y FERTILIZACION INTEGRAL DE PRADERAS DE LA REGION DE LOS LAGOS"/>
    <m/>
    <n v="2256500000"/>
    <n v="150000000"/>
    <n v="100000000"/>
    <n v="0"/>
    <m/>
    <m/>
    <m/>
    <m/>
    <m/>
    <m/>
    <m/>
    <m/>
    <m/>
    <m/>
    <m/>
    <n v="0"/>
    <n v="100000000"/>
    <n v="2006500000"/>
    <s v="RS**"/>
    <s v="En Ejecución "/>
  </r>
  <r>
    <m/>
    <x v="2"/>
    <m/>
    <s v="TRANSF. SS.PP."/>
    <s v="A"/>
    <s v="RURAL"/>
    <s v="SOCIAL"/>
    <x v="6"/>
    <x v="6"/>
    <x v="36"/>
    <n v="36"/>
    <x v="1"/>
    <s v="SEREMI DE MEDIO AMBIENTE"/>
    <n v="30136320"/>
    <s v="ADELA"/>
    <s v="PROTECCION APLICACION MODELO USO SUST. EN PAISAJE CONSERV. CHILOE"/>
    <m/>
    <n v="600000000"/>
    <n v="317817757"/>
    <n v="50000000"/>
    <n v="0"/>
    <m/>
    <m/>
    <m/>
    <m/>
    <m/>
    <m/>
    <m/>
    <m/>
    <m/>
    <m/>
    <m/>
    <n v="0"/>
    <n v="50000000"/>
    <n v="232182243"/>
    <s v="RS**"/>
    <s v="Convenio en Tramite"/>
  </r>
  <r>
    <m/>
    <x v="2"/>
    <m/>
    <s v="TRANSF. SS.PP."/>
    <s v="A"/>
    <s v="RURAL"/>
    <s v="FOMENTO PRODUCTIVO"/>
    <x v="7"/>
    <x v="6"/>
    <x v="36"/>
    <n v="36"/>
    <x v="1"/>
    <s v="SEREMI DE MEDIO AMBIENTE"/>
    <n v="40005399"/>
    <m/>
    <s v="TRANSFERENCIA CAPACITACION EN EL USO EFICIENTE DE LA CALEFACCION RESIDENCIAL EN OSORNO"/>
    <m/>
    <n v="2212769231"/>
    <n v="308004725"/>
    <n v="300000000"/>
    <n v="0"/>
    <m/>
    <m/>
    <m/>
    <m/>
    <m/>
    <m/>
    <m/>
    <m/>
    <m/>
    <m/>
    <m/>
    <n v="0"/>
    <n v="300000000"/>
    <n v="1604764506"/>
    <s v="RS**"/>
    <s v="En Ejecución "/>
  </r>
  <r>
    <m/>
    <x v="2"/>
    <m/>
    <s v="TRANSF. SS.PP."/>
    <s v="A"/>
    <s v="RURAL"/>
    <s v="FOMENTO PRODUCTIVO"/>
    <x v="12"/>
    <x v="6"/>
    <x v="36"/>
    <n v="36"/>
    <x v="1"/>
    <s v="SERCOTEC"/>
    <n v="30349427"/>
    <s v="ADELA"/>
    <s v="TRANSFERENCIA MEJORAMIENTO DE LA PRODUCTIVIDAD EN AREAS DE MANEJO II"/>
    <m/>
    <n v="540800000"/>
    <n v="518502126"/>
    <n v="22297874"/>
    <n v="0"/>
    <m/>
    <m/>
    <m/>
    <m/>
    <m/>
    <m/>
    <m/>
    <m/>
    <m/>
    <m/>
    <m/>
    <n v="0"/>
    <n v="22297874"/>
    <n v="0"/>
    <s v="RS**"/>
    <s v="Convenio en Tramite"/>
  </r>
  <r>
    <m/>
    <x v="2"/>
    <m/>
    <s v="TRANSF. SS.PP."/>
    <s v="A"/>
    <s v="RURAL"/>
    <s v="FOMENTO PRODUCTIVO"/>
    <x v="11"/>
    <x v="6"/>
    <x v="36"/>
    <n v="36"/>
    <x v="1"/>
    <s v="SERCOTEC"/>
    <n v="30440729"/>
    <s v="ADELA"/>
    <s v="PROGRAMA APOYO INTEGRAL A LAS FERIAS LIBRES"/>
    <m/>
    <n v="320000000"/>
    <n v="308425504"/>
    <n v="11574496"/>
    <n v="0"/>
    <m/>
    <m/>
    <m/>
    <m/>
    <m/>
    <m/>
    <m/>
    <m/>
    <m/>
    <m/>
    <m/>
    <n v="0"/>
    <n v="11574496"/>
    <n v="0"/>
    <s v="RS**"/>
    <s v="En Ejecución "/>
  </r>
  <r>
    <m/>
    <x v="2"/>
    <m/>
    <s v="TRANSF. SS.PP."/>
    <s v="A"/>
    <s v="RURAL"/>
    <s v="FOMENTO PRODUCTIVO"/>
    <x v="12"/>
    <x v="6"/>
    <x v="36"/>
    <n v="36"/>
    <x v="1"/>
    <s v="SERCOTEC"/>
    <n v="30351343"/>
    <s v="ADELA"/>
    <s v="CAPACITACION Y VALORIZACION DE PRODUCTOS AGROPECUARIOS"/>
    <m/>
    <n v="450000000"/>
    <n v="265000072"/>
    <n v="52632126"/>
    <n v="0"/>
    <m/>
    <m/>
    <m/>
    <m/>
    <m/>
    <m/>
    <m/>
    <m/>
    <m/>
    <m/>
    <m/>
    <n v="0"/>
    <n v="52632126"/>
    <n v="132367802"/>
    <s v="RS**"/>
    <s v="En Ejecución "/>
  </r>
  <r>
    <m/>
    <x v="2"/>
    <m/>
    <s v="TRANSF. SS.PP."/>
    <s v="A"/>
    <s v="RURAL"/>
    <s v="FOMENTO PRODUCTIVO"/>
    <x v="12"/>
    <x v="6"/>
    <x v="36"/>
    <n v="36"/>
    <x v="1"/>
    <s v="SERNAPESCA"/>
    <n v="30343724"/>
    <s v="ADELA"/>
    <s v="PROGRAMA FOMENTO Y DESARROLLO PESCA ARTESANAL REGION DE LOS LAGOS 2014-2016"/>
    <m/>
    <n v="1336907233"/>
    <n v="1336907233"/>
    <n v="0"/>
    <n v="0"/>
    <m/>
    <m/>
    <m/>
    <m/>
    <m/>
    <m/>
    <m/>
    <m/>
    <m/>
    <m/>
    <m/>
    <n v="0"/>
    <n v="0"/>
    <n v="0"/>
    <s v="RS**"/>
    <s v="En Ejecución "/>
  </r>
  <r>
    <m/>
    <x v="2"/>
    <m/>
    <s v="TRANSF. SS.PP."/>
    <s v="A"/>
    <s v="RURAL"/>
    <s v="FOMENTO PRODUCTIVO"/>
    <x v="13"/>
    <x v="6"/>
    <x v="36"/>
    <n v="36"/>
    <x v="1"/>
    <s v="SUBPESCA"/>
    <n v="30398233"/>
    <s v="ADELA"/>
    <s v="RECUPERACION DE DIVERSIDAD PROD DE LA PESCA ARTESANAL"/>
    <m/>
    <n v="900000000"/>
    <n v="630041157"/>
    <n v="50000000"/>
    <n v="0"/>
    <m/>
    <m/>
    <m/>
    <m/>
    <m/>
    <m/>
    <m/>
    <m/>
    <m/>
    <m/>
    <m/>
    <n v="0"/>
    <n v="50000000"/>
    <n v="219958843"/>
    <s v="RS**"/>
    <s v="En Ejecución "/>
  </r>
  <r>
    <m/>
    <x v="2"/>
    <m/>
    <s v="TRANSF. SS.PP."/>
    <s v="A"/>
    <s v="RURAL"/>
    <s v="FOMENTO PRODUCTIVO"/>
    <x v="11"/>
    <x v="6"/>
    <x v="36"/>
    <n v="36"/>
    <x v="1"/>
    <s v="SERNATUR"/>
    <n v="30342025"/>
    <s v="ADELA"/>
    <s v="TRANSFERENCIA GESTION DEL TERRITORIO TURISTICO, REGION DE LOS LAGOS "/>
    <m/>
    <n v="700000000"/>
    <n v="698800385"/>
    <n v="1199615"/>
    <n v="0"/>
    <m/>
    <m/>
    <m/>
    <m/>
    <m/>
    <m/>
    <m/>
    <m/>
    <m/>
    <m/>
    <m/>
    <n v="0"/>
    <n v="1199615"/>
    <n v="0"/>
    <s v="RS**"/>
    <s v="En Ejecución "/>
  </r>
  <r>
    <m/>
    <x v="2"/>
    <m/>
    <s v="TRANSF. SS.PP."/>
    <s v="A"/>
    <s v="RURAL"/>
    <s v="SOCIAL"/>
    <x v="12"/>
    <x v="6"/>
    <x v="36"/>
    <n v="36"/>
    <x v="1"/>
    <s v="COMISION NACIONAL DE RIEGO"/>
    <n v="30434988"/>
    <s v="ADELA"/>
    <s v="TRANSFERENCIA PROGRAMA INTEGRAL DE RIEGO REGION DE LOS LAGOS"/>
    <m/>
    <n v="2000000000"/>
    <n v="1184780439"/>
    <n v="72800385"/>
    <n v="0"/>
    <m/>
    <m/>
    <m/>
    <m/>
    <m/>
    <m/>
    <m/>
    <m/>
    <m/>
    <m/>
    <m/>
    <n v="0"/>
    <n v="72800385"/>
    <n v="742419176"/>
    <s v="RS**"/>
    <s v="En Ejecución "/>
  </r>
  <r>
    <m/>
    <x v="2"/>
    <m/>
    <s v="TRANSF. SS.PP."/>
    <s v="A"/>
    <s v="RURAL"/>
    <s v="FOMENTO PRODUCTIVO"/>
    <x v="11"/>
    <x v="6"/>
    <x v="36"/>
    <n v="36"/>
    <x v="1"/>
    <s v="SERNAMEG"/>
    <n v="30461825"/>
    <s v="ADELA"/>
    <s v="CAPACITACION TRABAJO EN FIBRA ANIMAL Y VEGETAL MUJERES DE CHAITEN"/>
    <m/>
    <n v="172830000"/>
    <n v="140492250"/>
    <n v="31000000"/>
    <n v="0"/>
    <m/>
    <m/>
    <m/>
    <m/>
    <m/>
    <m/>
    <m/>
    <m/>
    <m/>
    <m/>
    <m/>
    <n v="0"/>
    <n v="31000000"/>
    <n v="1337750"/>
    <s v="RS**"/>
    <s v="En Ejecución "/>
  </r>
  <r>
    <m/>
    <x v="2"/>
    <m/>
    <s v="TRANSF. SS.PP."/>
    <s v="A"/>
    <s v="RURAL"/>
    <s v="SOCIAL"/>
    <x v="6"/>
    <x v="6"/>
    <x v="36"/>
    <n v="36"/>
    <x v="1"/>
    <s v="SEREMI DE BIENES NACIONALES"/>
    <n v="40004275"/>
    <s v="ADELA"/>
    <s v="SANEAMIENTO PROGRAMA NACIONAL DE REGULARIZACION &quot;CHILE PROPIETARIO&quot;"/>
    <m/>
    <n v="1200000000"/>
    <n v="269146592"/>
    <n v="102800000"/>
    <n v="0"/>
    <m/>
    <m/>
    <m/>
    <m/>
    <m/>
    <m/>
    <m/>
    <m/>
    <m/>
    <m/>
    <m/>
    <n v="0"/>
    <n v="102800000"/>
    <n v="828053408"/>
    <s v="RS**"/>
    <s v="En Ejecución "/>
  </r>
  <r>
    <m/>
    <x v="2"/>
    <m/>
    <s v="TRANSF. SS.PP."/>
    <s v="A"/>
    <s v="RURAL"/>
    <s v="SOCIAL"/>
    <x v="13"/>
    <x v="6"/>
    <x v="36"/>
    <n v="36"/>
    <x v="1"/>
    <s v="FUNCHI"/>
    <n v="40016769"/>
    <s v="ADELA"/>
    <s v="TRANSFERENCIA  EN CULTIVO EN AM Y CCAA BENTONICA, ALGAS Y AGREGACION DE VALOR PRODUCCION P.A."/>
    <m/>
    <n v="1000000000"/>
    <n v="580625000"/>
    <n v="50000000"/>
    <n v="0"/>
    <m/>
    <m/>
    <m/>
    <m/>
    <m/>
    <m/>
    <m/>
    <m/>
    <m/>
    <m/>
    <m/>
    <n v="0"/>
    <n v="50000000"/>
    <n v="369375000"/>
    <s v="RS**"/>
    <s v="En Ejecución "/>
  </r>
  <r>
    <m/>
    <x v="2"/>
    <m/>
    <s v="TRANSF. SS.PP."/>
    <s v="A"/>
    <m/>
    <m/>
    <x v="6"/>
    <x v="6"/>
    <x v="36"/>
    <n v="36"/>
    <x v="1"/>
    <s v="FOSIS"/>
    <n v="30482658"/>
    <s v="ADELA"/>
    <s v="CAPACITACION Y FORTALECIMIENTO PARA PERSONAS MAYORES"/>
    <m/>
    <n v="230000000"/>
    <n v="228800000"/>
    <n v="1200000"/>
    <n v="0"/>
    <m/>
    <m/>
    <m/>
    <m/>
    <m/>
    <m/>
    <m/>
    <m/>
    <m/>
    <m/>
    <m/>
    <n v="0"/>
    <n v="1200000"/>
    <n v="0"/>
    <s v="RS**"/>
    <s v="En Ejecución "/>
  </r>
  <r>
    <m/>
    <x v="2"/>
    <m/>
    <s v="TRANSF. SS.PP."/>
    <s v="A"/>
    <m/>
    <m/>
    <x v="11"/>
    <x v="6"/>
    <x v="36"/>
    <n v="36"/>
    <x v="1"/>
    <s v="FOSIS"/>
    <n v="30484364"/>
    <s v="ADELA"/>
    <s v="CAPACITACION PARA EL DESARROLLO Y FORTALECIMIENTO DE LAS PERSONAS CON DISCAPACIDAD 2, REGION DE LOS LAGOS"/>
    <m/>
    <n v="230000000"/>
    <n v="226000000"/>
    <n v="4000000"/>
    <n v="0"/>
    <m/>
    <m/>
    <m/>
    <m/>
    <m/>
    <m/>
    <m/>
    <m/>
    <m/>
    <m/>
    <m/>
    <n v="0"/>
    <n v="4000000"/>
    <n v="0"/>
    <s v="RS**"/>
    <m/>
  </r>
  <r>
    <m/>
    <x v="2"/>
    <m/>
    <s v="TRANSF. SS.PP."/>
    <s v="A"/>
    <s v="RURAL"/>
    <s v="SOCIAL"/>
    <x v="13"/>
    <x v="6"/>
    <x v="36"/>
    <n v="36"/>
    <x v="1"/>
    <s v="CORFO"/>
    <n v="30485056"/>
    <m/>
    <s v="CAPACITACION TECNICA PARA IMPLEMEN PLAN &quot;DESARROLLO INDUSTRIA DE LA MITILICULTURA SUSTENTABLE"/>
    <m/>
    <n v="327800000"/>
    <n v="90000000"/>
    <n v="50000000"/>
    <n v="0"/>
    <m/>
    <m/>
    <m/>
    <m/>
    <m/>
    <m/>
    <m/>
    <m/>
    <m/>
    <m/>
    <m/>
    <n v="0"/>
    <n v="50000000"/>
    <n v="187800000"/>
    <s v="RS**"/>
    <m/>
  </r>
  <r>
    <m/>
    <x v="2"/>
    <m/>
    <s v="TRANSF. SS.PP."/>
    <s v="A"/>
    <s v="URBANO "/>
    <s v="SALUD"/>
    <x v="9"/>
    <x v="6"/>
    <x v="36"/>
    <n v="36"/>
    <x v="1"/>
    <s v="SERV. SALUD OSORNO"/>
    <n v="40015599"/>
    <s v="ADELA"/>
    <s v="CAPACITACION PARA LA PREVENCION Y DIAG. PRECOZ DEL CANCER COLORRECTAL, Provincia de osorno"/>
    <m/>
    <n v="200000000"/>
    <n v="84385968"/>
    <n v="30000000"/>
    <n v="0"/>
    <m/>
    <m/>
    <m/>
    <m/>
    <m/>
    <m/>
    <m/>
    <m/>
    <m/>
    <m/>
    <m/>
    <n v="0"/>
    <n v="30000000"/>
    <n v="85614032"/>
    <s v="RS**"/>
    <s v="En Ejecución"/>
  </r>
  <r>
    <m/>
    <x v="0"/>
    <m/>
    <m/>
    <m/>
    <m/>
    <m/>
    <x v="0"/>
    <x v="0"/>
    <x v="0"/>
    <m/>
    <x v="0"/>
    <m/>
    <m/>
    <m/>
    <s v=" PROGRAMAS DE ARRASTRE"/>
    <m/>
    <n v="17044470704"/>
    <n v="8753988494"/>
    <n v="1163797304"/>
    <n v="0"/>
    <n v="0"/>
    <n v="0"/>
    <n v="0"/>
    <n v="0"/>
    <n v="0"/>
    <n v="0"/>
    <n v="0"/>
    <n v="0"/>
    <n v="0"/>
    <n v="0"/>
    <n v="0"/>
    <n v="0"/>
    <n v="1163797304"/>
    <n v="7126684906"/>
    <m/>
    <s v="En Ejecución "/>
  </r>
  <r>
    <m/>
    <x v="0"/>
    <m/>
    <m/>
    <m/>
    <m/>
    <m/>
    <x v="0"/>
    <x v="0"/>
    <x v="0"/>
    <m/>
    <x v="0"/>
    <m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x v="0"/>
    <x v="0"/>
    <x v="0"/>
    <m/>
    <x v="0"/>
    <m/>
    <m/>
    <m/>
    <s v="PROGRAMAS NUEVOS"/>
    <m/>
    <m/>
    <m/>
    <m/>
    <m/>
    <m/>
    <m/>
    <m/>
    <m/>
    <m/>
    <m/>
    <m/>
    <m/>
    <m/>
    <m/>
    <m/>
    <m/>
    <m/>
    <m/>
    <m/>
    <m/>
  </r>
  <r>
    <m/>
    <x v="2"/>
    <m/>
    <s v="TRANSF. SS.PP."/>
    <s v="N"/>
    <s v="URBANO"/>
    <s v="FOMENTO PRODUCTIVO"/>
    <x v="11"/>
    <x v="6"/>
    <x v="36"/>
    <n v="36"/>
    <x v="1"/>
    <s v="SERCOTEC"/>
    <n v="40026513"/>
    <m/>
    <s v="PROGRAMA DE REACTIVACION Y CAPACITACION INCENDIO MERCADO MUNICIPAL DE ANCUD"/>
    <m/>
    <n v="49960000"/>
    <n v="0"/>
    <n v="49960000"/>
    <n v="0"/>
    <m/>
    <m/>
    <m/>
    <m/>
    <m/>
    <m/>
    <m/>
    <m/>
    <m/>
    <m/>
    <m/>
    <n v="0"/>
    <n v="49960000"/>
    <n v="0"/>
    <s v="RS**"/>
    <m/>
  </r>
  <r>
    <m/>
    <x v="2"/>
    <m/>
    <s v="TRANSF. SS.PP."/>
    <s v="N"/>
    <m/>
    <m/>
    <x v="12"/>
    <x v="6"/>
    <x v="36"/>
    <n v="36"/>
    <x v="1"/>
    <s v="SEREMI DE AGRICULTURA"/>
    <n v="40024244"/>
    <m/>
    <s v="TRANSFERENCIA DE PROGRAMA PARA RED AFC DE CRIANCEROS DE TERNEROS LECHEROS"/>
    <m/>
    <n v="322800000"/>
    <n v="0"/>
    <n v="20000000"/>
    <n v="0"/>
    <m/>
    <m/>
    <m/>
    <m/>
    <m/>
    <m/>
    <m/>
    <m/>
    <m/>
    <m/>
    <m/>
    <n v="0"/>
    <n v="20000000"/>
    <n v="302800000"/>
    <s v="RS**"/>
    <s v="Por Iniciar Tramite DIPRES"/>
  </r>
  <r>
    <m/>
    <x v="2"/>
    <m/>
    <s v="TRANSF. SS.PP."/>
    <s v="N"/>
    <s v="RURAL"/>
    <s v="FOMENTO PRODUCTIVO"/>
    <x v="12"/>
    <x v="6"/>
    <x v="36"/>
    <n v="36"/>
    <x v="1"/>
    <s v="SEREMI DE AGRICULTURA"/>
    <n v="40014466"/>
    <m/>
    <s v="CAPACITACION Y FOMENTO PARA FORTALECER EL RIEGO TECNIFICADO DE LA REGION DE LOS LAGOS "/>
    <m/>
    <n v="2040000000"/>
    <n v="0"/>
    <n v="45000000"/>
    <n v="0"/>
    <m/>
    <m/>
    <m/>
    <m/>
    <m/>
    <m/>
    <m/>
    <m/>
    <m/>
    <m/>
    <m/>
    <n v="0"/>
    <n v="45000000"/>
    <n v="1995000000"/>
    <s v="RS**"/>
    <m/>
  </r>
  <r>
    <m/>
    <x v="2"/>
    <m/>
    <s v="TRANSF. SS.PP."/>
    <s v="N"/>
    <m/>
    <s v="FOMENTO PRODUCTIVO"/>
    <x v="12"/>
    <x v="6"/>
    <x v="36"/>
    <n v="36"/>
    <x v="1"/>
    <s v="INDAP"/>
    <n v="30485196"/>
    <m/>
    <s v="CAPACITACION Y MEJORAMIENTO OBRAS PARA USO EFICIENTE REC. HIDRICOS NIVEL PREFIAL COMUNIDAD IND."/>
    <m/>
    <n v="359099000"/>
    <n v="0"/>
    <n v="50000000"/>
    <n v="0"/>
    <m/>
    <m/>
    <m/>
    <m/>
    <m/>
    <m/>
    <m/>
    <m/>
    <m/>
    <m/>
    <m/>
    <n v="0"/>
    <n v="50000000"/>
    <n v="309099000"/>
    <s v="RS**"/>
    <s v="En Ejecución "/>
  </r>
  <r>
    <m/>
    <x v="2"/>
    <m/>
    <s v="TRANSF. SS.PP."/>
    <s v="N"/>
    <m/>
    <s v="FOMENTO PRODUCTIVO"/>
    <x v="12"/>
    <x v="6"/>
    <x v="36"/>
    <n v="36"/>
    <x v="1"/>
    <s v="INDAP"/>
    <n v="40014809"/>
    <m/>
    <s v="CAPACITACION PROGRAMA DE RECUPERACION DE SUELOS TERRITORIOS INDIGENAS"/>
    <m/>
    <n v="1025998000"/>
    <n v="0"/>
    <n v="50000000"/>
    <n v="0"/>
    <m/>
    <m/>
    <m/>
    <m/>
    <m/>
    <m/>
    <m/>
    <m/>
    <m/>
    <m/>
    <m/>
    <n v="0"/>
    <n v="50000000"/>
    <n v="975998000"/>
    <s v="RS**"/>
    <m/>
  </r>
  <r>
    <m/>
    <x v="2"/>
    <m/>
    <s v="TRANSF. SS.PP."/>
    <s v="N"/>
    <s v="RURAL"/>
    <s v="TURISMO"/>
    <x v="11"/>
    <x v="6"/>
    <x v="36"/>
    <n v="36"/>
    <x v="1"/>
    <s v="SERNATUR"/>
    <n v="40017839"/>
    <m/>
    <s v="CAPACITACION Y POSICIONAMIENTO PATAGONIA VERDE COMO DESTINO DE TURISMO AVENTURA"/>
    <m/>
    <n v="100000000"/>
    <n v="0"/>
    <n v="50000000"/>
    <n v="0"/>
    <m/>
    <m/>
    <m/>
    <m/>
    <m/>
    <m/>
    <m/>
    <m/>
    <m/>
    <m/>
    <m/>
    <n v="0"/>
    <n v="50000000"/>
    <n v="50000000"/>
    <s v="RS**"/>
    <m/>
  </r>
  <r>
    <m/>
    <x v="2"/>
    <m/>
    <s v="TRANSF. SS.PP."/>
    <s v="N"/>
    <s v="URBANO"/>
    <s v="FOMENTO PRODUCTIVO"/>
    <x v="11"/>
    <x v="6"/>
    <x v="36"/>
    <n v="36"/>
    <x v="1"/>
    <s v="SEREMI ENERGIA"/>
    <n v="40013039"/>
    <m/>
    <s v="PROGRAMA DE CAPACITACION PARA EL FORTALECIMIENTO Y FOMENTO A LA COMERCIALIZACION DE LEÑA DE CALIDAD EN LA REGION DE LOS LAGOS"/>
    <m/>
    <n v="1300000000"/>
    <n v="0"/>
    <n v="100000000"/>
    <n v="0"/>
    <m/>
    <m/>
    <m/>
    <m/>
    <m/>
    <m/>
    <m/>
    <m/>
    <m/>
    <m/>
    <m/>
    <n v="0"/>
    <n v="100000000"/>
    <n v="1200000000"/>
    <s v="RS**"/>
    <s v="Por Iniciar Tramite DIPRES"/>
  </r>
  <r>
    <m/>
    <x v="2"/>
    <m/>
    <s v="FIC"/>
    <s v="N"/>
    <s v="RURAL"/>
    <s v="SOCIAL"/>
    <x v="6"/>
    <x v="6"/>
    <x v="36"/>
    <n v="36"/>
    <x v="11"/>
    <s v="FIC"/>
    <s v="FIC"/>
    <s v="JORGE"/>
    <s v="FONDO INNOVACION Y COMPETITIVIDAD"/>
    <m/>
    <n v="1577281000"/>
    <n v="0"/>
    <n v="1577281000"/>
    <n v="0"/>
    <m/>
    <m/>
    <m/>
    <m/>
    <m/>
    <m/>
    <m/>
    <m/>
    <m/>
    <m/>
    <m/>
    <m/>
    <n v="1577281000"/>
    <n v="0"/>
    <s v="RS**"/>
    <s v="Para Tramite DIPRES"/>
  </r>
  <r>
    <m/>
    <x v="0"/>
    <m/>
    <m/>
    <m/>
    <m/>
    <m/>
    <x v="0"/>
    <x v="0"/>
    <x v="0"/>
    <m/>
    <x v="0"/>
    <m/>
    <m/>
    <m/>
    <s v="TOTAL PROGRAMAS NUEVOS"/>
    <m/>
    <n v="6775138000"/>
    <n v="0"/>
    <n v="1942241000"/>
    <n v="0"/>
    <n v="0"/>
    <n v="0"/>
    <n v="0"/>
    <n v="0"/>
    <n v="0"/>
    <n v="0"/>
    <n v="0"/>
    <n v="0"/>
    <n v="0"/>
    <n v="0"/>
    <n v="0"/>
    <n v="0"/>
    <n v="1942241000"/>
    <n v="48328970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92:G98" firstHeaderRow="0" firstDataRow="1" firstDataCol="1"/>
  <pivotFields count="37">
    <pivotField showAll="0"/>
    <pivotField axis="axisRow" showAll="0">
      <items count="7">
        <item x="4"/>
        <item x="5"/>
        <item x="3"/>
        <item x="1"/>
        <item x="2"/>
        <item h="1"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" fld="17" baseField="1" baseItem="0" numFmtId="3"/>
    <dataField name="Suma de GASTO AÑOS ANTERIORES" fld="18" baseField="1" baseItem="0" numFmtId="3"/>
    <dataField name="Suma de COMPROMISO 2021" fld="19" baseField="1" baseItem="0" numFmtId="3"/>
    <dataField name="Suma de PAGOS AL 31/01/21" fld="20" baseField="1" baseItem="0" numFmtId="3"/>
    <dataField name="Suma de SALDO COMPROMISO" fld="33" baseField="1" baseItem="0" numFmtId="3"/>
    <dataField name="Suma de PPTO FUTURO" fld="34" baseField="1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73:G87" firstHeaderRow="0" firstDataRow="1" firstDataCol="1"/>
  <pivotFields count="37"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15">
        <item x="8"/>
        <item x="2"/>
        <item x="4"/>
        <item x="3"/>
        <item x="10"/>
        <item x="11"/>
        <item x="5"/>
        <item x="6"/>
        <item x="13"/>
        <item x="9"/>
        <item x="12"/>
        <item x="1"/>
        <item x="7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" fld="17" baseField="6" baseItem="0" numFmtId="3"/>
    <dataField name="Suma de GASTO AÑOS ANTERIORES" fld="18" baseField="6" baseItem="0" numFmtId="3"/>
    <dataField name="Suma de COMPROMISO 2021" fld="19" baseField="6" baseItem="0" numFmtId="3"/>
    <dataField name="Suma de PAGOS AL 31/01/21" fld="20" baseField="6" baseItem="0" numFmtId="3"/>
    <dataField name="Suma de SALDO COMPROMISO" fld="33" baseField="6" baseItem="0" numFmtId="3"/>
    <dataField name="Suma de PPTO FUTURO" fld="34" baseField="6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56:D68" firstHeaderRow="0" firstDataRow="1" firstDataCol="1"/>
  <pivotFields count="37"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8"/>
        <item x="10"/>
        <item x="5"/>
        <item x="11"/>
        <item x="3"/>
        <item x="2"/>
        <item x="1"/>
        <item m="1" x="12"/>
        <item x="9"/>
        <item x="7"/>
        <item x="4"/>
        <item x="6"/>
        <item h="1" x="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1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 2021" fld="19" baseField="10" baseItem="0" numFmtId="3"/>
    <dataField name="Suma de PAGOS AL 31/01/21" fld="20" baseField="10" baseItem="0" numFmtId="3"/>
    <dataField name="Suma de SALDO COMPROMISO" fld="33" baseField="10" baseItem="0" numFmtId="3"/>
  </dataFields>
  <formats count="1">
    <format dxfId="1">
      <pivotArea dataOnly="0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14:H51" firstHeaderRow="0" firstDataRow="1" firstDataCol="1"/>
  <pivotFields count="37"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axis="axisRow" showAll="0">
      <items count="38">
        <item x="19"/>
        <item x="10"/>
        <item x="20"/>
        <item x="30"/>
        <item x="21"/>
        <item x="11"/>
        <item x="22"/>
        <item x="23"/>
        <item x="36"/>
        <item x="12"/>
        <item x="13"/>
        <item x="31"/>
        <item x="32"/>
        <item x="14"/>
        <item x="15"/>
        <item x="16"/>
        <item x="1"/>
        <item x="9"/>
        <item x="17"/>
        <item x="33"/>
        <item x="29"/>
        <item x="8"/>
        <item x="34"/>
        <item x="18"/>
        <item x="2"/>
        <item x="24"/>
        <item x="3"/>
        <item x="4"/>
        <item x="25"/>
        <item x="26"/>
        <item x="27"/>
        <item x="28"/>
        <item x="35"/>
        <item x="5"/>
        <item x="6"/>
        <item x="7"/>
        <item h="1" x="0"/>
        <item t="default"/>
      </items>
    </pivotField>
    <pivotField showAll="0"/>
    <pivotField showAll="0"/>
    <pivotField showAll="0"/>
    <pivotField dataField="1" showAl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9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Cuenta de BIP" fld="13" subtotal="count" baseField="8" baseItem="0" numFmtId="3"/>
    <dataField name="Suma de COSTO" fld="17" baseField="8" baseItem="0" numFmtId="3"/>
    <dataField name="Suma de GASTO AÑOS ANTERIORES" fld="18" baseField="8" baseItem="0" numFmtId="3"/>
    <dataField name="Suma de COMPROMISO 2021" fld="19" baseField="8" baseItem="0" numFmtId="3"/>
    <dataField name="Suma de PAGOS AL 31/01/21" fld="20" baseField="8" baseItem="0" numFmtId="3"/>
    <dataField name="Suma de SALDO COMPROMISO" fld="33" baseField="8" baseItem="0" numFmtId="3"/>
    <dataField name="Suma de PPTO FUTURO" fld="34" baseField="8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10" firstHeaderRow="0" firstDataRow="1" firstDataCol="1"/>
  <pivotFields count="37">
    <pivotField showAll="0"/>
    <pivotField showAll="0"/>
    <pivotField showAll="0"/>
    <pivotField showAll="0" defaultSubtotal="0"/>
    <pivotField showAll="0"/>
    <pivotField showAll="0"/>
    <pivotField showAll="0"/>
    <pivotField showAll="0"/>
    <pivotField axis="axisRow" showAll="0">
      <items count="9">
        <item x="3"/>
        <item x="2"/>
        <item x="1"/>
        <item x="4"/>
        <item m="1" x="7"/>
        <item x="5"/>
        <item h="1" x="0"/>
        <item x="6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8"/>
  </rowFields>
  <rowItems count="7">
    <i>
      <x/>
    </i>
    <i>
      <x v="1"/>
    </i>
    <i>
      <x v="2"/>
    </i>
    <i>
      <x v="3"/>
    </i>
    <i>
      <x v="5"/>
    </i>
    <i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" fld="17" baseField="7" baseItem="0" numFmtId="3"/>
    <dataField name="Suma de GASTO AÑOS ANTERIORES" fld="18" baseField="7" baseItem="0" numFmtId="3"/>
    <dataField name="Suma de COMPROMISO 2021" fld="19" baseField="7" baseItem="0" numFmtId="3"/>
    <dataField name="Suma de PAGOS AL 31/01/21" fld="20" baseField="7" baseItem="0" numFmtId="3"/>
    <dataField name="Suma de SALDO COMPROMISO" fld="33" baseField="7" baseItem="0" numFmtId="3"/>
    <dataField name="Suma de PPTO FUTURO" fld="34" baseField="7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4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5:R11"/>
  <sheetViews>
    <sheetView view="pageBreakPreview" zoomScale="90" zoomScaleNormal="85" zoomScaleSheetLayoutView="90" workbookViewId="0">
      <selection activeCell="O23" sqref="O23"/>
    </sheetView>
  </sheetViews>
  <sheetFormatPr baseColWidth="10" defaultColWidth="11.42578125" defaultRowHeight="15"/>
  <cols>
    <col min="1" max="12" width="11.42578125" style="304"/>
    <col min="13" max="13" width="21.42578125" style="304" customWidth="1"/>
    <col min="14" max="16384" width="11.42578125" style="304"/>
  </cols>
  <sheetData>
    <row r="5" spans="15:18">
      <c r="O5" s="303"/>
    </row>
    <row r="7" spans="15:18">
      <c r="O7" s="303"/>
    </row>
    <row r="11" spans="15:18">
      <c r="Q11" s="303"/>
      <c r="R11" s="303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8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J23"/>
  <sheetViews>
    <sheetView view="pageBreakPreview" topLeftCell="B4" zoomScaleNormal="100" zoomScaleSheetLayoutView="100" workbookViewId="0">
      <selection activeCell="E7" sqref="E7"/>
    </sheetView>
  </sheetViews>
  <sheetFormatPr baseColWidth="10" defaultColWidth="11.42578125" defaultRowHeight="12.75"/>
  <cols>
    <col min="1" max="1" width="12" style="305" customWidth="1"/>
    <col min="2" max="2" width="35.28515625" style="305" customWidth="1"/>
    <col min="3" max="3" width="16.42578125" style="305" customWidth="1"/>
    <col min="4" max="4" width="8.85546875" style="305" customWidth="1"/>
    <col min="5" max="6" width="14.7109375" style="305" customWidth="1"/>
    <col min="7" max="7" width="14.28515625" style="305" customWidth="1"/>
    <col min="8" max="8" width="14.7109375" style="305" customWidth="1"/>
    <col min="9" max="9" width="16.140625" style="305" customWidth="1"/>
    <col min="10" max="10" width="14.7109375" style="344" customWidth="1"/>
    <col min="11" max="248" width="11.42578125" style="305"/>
    <col min="249" max="249" width="5.28515625" style="305" customWidth="1"/>
    <col min="250" max="250" width="2.140625" style="305" customWidth="1"/>
    <col min="251" max="251" width="0.85546875" style="305" customWidth="1"/>
    <col min="252" max="253" width="2" style="305" customWidth="1"/>
    <col min="254" max="254" width="1.140625" style="305" customWidth="1"/>
    <col min="255" max="255" width="2" style="305" customWidth="1"/>
    <col min="256" max="256" width="2.140625" style="305" customWidth="1"/>
    <col min="257" max="257" width="0.85546875" style="305" customWidth="1"/>
    <col min="258" max="258" width="2" style="305" customWidth="1"/>
    <col min="259" max="259" width="2.28515625" style="305" customWidth="1"/>
    <col min="260" max="504" width="11.42578125" style="305"/>
    <col min="505" max="505" width="5.28515625" style="305" customWidth="1"/>
    <col min="506" max="506" width="2.140625" style="305" customWidth="1"/>
    <col min="507" max="507" width="0.85546875" style="305" customWidth="1"/>
    <col min="508" max="509" width="2" style="305" customWidth="1"/>
    <col min="510" max="510" width="1.140625" style="305" customWidth="1"/>
    <col min="511" max="511" width="2" style="305" customWidth="1"/>
    <col min="512" max="512" width="2.140625" style="305" customWidth="1"/>
    <col min="513" max="513" width="0.85546875" style="305" customWidth="1"/>
    <col min="514" max="514" width="2" style="305" customWidth="1"/>
    <col min="515" max="515" width="2.28515625" style="305" customWidth="1"/>
    <col min="516" max="760" width="11.42578125" style="305"/>
    <col min="761" max="761" width="5.28515625" style="305" customWidth="1"/>
    <col min="762" max="762" width="2.140625" style="305" customWidth="1"/>
    <col min="763" max="763" width="0.85546875" style="305" customWidth="1"/>
    <col min="764" max="765" width="2" style="305" customWidth="1"/>
    <col min="766" max="766" width="1.140625" style="305" customWidth="1"/>
    <col min="767" max="767" width="2" style="305" customWidth="1"/>
    <col min="768" max="768" width="2.140625" style="305" customWidth="1"/>
    <col min="769" max="769" width="0.85546875" style="305" customWidth="1"/>
    <col min="770" max="770" width="2" style="305" customWidth="1"/>
    <col min="771" max="771" width="2.28515625" style="305" customWidth="1"/>
    <col min="772" max="1016" width="11.42578125" style="305"/>
    <col min="1017" max="1017" width="5.28515625" style="305" customWidth="1"/>
    <col min="1018" max="1018" width="2.140625" style="305" customWidth="1"/>
    <col min="1019" max="1019" width="0.85546875" style="305" customWidth="1"/>
    <col min="1020" max="1021" width="2" style="305" customWidth="1"/>
    <col min="1022" max="1022" width="1.140625" style="305" customWidth="1"/>
    <col min="1023" max="1023" width="2" style="305" customWidth="1"/>
    <col min="1024" max="1024" width="2.140625" style="305" customWidth="1"/>
    <col min="1025" max="1025" width="0.85546875" style="305" customWidth="1"/>
    <col min="1026" max="1026" width="2" style="305" customWidth="1"/>
    <col min="1027" max="1027" width="2.28515625" style="305" customWidth="1"/>
    <col min="1028" max="1272" width="11.42578125" style="305"/>
    <col min="1273" max="1273" width="5.28515625" style="305" customWidth="1"/>
    <col min="1274" max="1274" width="2.140625" style="305" customWidth="1"/>
    <col min="1275" max="1275" width="0.85546875" style="305" customWidth="1"/>
    <col min="1276" max="1277" width="2" style="305" customWidth="1"/>
    <col min="1278" max="1278" width="1.140625" style="305" customWidth="1"/>
    <col min="1279" max="1279" width="2" style="305" customWidth="1"/>
    <col min="1280" max="1280" width="2.140625" style="305" customWidth="1"/>
    <col min="1281" max="1281" width="0.85546875" style="305" customWidth="1"/>
    <col min="1282" max="1282" width="2" style="305" customWidth="1"/>
    <col min="1283" max="1283" width="2.28515625" style="305" customWidth="1"/>
    <col min="1284" max="1528" width="11.42578125" style="305"/>
    <col min="1529" max="1529" width="5.28515625" style="305" customWidth="1"/>
    <col min="1530" max="1530" width="2.140625" style="305" customWidth="1"/>
    <col min="1531" max="1531" width="0.85546875" style="305" customWidth="1"/>
    <col min="1532" max="1533" width="2" style="305" customWidth="1"/>
    <col min="1534" max="1534" width="1.140625" style="305" customWidth="1"/>
    <col min="1535" max="1535" width="2" style="305" customWidth="1"/>
    <col min="1536" max="1536" width="2.140625" style="305" customWidth="1"/>
    <col min="1537" max="1537" width="0.85546875" style="305" customWidth="1"/>
    <col min="1538" max="1538" width="2" style="305" customWidth="1"/>
    <col min="1539" max="1539" width="2.28515625" style="305" customWidth="1"/>
    <col min="1540" max="1784" width="11.42578125" style="305"/>
    <col min="1785" max="1785" width="5.28515625" style="305" customWidth="1"/>
    <col min="1786" max="1786" width="2.140625" style="305" customWidth="1"/>
    <col min="1787" max="1787" width="0.85546875" style="305" customWidth="1"/>
    <col min="1788" max="1789" width="2" style="305" customWidth="1"/>
    <col min="1790" max="1790" width="1.140625" style="305" customWidth="1"/>
    <col min="1791" max="1791" width="2" style="305" customWidth="1"/>
    <col min="1792" max="1792" width="2.140625" style="305" customWidth="1"/>
    <col min="1793" max="1793" width="0.85546875" style="305" customWidth="1"/>
    <col min="1794" max="1794" width="2" style="305" customWidth="1"/>
    <col min="1795" max="1795" width="2.28515625" style="305" customWidth="1"/>
    <col min="1796" max="2040" width="11.42578125" style="305"/>
    <col min="2041" max="2041" width="5.28515625" style="305" customWidth="1"/>
    <col min="2042" max="2042" width="2.140625" style="305" customWidth="1"/>
    <col min="2043" max="2043" width="0.85546875" style="305" customWidth="1"/>
    <col min="2044" max="2045" width="2" style="305" customWidth="1"/>
    <col min="2046" max="2046" width="1.140625" style="305" customWidth="1"/>
    <col min="2047" max="2047" width="2" style="305" customWidth="1"/>
    <col min="2048" max="2048" width="2.140625" style="305" customWidth="1"/>
    <col min="2049" max="2049" width="0.85546875" style="305" customWidth="1"/>
    <col min="2050" max="2050" width="2" style="305" customWidth="1"/>
    <col min="2051" max="2051" width="2.28515625" style="305" customWidth="1"/>
    <col min="2052" max="2296" width="11.42578125" style="305"/>
    <col min="2297" max="2297" width="5.28515625" style="305" customWidth="1"/>
    <col min="2298" max="2298" width="2.140625" style="305" customWidth="1"/>
    <col min="2299" max="2299" width="0.85546875" style="305" customWidth="1"/>
    <col min="2300" max="2301" width="2" style="305" customWidth="1"/>
    <col min="2302" max="2302" width="1.140625" style="305" customWidth="1"/>
    <col min="2303" max="2303" width="2" style="305" customWidth="1"/>
    <col min="2304" max="2304" width="2.140625" style="305" customWidth="1"/>
    <col min="2305" max="2305" width="0.85546875" style="305" customWidth="1"/>
    <col min="2306" max="2306" width="2" style="305" customWidth="1"/>
    <col min="2307" max="2307" width="2.28515625" style="305" customWidth="1"/>
    <col min="2308" max="2552" width="11.42578125" style="305"/>
    <col min="2553" max="2553" width="5.28515625" style="305" customWidth="1"/>
    <col min="2554" max="2554" width="2.140625" style="305" customWidth="1"/>
    <col min="2555" max="2555" width="0.85546875" style="305" customWidth="1"/>
    <col min="2556" max="2557" width="2" style="305" customWidth="1"/>
    <col min="2558" max="2558" width="1.140625" style="305" customWidth="1"/>
    <col min="2559" max="2559" width="2" style="305" customWidth="1"/>
    <col min="2560" max="2560" width="2.140625" style="305" customWidth="1"/>
    <col min="2561" max="2561" width="0.85546875" style="305" customWidth="1"/>
    <col min="2562" max="2562" width="2" style="305" customWidth="1"/>
    <col min="2563" max="2563" width="2.28515625" style="305" customWidth="1"/>
    <col min="2564" max="2808" width="11.42578125" style="305"/>
    <col min="2809" max="2809" width="5.28515625" style="305" customWidth="1"/>
    <col min="2810" max="2810" width="2.140625" style="305" customWidth="1"/>
    <col min="2811" max="2811" width="0.85546875" style="305" customWidth="1"/>
    <col min="2812" max="2813" width="2" style="305" customWidth="1"/>
    <col min="2814" max="2814" width="1.140625" style="305" customWidth="1"/>
    <col min="2815" max="2815" width="2" style="305" customWidth="1"/>
    <col min="2816" max="2816" width="2.140625" style="305" customWidth="1"/>
    <col min="2817" max="2817" width="0.85546875" style="305" customWidth="1"/>
    <col min="2818" max="2818" width="2" style="305" customWidth="1"/>
    <col min="2819" max="2819" width="2.28515625" style="305" customWidth="1"/>
    <col min="2820" max="3064" width="11.42578125" style="305"/>
    <col min="3065" max="3065" width="5.28515625" style="305" customWidth="1"/>
    <col min="3066" max="3066" width="2.140625" style="305" customWidth="1"/>
    <col min="3067" max="3067" width="0.85546875" style="305" customWidth="1"/>
    <col min="3068" max="3069" width="2" style="305" customWidth="1"/>
    <col min="3070" max="3070" width="1.140625" style="305" customWidth="1"/>
    <col min="3071" max="3071" width="2" style="305" customWidth="1"/>
    <col min="3072" max="3072" width="2.140625" style="305" customWidth="1"/>
    <col min="3073" max="3073" width="0.85546875" style="305" customWidth="1"/>
    <col min="3074" max="3074" width="2" style="305" customWidth="1"/>
    <col min="3075" max="3075" width="2.28515625" style="305" customWidth="1"/>
    <col min="3076" max="3320" width="11.42578125" style="305"/>
    <col min="3321" max="3321" width="5.28515625" style="305" customWidth="1"/>
    <col min="3322" max="3322" width="2.140625" style="305" customWidth="1"/>
    <col min="3323" max="3323" width="0.85546875" style="305" customWidth="1"/>
    <col min="3324" max="3325" width="2" style="305" customWidth="1"/>
    <col min="3326" max="3326" width="1.140625" style="305" customWidth="1"/>
    <col min="3327" max="3327" width="2" style="305" customWidth="1"/>
    <col min="3328" max="3328" width="2.140625" style="305" customWidth="1"/>
    <col min="3329" max="3329" width="0.85546875" style="305" customWidth="1"/>
    <col min="3330" max="3330" width="2" style="305" customWidth="1"/>
    <col min="3331" max="3331" width="2.28515625" style="305" customWidth="1"/>
    <col min="3332" max="3576" width="11.42578125" style="305"/>
    <col min="3577" max="3577" width="5.28515625" style="305" customWidth="1"/>
    <col min="3578" max="3578" width="2.140625" style="305" customWidth="1"/>
    <col min="3579" max="3579" width="0.85546875" style="305" customWidth="1"/>
    <col min="3580" max="3581" width="2" style="305" customWidth="1"/>
    <col min="3582" max="3582" width="1.140625" style="305" customWidth="1"/>
    <col min="3583" max="3583" width="2" style="305" customWidth="1"/>
    <col min="3584" max="3584" width="2.140625" style="305" customWidth="1"/>
    <col min="3585" max="3585" width="0.85546875" style="305" customWidth="1"/>
    <col min="3586" max="3586" width="2" style="305" customWidth="1"/>
    <col min="3587" max="3587" width="2.28515625" style="305" customWidth="1"/>
    <col min="3588" max="3832" width="11.42578125" style="305"/>
    <col min="3833" max="3833" width="5.28515625" style="305" customWidth="1"/>
    <col min="3834" max="3834" width="2.140625" style="305" customWidth="1"/>
    <col min="3835" max="3835" width="0.85546875" style="305" customWidth="1"/>
    <col min="3836" max="3837" width="2" style="305" customWidth="1"/>
    <col min="3838" max="3838" width="1.140625" style="305" customWidth="1"/>
    <col min="3839" max="3839" width="2" style="305" customWidth="1"/>
    <col min="3840" max="3840" width="2.140625" style="305" customWidth="1"/>
    <col min="3841" max="3841" width="0.85546875" style="305" customWidth="1"/>
    <col min="3842" max="3842" width="2" style="305" customWidth="1"/>
    <col min="3843" max="3843" width="2.28515625" style="305" customWidth="1"/>
    <col min="3844" max="4088" width="11.42578125" style="305"/>
    <col min="4089" max="4089" width="5.28515625" style="305" customWidth="1"/>
    <col min="4090" max="4090" width="2.140625" style="305" customWidth="1"/>
    <col min="4091" max="4091" width="0.85546875" style="305" customWidth="1"/>
    <col min="4092" max="4093" width="2" style="305" customWidth="1"/>
    <col min="4094" max="4094" width="1.140625" style="305" customWidth="1"/>
    <col min="4095" max="4095" width="2" style="305" customWidth="1"/>
    <col min="4096" max="4096" width="2.140625" style="305" customWidth="1"/>
    <col min="4097" max="4097" width="0.85546875" style="305" customWidth="1"/>
    <col min="4098" max="4098" width="2" style="305" customWidth="1"/>
    <col min="4099" max="4099" width="2.28515625" style="305" customWidth="1"/>
    <col min="4100" max="4344" width="11.42578125" style="305"/>
    <col min="4345" max="4345" width="5.28515625" style="305" customWidth="1"/>
    <col min="4346" max="4346" width="2.140625" style="305" customWidth="1"/>
    <col min="4347" max="4347" width="0.85546875" style="305" customWidth="1"/>
    <col min="4348" max="4349" width="2" style="305" customWidth="1"/>
    <col min="4350" max="4350" width="1.140625" style="305" customWidth="1"/>
    <col min="4351" max="4351" width="2" style="305" customWidth="1"/>
    <col min="4352" max="4352" width="2.140625" style="305" customWidth="1"/>
    <col min="4353" max="4353" width="0.85546875" style="305" customWidth="1"/>
    <col min="4354" max="4354" width="2" style="305" customWidth="1"/>
    <col min="4355" max="4355" width="2.28515625" style="305" customWidth="1"/>
    <col min="4356" max="4600" width="11.42578125" style="305"/>
    <col min="4601" max="4601" width="5.28515625" style="305" customWidth="1"/>
    <col min="4602" max="4602" width="2.140625" style="305" customWidth="1"/>
    <col min="4603" max="4603" width="0.85546875" style="305" customWidth="1"/>
    <col min="4604" max="4605" width="2" style="305" customWidth="1"/>
    <col min="4606" max="4606" width="1.140625" style="305" customWidth="1"/>
    <col min="4607" max="4607" width="2" style="305" customWidth="1"/>
    <col min="4608" max="4608" width="2.140625" style="305" customWidth="1"/>
    <col min="4609" max="4609" width="0.85546875" style="305" customWidth="1"/>
    <col min="4610" max="4610" width="2" style="305" customWidth="1"/>
    <col min="4611" max="4611" width="2.28515625" style="305" customWidth="1"/>
    <col min="4612" max="4856" width="11.42578125" style="305"/>
    <col min="4857" max="4857" width="5.28515625" style="305" customWidth="1"/>
    <col min="4858" max="4858" width="2.140625" style="305" customWidth="1"/>
    <col min="4859" max="4859" width="0.85546875" style="305" customWidth="1"/>
    <col min="4860" max="4861" width="2" style="305" customWidth="1"/>
    <col min="4862" max="4862" width="1.140625" style="305" customWidth="1"/>
    <col min="4863" max="4863" width="2" style="305" customWidth="1"/>
    <col min="4864" max="4864" width="2.140625" style="305" customWidth="1"/>
    <col min="4865" max="4865" width="0.85546875" style="305" customWidth="1"/>
    <col min="4866" max="4866" width="2" style="305" customWidth="1"/>
    <col min="4867" max="4867" width="2.28515625" style="305" customWidth="1"/>
    <col min="4868" max="5112" width="11.42578125" style="305"/>
    <col min="5113" max="5113" width="5.28515625" style="305" customWidth="1"/>
    <col min="5114" max="5114" width="2.140625" style="305" customWidth="1"/>
    <col min="5115" max="5115" width="0.85546875" style="305" customWidth="1"/>
    <col min="5116" max="5117" width="2" style="305" customWidth="1"/>
    <col min="5118" max="5118" width="1.140625" style="305" customWidth="1"/>
    <col min="5119" max="5119" width="2" style="305" customWidth="1"/>
    <col min="5120" max="5120" width="2.140625" style="305" customWidth="1"/>
    <col min="5121" max="5121" width="0.85546875" style="305" customWidth="1"/>
    <col min="5122" max="5122" width="2" style="305" customWidth="1"/>
    <col min="5123" max="5123" width="2.28515625" style="305" customWidth="1"/>
    <col min="5124" max="5368" width="11.42578125" style="305"/>
    <col min="5369" max="5369" width="5.28515625" style="305" customWidth="1"/>
    <col min="5370" max="5370" width="2.140625" style="305" customWidth="1"/>
    <col min="5371" max="5371" width="0.85546875" style="305" customWidth="1"/>
    <col min="5372" max="5373" width="2" style="305" customWidth="1"/>
    <col min="5374" max="5374" width="1.140625" style="305" customWidth="1"/>
    <col min="5375" max="5375" width="2" style="305" customWidth="1"/>
    <col min="5376" max="5376" width="2.140625" style="305" customWidth="1"/>
    <col min="5377" max="5377" width="0.85546875" style="305" customWidth="1"/>
    <col min="5378" max="5378" width="2" style="305" customWidth="1"/>
    <col min="5379" max="5379" width="2.28515625" style="305" customWidth="1"/>
    <col min="5380" max="5624" width="11.42578125" style="305"/>
    <col min="5625" max="5625" width="5.28515625" style="305" customWidth="1"/>
    <col min="5626" max="5626" width="2.140625" style="305" customWidth="1"/>
    <col min="5627" max="5627" width="0.85546875" style="305" customWidth="1"/>
    <col min="5628" max="5629" width="2" style="305" customWidth="1"/>
    <col min="5630" max="5630" width="1.140625" style="305" customWidth="1"/>
    <col min="5631" max="5631" width="2" style="305" customWidth="1"/>
    <col min="5632" max="5632" width="2.140625" style="305" customWidth="1"/>
    <col min="5633" max="5633" width="0.85546875" style="305" customWidth="1"/>
    <col min="5634" max="5634" width="2" style="305" customWidth="1"/>
    <col min="5635" max="5635" width="2.28515625" style="305" customWidth="1"/>
    <col min="5636" max="5880" width="11.42578125" style="305"/>
    <col min="5881" max="5881" width="5.28515625" style="305" customWidth="1"/>
    <col min="5882" max="5882" width="2.140625" style="305" customWidth="1"/>
    <col min="5883" max="5883" width="0.85546875" style="305" customWidth="1"/>
    <col min="5884" max="5885" width="2" style="305" customWidth="1"/>
    <col min="5886" max="5886" width="1.140625" style="305" customWidth="1"/>
    <col min="5887" max="5887" width="2" style="305" customWidth="1"/>
    <col min="5888" max="5888" width="2.140625" style="305" customWidth="1"/>
    <col min="5889" max="5889" width="0.85546875" style="305" customWidth="1"/>
    <col min="5890" max="5890" width="2" style="305" customWidth="1"/>
    <col min="5891" max="5891" width="2.28515625" style="305" customWidth="1"/>
    <col min="5892" max="6136" width="11.42578125" style="305"/>
    <col min="6137" max="6137" width="5.28515625" style="305" customWidth="1"/>
    <col min="6138" max="6138" width="2.140625" style="305" customWidth="1"/>
    <col min="6139" max="6139" width="0.85546875" style="305" customWidth="1"/>
    <col min="6140" max="6141" width="2" style="305" customWidth="1"/>
    <col min="6142" max="6142" width="1.140625" style="305" customWidth="1"/>
    <col min="6143" max="6143" width="2" style="305" customWidth="1"/>
    <col min="6144" max="6144" width="2.140625" style="305" customWidth="1"/>
    <col min="6145" max="6145" width="0.85546875" style="305" customWidth="1"/>
    <col min="6146" max="6146" width="2" style="305" customWidth="1"/>
    <col min="6147" max="6147" width="2.28515625" style="305" customWidth="1"/>
    <col min="6148" max="6392" width="11.42578125" style="305"/>
    <col min="6393" max="6393" width="5.28515625" style="305" customWidth="1"/>
    <col min="6394" max="6394" width="2.140625" style="305" customWidth="1"/>
    <col min="6395" max="6395" width="0.85546875" style="305" customWidth="1"/>
    <col min="6396" max="6397" width="2" style="305" customWidth="1"/>
    <col min="6398" max="6398" width="1.140625" style="305" customWidth="1"/>
    <col min="6399" max="6399" width="2" style="305" customWidth="1"/>
    <col min="6400" max="6400" width="2.140625" style="305" customWidth="1"/>
    <col min="6401" max="6401" width="0.85546875" style="305" customWidth="1"/>
    <col min="6402" max="6402" width="2" style="305" customWidth="1"/>
    <col min="6403" max="6403" width="2.28515625" style="305" customWidth="1"/>
    <col min="6404" max="6648" width="11.42578125" style="305"/>
    <col min="6649" max="6649" width="5.28515625" style="305" customWidth="1"/>
    <col min="6650" max="6650" width="2.140625" style="305" customWidth="1"/>
    <col min="6651" max="6651" width="0.85546875" style="305" customWidth="1"/>
    <col min="6652" max="6653" width="2" style="305" customWidth="1"/>
    <col min="6654" max="6654" width="1.140625" style="305" customWidth="1"/>
    <col min="6655" max="6655" width="2" style="305" customWidth="1"/>
    <col min="6656" max="6656" width="2.140625" style="305" customWidth="1"/>
    <col min="6657" max="6657" width="0.85546875" style="305" customWidth="1"/>
    <col min="6658" max="6658" width="2" style="305" customWidth="1"/>
    <col min="6659" max="6659" width="2.28515625" style="305" customWidth="1"/>
    <col min="6660" max="6904" width="11.42578125" style="305"/>
    <col min="6905" max="6905" width="5.28515625" style="305" customWidth="1"/>
    <col min="6906" max="6906" width="2.140625" style="305" customWidth="1"/>
    <col min="6907" max="6907" width="0.85546875" style="305" customWidth="1"/>
    <col min="6908" max="6909" width="2" style="305" customWidth="1"/>
    <col min="6910" max="6910" width="1.140625" style="305" customWidth="1"/>
    <col min="6911" max="6911" width="2" style="305" customWidth="1"/>
    <col min="6912" max="6912" width="2.140625" style="305" customWidth="1"/>
    <col min="6913" max="6913" width="0.85546875" style="305" customWidth="1"/>
    <col min="6914" max="6914" width="2" style="305" customWidth="1"/>
    <col min="6915" max="6915" width="2.28515625" style="305" customWidth="1"/>
    <col min="6916" max="7160" width="11.42578125" style="305"/>
    <col min="7161" max="7161" width="5.28515625" style="305" customWidth="1"/>
    <col min="7162" max="7162" width="2.140625" style="305" customWidth="1"/>
    <col min="7163" max="7163" width="0.85546875" style="305" customWidth="1"/>
    <col min="7164" max="7165" width="2" style="305" customWidth="1"/>
    <col min="7166" max="7166" width="1.140625" style="305" customWidth="1"/>
    <col min="7167" max="7167" width="2" style="305" customWidth="1"/>
    <col min="7168" max="7168" width="2.140625" style="305" customWidth="1"/>
    <col min="7169" max="7169" width="0.85546875" style="305" customWidth="1"/>
    <col min="7170" max="7170" width="2" style="305" customWidth="1"/>
    <col min="7171" max="7171" width="2.28515625" style="305" customWidth="1"/>
    <col min="7172" max="7416" width="11.42578125" style="305"/>
    <col min="7417" max="7417" width="5.28515625" style="305" customWidth="1"/>
    <col min="7418" max="7418" width="2.140625" style="305" customWidth="1"/>
    <col min="7419" max="7419" width="0.85546875" style="305" customWidth="1"/>
    <col min="7420" max="7421" width="2" style="305" customWidth="1"/>
    <col min="7422" max="7422" width="1.140625" style="305" customWidth="1"/>
    <col min="7423" max="7423" width="2" style="305" customWidth="1"/>
    <col min="7424" max="7424" width="2.140625" style="305" customWidth="1"/>
    <col min="7425" max="7425" width="0.85546875" style="305" customWidth="1"/>
    <col min="7426" max="7426" width="2" style="305" customWidth="1"/>
    <col min="7427" max="7427" width="2.28515625" style="305" customWidth="1"/>
    <col min="7428" max="7672" width="11.42578125" style="305"/>
    <col min="7673" max="7673" width="5.28515625" style="305" customWidth="1"/>
    <col min="7674" max="7674" width="2.140625" style="305" customWidth="1"/>
    <col min="7675" max="7675" width="0.85546875" style="305" customWidth="1"/>
    <col min="7676" max="7677" width="2" style="305" customWidth="1"/>
    <col min="7678" max="7678" width="1.140625" style="305" customWidth="1"/>
    <col min="7679" max="7679" width="2" style="305" customWidth="1"/>
    <col min="7680" max="7680" width="2.140625" style="305" customWidth="1"/>
    <col min="7681" max="7681" width="0.85546875" style="305" customWidth="1"/>
    <col min="7682" max="7682" width="2" style="305" customWidth="1"/>
    <col min="7683" max="7683" width="2.28515625" style="305" customWidth="1"/>
    <col min="7684" max="7928" width="11.42578125" style="305"/>
    <col min="7929" max="7929" width="5.28515625" style="305" customWidth="1"/>
    <col min="7930" max="7930" width="2.140625" style="305" customWidth="1"/>
    <col min="7931" max="7931" width="0.85546875" style="305" customWidth="1"/>
    <col min="7932" max="7933" width="2" style="305" customWidth="1"/>
    <col min="7934" max="7934" width="1.140625" style="305" customWidth="1"/>
    <col min="7935" max="7935" width="2" style="305" customWidth="1"/>
    <col min="7936" max="7936" width="2.140625" style="305" customWidth="1"/>
    <col min="7937" max="7937" width="0.85546875" style="305" customWidth="1"/>
    <col min="7938" max="7938" width="2" style="305" customWidth="1"/>
    <col min="7939" max="7939" width="2.28515625" style="305" customWidth="1"/>
    <col min="7940" max="8184" width="11.42578125" style="305"/>
    <col min="8185" max="8185" width="5.28515625" style="305" customWidth="1"/>
    <col min="8186" max="8186" width="2.140625" style="305" customWidth="1"/>
    <col min="8187" max="8187" width="0.85546875" style="305" customWidth="1"/>
    <col min="8188" max="8189" width="2" style="305" customWidth="1"/>
    <col min="8190" max="8190" width="1.140625" style="305" customWidth="1"/>
    <col min="8191" max="8191" width="2" style="305" customWidth="1"/>
    <col min="8192" max="8192" width="2.140625" style="305" customWidth="1"/>
    <col min="8193" max="8193" width="0.85546875" style="305" customWidth="1"/>
    <col min="8194" max="8194" width="2" style="305" customWidth="1"/>
    <col min="8195" max="8195" width="2.28515625" style="305" customWidth="1"/>
    <col min="8196" max="8440" width="11.42578125" style="305"/>
    <col min="8441" max="8441" width="5.28515625" style="305" customWidth="1"/>
    <col min="8442" max="8442" width="2.140625" style="305" customWidth="1"/>
    <col min="8443" max="8443" width="0.85546875" style="305" customWidth="1"/>
    <col min="8444" max="8445" width="2" style="305" customWidth="1"/>
    <col min="8446" max="8446" width="1.140625" style="305" customWidth="1"/>
    <col min="8447" max="8447" width="2" style="305" customWidth="1"/>
    <col min="8448" max="8448" width="2.140625" style="305" customWidth="1"/>
    <col min="8449" max="8449" width="0.85546875" style="305" customWidth="1"/>
    <col min="8450" max="8450" width="2" style="305" customWidth="1"/>
    <col min="8451" max="8451" width="2.28515625" style="305" customWidth="1"/>
    <col min="8452" max="8696" width="11.42578125" style="305"/>
    <col min="8697" max="8697" width="5.28515625" style="305" customWidth="1"/>
    <col min="8698" max="8698" width="2.140625" style="305" customWidth="1"/>
    <col min="8699" max="8699" width="0.85546875" style="305" customWidth="1"/>
    <col min="8700" max="8701" width="2" style="305" customWidth="1"/>
    <col min="8702" max="8702" width="1.140625" style="305" customWidth="1"/>
    <col min="8703" max="8703" width="2" style="305" customWidth="1"/>
    <col min="8704" max="8704" width="2.140625" style="305" customWidth="1"/>
    <col min="8705" max="8705" width="0.85546875" style="305" customWidth="1"/>
    <col min="8706" max="8706" width="2" style="305" customWidth="1"/>
    <col min="8707" max="8707" width="2.28515625" style="305" customWidth="1"/>
    <col min="8708" max="8952" width="11.42578125" style="305"/>
    <col min="8953" max="8953" width="5.28515625" style="305" customWidth="1"/>
    <col min="8954" max="8954" width="2.140625" style="305" customWidth="1"/>
    <col min="8955" max="8955" width="0.85546875" style="305" customWidth="1"/>
    <col min="8956" max="8957" width="2" style="305" customWidth="1"/>
    <col min="8958" max="8958" width="1.140625" style="305" customWidth="1"/>
    <col min="8959" max="8959" width="2" style="305" customWidth="1"/>
    <col min="8960" max="8960" width="2.140625" style="305" customWidth="1"/>
    <col min="8961" max="8961" width="0.85546875" style="305" customWidth="1"/>
    <col min="8962" max="8962" width="2" style="305" customWidth="1"/>
    <col min="8963" max="8963" width="2.28515625" style="305" customWidth="1"/>
    <col min="8964" max="9208" width="11.42578125" style="305"/>
    <col min="9209" max="9209" width="5.28515625" style="305" customWidth="1"/>
    <col min="9210" max="9210" width="2.140625" style="305" customWidth="1"/>
    <col min="9211" max="9211" width="0.85546875" style="305" customWidth="1"/>
    <col min="9212" max="9213" width="2" style="305" customWidth="1"/>
    <col min="9214" max="9214" width="1.140625" style="305" customWidth="1"/>
    <col min="9215" max="9215" width="2" style="305" customWidth="1"/>
    <col min="9216" max="9216" width="2.140625" style="305" customWidth="1"/>
    <col min="9217" max="9217" width="0.85546875" style="305" customWidth="1"/>
    <col min="9218" max="9218" width="2" style="305" customWidth="1"/>
    <col min="9219" max="9219" width="2.28515625" style="305" customWidth="1"/>
    <col min="9220" max="9464" width="11.42578125" style="305"/>
    <col min="9465" max="9465" width="5.28515625" style="305" customWidth="1"/>
    <col min="9466" max="9466" width="2.140625" style="305" customWidth="1"/>
    <col min="9467" max="9467" width="0.85546875" style="305" customWidth="1"/>
    <col min="9468" max="9469" width="2" style="305" customWidth="1"/>
    <col min="9470" max="9470" width="1.140625" style="305" customWidth="1"/>
    <col min="9471" max="9471" width="2" style="305" customWidth="1"/>
    <col min="9472" max="9472" width="2.140625" style="305" customWidth="1"/>
    <col min="9473" max="9473" width="0.85546875" style="305" customWidth="1"/>
    <col min="9474" max="9474" width="2" style="305" customWidth="1"/>
    <col min="9475" max="9475" width="2.28515625" style="305" customWidth="1"/>
    <col min="9476" max="9720" width="11.42578125" style="305"/>
    <col min="9721" max="9721" width="5.28515625" style="305" customWidth="1"/>
    <col min="9722" max="9722" width="2.140625" style="305" customWidth="1"/>
    <col min="9723" max="9723" width="0.85546875" style="305" customWidth="1"/>
    <col min="9724" max="9725" width="2" style="305" customWidth="1"/>
    <col min="9726" max="9726" width="1.140625" style="305" customWidth="1"/>
    <col min="9727" max="9727" width="2" style="305" customWidth="1"/>
    <col min="9728" max="9728" width="2.140625" style="305" customWidth="1"/>
    <col min="9729" max="9729" width="0.85546875" style="305" customWidth="1"/>
    <col min="9730" max="9730" width="2" style="305" customWidth="1"/>
    <col min="9731" max="9731" width="2.28515625" style="305" customWidth="1"/>
    <col min="9732" max="9976" width="11.42578125" style="305"/>
    <col min="9977" max="9977" width="5.28515625" style="305" customWidth="1"/>
    <col min="9978" max="9978" width="2.140625" style="305" customWidth="1"/>
    <col min="9979" max="9979" width="0.85546875" style="305" customWidth="1"/>
    <col min="9980" max="9981" width="2" style="305" customWidth="1"/>
    <col min="9982" max="9982" width="1.140625" style="305" customWidth="1"/>
    <col min="9983" max="9983" width="2" style="305" customWidth="1"/>
    <col min="9984" max="9984" width="2.140625" style="305" customWidth="1"/>
    <col min="9985" max="9985" width="0.85546875" style="305" customWidth="1"/>
    <col min="9986" max="9986" width="2" style="305" customWidth="1"/>
    <col min="9987" max="9987" width="2.28515625" style="305" customWidth="1"/>
    <col min="9988" max="10232" width="11.42578125" style="305"/>
    <col min="10233" max="10233" width="5.28515625" style="305" customWidth="1"/>
    <col min="10234" max="10234" width="2.140625" style="305" customWidth="1"/>
    <col min="10235" max="10235" width="0.85546875" style="305" customWidth="1"/>
    <col min="10236" max="10237" width="2" style="305" customWidth="1"/>
    <col min="10238" max="10238" width="1.140625" style="305" customWidth="1"/>
    <col min="10239" max="10239" width="2" style="305" customWidth="1"/>
    <col min="10240" max="10240" width="2.140625" style="305" customWidth="1"/>
    <col min="10241" max="10241" width="0.85546875" style="305" customWidth="1"/>
    <col min="10242" max="10242" width="2" style="305" customWidth="1"/>
    <col min="10243" max="10243" width="2.28515625" style="305" customWidth="1"/>
    <col min="10244" max="10488" width="11.42578125" style="305"/>
    <col min="10489" max="10489" width="5.28515625" style="305" customWidth="1"/>
    <col min="10490" max="10490" width="2.140625" style="305" customWidth="1"/>
    <col min="10491" max="10491" width="0.85546875" style="305" customWidth="1"/>
    <col min="10492" max="10493" width="2" style="305" customWidth="1"/>
    <col min="10494" max="10494" width="1.140625" style="305" customWidth="1"/>
    <col min="10495" max="10495" width="2" style="305" customWidth="1"/>
    <col min="10496" max="10496" width="2.140625" style="305" customWidth="1"/>
    <col min="10497" max="10497" width="0.85546875" style="305" customWidth="1"/>
    <col min="10498" max="10498" width="2" style="305" customWidth="1"/>
    <col min="10499" max="10499" width="2.28515625" style="305" customWidth="1"/>
    <col min="10500" max="10744" width="11.42578125" style="305"/>
    <col min="10745" max="10745" width="5.28515625" style="305" customWidth="1"/>
    <col min="10746" max="10746" width="2.140625" style="305" customWidth="1"/>
    <col min="10747" max="10747" width="0.85546875" style="305" customWidth="1"/>
    <col min="10748" max="10749" width="2" style="305" customWidth="1"/>
    <col min="10750" max="10750" width="1.140625" style="305" customWidth="1"/>
    <col min="10751" max="10751" width="2" style="305" customWidth="1"/>
    <col min="10752" max="10752" width="2.140625" style="305" customWidth="1"/>
    <col min="10753" max="10753" width="0.85546875" style="305" customWidth="1"/>
    <col min="10754" max="10754" width="2" style="305" customWidth="1"/>
    <col min="10755" max="10755" width="2.28515625" style="305" customWidth="1"/>
    <col min="10756" max="11000" width="11.42578125" style="305"/>
    <col min="11001" max="11001" width="5.28515625" style="305" customWidth="1"/>
    <col min="11002" max="11002" width="2.140625" style="305" customWidth="1"/>
    <col min="11003" max="11003" width="0.85546875" style="305" customWidth="1"/>
    <col min="11004" max="11005" width="2" style="305" customWidth="1"/>
    <col min="11006" max="11006" width="1.140625" style="305" customWidth="1"/>
    <col min="11007" max="11007" width="2" style="305" customWidth="1"/>
    <col min="11008" max="11008" width="2.140625" style="305" customWidth="1"/>
    <col min="11009" max="11009" width="0.85546875" style="305" customWidth="1"/>
    <col min="11010" max="11010" width="2" style="305" customWidth="1"/>
    <col min="11011" max="11011" width="2.28515625" style="305" customWidth="1"/>
    <col min="11012" max="11256" width="11.42578125" style="305"/>
    <col min="11257" max="11257" width="5.28515625" style="305" customWidth="1"/>
    <col min="11258" max="11258" width="2.140625" style="305" customWidth="1"/>
    <col min="11259" max="11259" width="0.85546875" style="305" customWidth="1"/>
    <col min="11260" max="11261" width="2" style="305" customWidth="1"/>
    <col min="11262" max="11262" width="1.140625" style="305" customWidth="1"/>
    <col min="11263" max="11263" width="2" style="305" customWidth="1"/>
    <col min="11264" max="11264" width="2.140625" style="305" customWidth="1"/>
    <col min="11265" max="11265" width="0.85546875" style="305" customWidth="1"/>
    <col min="11266" max="11266" width="2" style="305" customWidth="1"/>
    <col min="11267" max="11267" width="2.28515625" style="305" customWidth="1"/>
    <col min="11268" max="11512" width="11.42578125" style="305"/>
    <col min="11513" max="11513" width="5.28515625" style="305" customWidth="1"/>
    <col min="11514" max="11514" width="2.140625" style="305" customWidth="1"/>
    <col min="11515" max="11515" width="0.85546875" style="305" customWidth="1"/>
    <col min="11516" max="11517" width="2" style="305" customWidth="1"/>
    <col min="11518" max="11518" width="1.140625" style="305" customWidth="1"/>
    <col min="11519" max="11519" width="2" style="305" customWidth="1"/>
    <col min="11520" max="11520" width="2.140625" style="305" customWidth="1"/>
    <col min="11521" max="11521" width="0.85546875" style="305" customWidth="1"/>
    <col min="11522" max="11522" width="2" style="305" customWidth="1"/>
    <col min="11523" max="11523" width="2.28515625" style="305" customWidth="1"/>
    <col min="11524" max="11768" width="11.42578125" style="305"/>
    <col min="11769" max="11769" width="5.28515625" style="305" customWidth="1"/>
    <col min="11770" max="11770" width="2.140625" style="305" customWidth="1"/>
    <col min="11771" max="11771" width="0.85546875" style="305" customWidth="1"/>
    <col min="11772" max="11773" width="2" style="305" customWidth="1"/>
    <col min="11774" max="11774" width="1.140625" style="305" customWidth="1"/>
    <col min="11775" max="11775" width="2" style="305" customWidth="1"/>
    <col min="11776" max="11776" width="2.140625" style="305" customWidth="1"/>
    <col min="11777" max="11777" width="0.85546875" style="305" customWidth="1"/>
    <col min="11778" max="11778" width="2" style="305" customWidth="1"/>
    <col min="11779" max="11779" width="2.28515625" style="305" customWidth="1"/>
    <col min="11780" max="12024" width="11.42578125" style="305"/>
    <col min="12025" max="12025" width="5.28515625" style="305" customWidth="1"/>
    <col min="12026" max="12026" width="2.140625" style="305" customWidth="1"/>
    <col min="12027" max="12027" width="0.85546875" style="305" customWidth="1"/>
    <col min="12028" max="12029" width="2" style="305" customWidth="1"/>
    <col min="12030" max="12030" width="1.140625" style="305" customWidth="1"/>
    <col min="12031" max="12031" width="2" style="305" customWidth="1"/>
    <col min="12032" max="12032" width="2.140625" style="305" customWidth="1"/>
    <col min="12033" max="12033" width="0.85546875" style="305" customWidth="1"/>
    <col min="12034" max="12034" width="2" style="305" customWidth="1"/>
    <col min="12035" max="12035" width="2.28515625" style="305" customWidth="1"/>
    <col min="12036" max="12280" width="11.42578125" style="305"/>
    <col min="12281" max="12281" width="5.28515625" style="305" customWidth="1"/>
    <col min="12282" max="12282" width="2.140625" style="305" customWidth="1"/>
    <col min="12283" max="12283" width="0.85546875" style="305" customWidth="1"/>
    <col min="12284" max="12285" width="2" style="305" customWidth="1"/>
    <col min="12286" max="12286" width="1.140625" style="305" customWidth="1"/>
    <col min="12287" max="12287" width="2" style="305" customWidth="1"/>
    <col min="12288" max="12288" width="2.140625" style="305" customWidth="1"/>
    <col min="12289" max="12289" width="0.85546875" style="305" customWidth="1"/>
    <col min="12290" max="12290" width="2" style="305" customWidth="1"/>
    <col min="12291" max="12291" width="2.28515625" style="305" customWidth="1"/>
    <col min="12292" max="12536" width="11.42578125" style="305"/>
    <col min="12537" max="12537" width="5.28515625" style="305" customWidth="1"/>
    <col min="12538" max="12538" width="2.140625" style="305" customWidth="1"/>
    <col min="12539" max="12539" width="0.85546875" style="305" customWidth="1"/>
    <col min="12540" max="12541" width="2" style="305" customWidth="1"/>
    <col min="12542" max="12542" width="1.140625" style="305" customWidth="1"/>
    <col min="12543" max="12543" width="2" style="305" customWidth="1"/>
    <col min="12544" max="12544" width="2.140625" style="305" customWidth="1"/>
    <col min="12545" max="12545" width="0.85546875" style="305" customWidth="1"/>
    <col min="12546" max="12546" width="2" style="305" customWidth="1"/>
    <col min="12547" max="12547" width="2.28515625" style="305" customWidth="1"/>
    <col min="12548" max="12792" width="11.42578125" style="305"/>
    <col min="12793" max="12793" width="5.28515625" style="305" customWidth="1"/>
    <col min="12794" max="12794" width="2.140625" style="305" customWidth="1"/>
    <col min="12795" max="12795" width="0.85546875" style="305" customWidth="1"/>
    <col min="12796" max="12797" width="2" style="305" customWidth="1"/>
    <col min="12798" max="12798" width="1.140625" style="305" customWidth="1"/>
    <col min="12799" max="12799" width="2" style="305" customWidth="1"/>
    <col min="12800" max="12800" width="2.140625" style="305" customWidth="1"/>
    <col min="12801" max="12801" width="0.85546875" style="305" customWidth="1"/>
    <col min="12802" max="12802" width="2" style="305" customWidth="1"/>
    <col min="12803" max="12803" width="2.28515625" style="305" customWidth="1"/>
    <col min="12804" max="13048" width="11.42578125" style="305"/>
    <col min="13049" max="13049" width="5.28515625" style="305" customWidth="1"/>
    <col min="13050" max="13050" width="2.140625" style="305" customWidth="1"/>
    <col min="13051" max="13051" width="0.85546875" style="305" customWidth="1"/>
    <col min="13052" max="13053" width="2" style="305" customWidth="1"/>
    <col min="13054" max="13054" width="1.140625" style="305" customWidth="1"/>
    <col min="13055" max="13055" width="2" style="305" customWidth="1"/>
    <col min="13056" max="13056" width="2.140625" style="305" customWidth="1"/>
    <col min="13057" max="13057" width="0.85546875" style="305" customWidth="1"/>
    <col min="13058" max="13058" width="2" style="305" customWidth="1"/>
    <col min="13059" max="13059" width="2.28515625" style="305" customWidth="1"/>
    <col min="13060" max="13304" width="11.42578125" style="305"/>
    <col min="13305" max="13305" width="5.28515625" style="305" customWidth="1"/>
    <col min="13306" max="13306" width="2.140625" style="305" customWidth="1"/>
    <col min="13307" max="13307" width="0.85546875" style="305" customWidth="1"/>
    <col min="13308" max="13309" width="2" style="305" customWidth="1"/>
    <col min="13310" max="13310" width="1.140625" style="305" customWidth="1"/>
    <col min="13311" max="13311" width="2" style="305" customWidth="1"/>
    <col min="13312" max="13312" width="2.140625" style="305" customWidth="1"/>
    <col min="13313" max="13313" width="0.85546875" style="305" customWidth="1"/>
    <col min="13314" max="13314" width="2" style="305" customWidth="1"/>
    <col min="13315" max="13315" width="2.28515625" style="305" customWidth="1"/>
    <col min="13316" max="13560" width="11.42578125" style="305"/>
    <col min="13561" max="13561" width="5.28515625" style="305" customWidth="1"/>
    <col min="13562" max="13562" width="2.140625" style="305" customWidth="1"/>
    <col min="13563" max="13563" width="0.85546875" style="305" customWidth="1"/>
    <col min="13564" max="13565" width="2" style="305" customWidth="1"/>
    <col min="13566" max="13566" width="1.140625" style="305" customWidth="1"/>
    <col min="13567" max="13567" width="2" style="305" customWidth="1"/>
    <col min="13568" max="13568" width="2.140625" style="305" customWidth="1"/>
    <col min="13569" max="13569" width="0.85546875" style="305" customWidth="1"/>
    <col min="13570" max="13570" width="2" style="305" customWidth="1"/>
    <col min="13571" max="13571" width="2.28515625" style="305" customWidth="1"/>
    <col min="13572" max="13816" width="11.42578125" style="305"/>
    <col min="13817" max="13817" width="5.28515625" style="305" customWidth="1"/>
    <col min="13818" max="13818" width="2.140625" style="305" customWidth="1"/>
    <col min="13819" max="13819" width="0.85546875" style="305" customWidth="1"/>
    <col min="13820" max="13821" width="2" style="305" customWidth="1"/>
    <col min="13822" max="13822" width="1.140625" style="305" customWidth="1"/>
    <col min="13823" max="13823" width="2" style="305" customWidth="1"/>
    <col min="13824" max="13824" width="2.140625" style="305" customWidth="1"/>
    <col min="13825" max="13825" width="0.85546875" style="305" customWidth="1"/>
    <col min="13826" max="13826" width="2" style="305" customWidth="1"/>
    <col min="13827" max="13827" width="2.28515625" style="305" customWidth="1"/>
    <col min="13828" max="14072" width="11.42578125" style="305"/>
    <col min="14073" max="14073" width="5.28515625" style="305" customWidth="1"/>
    <col min="14074" max="14074" width="2.140625" style="305" customWidth="1"/>
    <col min="14075" max="14075" width="0.85546875" style="305" customWidth="1"/>
    <col min="14076" max="14077" width="2" style="305" customWidth="1"/>
    <col min="14078" max="14078" width="1.140625" style="305" customWidth="1"/>
    <col min="14079" max="14079" width="2" style="305" customWidth="1"/>
    <col min="14080" max="14080" width="2.140625" style="305" customWidth="1"/>
    <col min="14081" max="14081" width="0.85546875" style="305" customWidth="1"/>
    <col min="14082" max="14082" width="2" style="305" customWidth="1"/>
    <col min="14083" max="14083" width="2.28515625" style="305" customWidth="1"/>
    <col min="14084" max="14328" width="11.42578125" style="305"/>
    <col min="14329" max="14329" width="5.28515625" style="305" customWidth="1"/>
    <col min="14330" max="14330" width="2.140625" style="305" customWidth="1"/>
    <col min="14331" max="14331" width="0.85546875" style="305" customWidth="1"/>
    <col min="14332" max="14333" width="2" style="305" customWidth="1"/>
    <col min="14334" max="14334" width="1.140625" style="305" customWidth="1"/>
    <col min="14335" max="14335" width="2" style="305" customWidth="1"/>
    <col min="14336" max="14336" width="2.140625" style="305" customWidth="1"/>
    <col min="14337" max="14337" width="0.85546875" style="305" customWidth="1"/>
    <col min="14338" max="14338" width="2" style="305" customWidth="1"/>
    <col min="14339" max="14339" width="2.28515625" style="305" customWidth="1"/>
    <col min="14340" max="14584" width="11.42578125" style="305"/>
    <col min="14585" max="14585" width="5.28515625" style="305" customWidth="1"/>
    <col min="14586" max="14586" width="2.140625" style="305" customWidth="1"/>
    <col min="14587" max="14587" width="0.85546875" style="305" customWidth="1"/>
    <col min="14588" max="14589" width="2" style="305" customWidth="1"/>
    <col min="14590" max="14590" width="1.140625" style="305" customWidth="1"/>
    <col min="14591" max="14591" width="2" style="305" customWidth="1"/>
    <col min="14592" max="14592" width="2.140625" style="305" customWidth="1"/>
    <col min="14593" max="14593" width="0.85546875" style="305" customWidth="1"/>
    <col min="14594" max="14594" width="2" style="305" customWidth="1"/>
    <col min="14595" max="14595" width="2.28515625" style="305" customWidth="1"/>
    <col min="14596" max="14840" width="11.42578125" style="305"/>
    <col min="14841" max="14841" width="5.28515625" style="305" customWidth="1"/>
    <col min="14842" max="14842" width="2.140625" style="305" customWidth="1"/>
    <col min="14843" max="14843" width="0.85546875" style="305" customWidth="1"/>
    <col min="14844" max="14845" width="2" style="305" customWidth="1"/>
    <col min="14846" max="14846" width="1.140625" style="305" customWidth="1"/>
    <col min="14847" max="14847" width="2" style="305" customWidth="1"/>
    <col min="14848" max="14848" width="2.140625" style="305" customWidth="1"/>
    <col min="14849" max="14849" width="0.85546875" style="305" customWidth="1"/>
    <col min="14850" max="14850" width="2" style="305" customWidth="1"/>
    <col min="14851" max="14851" width="2.28515625" style="305" customWidth="1"/>
    <col min="14852" max="15096" width="11.42578125" style="305"/>
    <col min="15097" max="15097" width="5.28515625" style="305" customWidth="1"/>
    <col min="15098" max="15098" width="2.140625" style="305" customWidth="1"/>
    <col min="15099" max="15099" width="0.85546875" style="305" customWidth="1"/>
    <col min="15100" max="15101" width="2" style="305" customWidth="1"/>
    <col min="15102" max="15102" width="1.140625" style="305" customWidth="1"/>
    <col min="15103" max="15103" width="2" style="305" customWidth="1"/>
    <col min="15104" max="15104" width="2.140625" style="305" customWidth="1"/>
    <col min="15105" max="15105" width="0.85546875" style="305" customWidth="1"/>
    <col min="15106" max="15106" width="2" style="305" customWidth="1"/>
    <col min="15107" max="15107" width="2.28515625" style="305" customWidth="1"/>
    <col min="15108" max="15352" width="11.42578125" style="305"/>
    <col min="15353" max="15353" width="5.28515625" style="305" customWidth="1"/>
    <col min="15354" max="15354" width="2.140625" style="305" customWidth="1"/>
    <col min="15355" max="15355" width="0.85546875" style="305" customWidth="1"/>
    <col min="15356" max="15357" width="2" style="305" customWidth="1"/>
    <col min="15358" max="15358" width="1.140625" style="305" customWidth="1"/>
    <col min="15359" max="15359" width="2" style="305" customWidth="1"/>
    <col min="15360" max="15360" width="2.140625" style="305" customWidth="1"/>
    <col min="15361" max="15361" width="0.85546875" style="305" customWidth="1"/>
    <col min="15362" max="15362" width="2" style="305" customWidth="1"/>
    <col min="15363" max="15363" width="2.28515625" style="305" customWidth="1"/>
    <col min="15364" max="15608" width="11.42578125" style="305"/>
    <col min="15609" max="15609" width="5.28515625" style="305" customWidth="1"/>
    <col min="15610" max="15610" width="2.140625" style="305" customWidth="1"/>
    <col min="15611" max="15611" width="0.85546875" style="305" customWidth="1"/>
    <col min="15612" max="15613" width="2" style="305" customWidth="1"/>
    <col min="15614" max="15614" width="1.140625" style="305" customWidth="1"/>
    <col min="15615" max="15615" width="2" style="305" customWidth="1"/>
    <col min="15616" max="15616" width="2.140625" style="305" customWidth="1"/>
    <col min="15617" max="15617" width="0.85546875" style="305" customWidth="1"/>
    <col min="15618" max="15618" width="2" style="305" customWidth="1"/>
    <col min="15619" max="15619" width="2.28515625" style="305" customWidth="1"/>
    <col min="15620" max="15864" width="11.42578125" style="305"/>
    <col min="15865" max="15865" width="5.28515625" style="305" customWidth="1"/>
    <col min="15866" max="15866" width="2.140625" style="305" customWidth="1"/>
    <col min="15867" max="15867" width="0.85546875" style="305" customWidth="1"/>
    <col min="15868" max="15869" width="2" style="305" customWidth="1"/>
    <col min="15870" max="15870" width="1.140625" style="305" customWidth="1"/>
    <col min="15871" max="15871" width="2" style="305" customWidth="1"/>
    <col min="15872" max="15872" width="2.140625" style="305" customWidth="1"/>
    <col min="15873" max="15873" width="0.85546875" style="305" customWidth="1"/>
    <col min="15874" max="15874" width="2" style="305" customWidth="1"/>
    <col min="15875" max="15875" width="2.28515625" style="305" customWidth="1"/>
    <col min="15876" max="16120" width="11.42578125" style="305"/>
    <col min="16121" max="16121" width="5.28515625" style="305" customWidth="1"/>
    <col min="16122" max="16122" width="2.140625" style="305" customWidth="1"/>
    <col min="16123" max="16123" width="0.85546875" style="305" customWidth="1"/>
    <col min="16124" max="16125" width="2" style="305" customWidth="1"/>
    <col min="16126" max="16126" width="1.140625" style="305" customWidth="1"/>
    <col min="16127" max="16127" width="2" style="305" customWidth="1"/>
    <col min="16128" max="16128" width="2.140625" style="305" customWidth="1"/>
    <col min="16129" max="16129" width="0.85546875" style="305" customWidth="1"/>
    <col min="16130" max="16130" width="2" style="305" customWidth="1"/>
    <col min="16131" max="16131" width="2.28515625" style="305" customWidth="1"/>
    <col min="16132" max="16384" width="11.42578125" style="305"/>
  </cols>
  <sheetData>
    <row r="7" spans="2:10" ht="27.75" customHeight="1" thickBot="1">
      <c r="H7" s="344"/>
      <c r="I7" s="344"/>
    </row>
    <row r="8" spans="2:10" ht="18" customHeight="1" thickBot="1">
      <c r="C8" s="759" t="s">
        <v>626</v>
      </c>
      <c r="D8" s="760"/>
      <c r="F8" s="761" t="s">
        <v>648</v>
      </c>
      <c r="G8" s="762"/>
      <c r="H8" s="762"/>
      <c r="I8" s="762"/>
      <c r="J8" s="763"/>
    </row>
    <row r="9" spans="2:10" s="523" customFormat="1" ht="26.25" thickBot="1">
      <c r="B9" s="514" t="s">
        <v>642</v>
      </c>
      <c r="C9" s="515" t="s">
        <v>15</v>
      </c>
      <c r="D9" s="516" t="s">
        <v>627</v>
      </c>
      <c r="E9" s="517" t="s">
        <v>16</v>
      </c>
      <c r="F9" s="518" t="s">
        <v>618</v>
      </c>
      <c r="G9" s="519" t="s">
        <v>628</v>
      </c>
      <c r="H9" s="520" t="s">
        <v>660</v>
      </c>
      <c r="I9" s="521" t="s">
        <v>630</v>
      </c>
      <c r="J9" s="522" t="s">
        <v>643</v>
      </c>
    </row>
    <row r="10" spans="2:10" ht="15" customHeight="1">
      <c r="B10" s="524" t="str">
        <f>+RESUMEN!A85</f>
        <v>TRANSPORTE</v>
      </c>
      <c r="C10" s="525">
        <f>+VLOOKUP($B10,RESUMEN!$A$74:$G$86,2,FALSE)</f>
        <v>98163879922</v>
      </c>
      <c r="D10" s="526">
        <f>+C10/$C$23</f>
        <v>0.23575783282064586</v>
      </c>
      <c r="E10" s="580">
        <f>+VLOOKUP($B10,RESUMEN!$A$74:$G$86,3,FALSE)</f>
        <v>32640346516</v>
      </c>
      <c r="F10" s="527">
        <f>+VLOOKUP($B10,RESUMEN!$A$74:$G$86,4,FALSE)</f>
        <v>16018648248.333332</v>
      </c>
      <c r="G10" s="581">
        <f>+F10/$F$23</f>
        <v>0.17426395691452462</v>
      </c>
      <c r="H10" s="527">
        <f>+VLOOKUP($B10,RESUMEN!$A$74:$G$86,5,FALSE)</f>
        <v>1120827919</v>
      </c>
      <c r="I10" s="527">
        <f>+VLOOKUP($B10,RESUMEN!$A$74:$G$86,6,FALSE)</f>
        <v>14897820329.333332</v>
      </c>
      <c r="J10" s="527">
        <f>+VLOOKUP($B10,RESUMEN!$A$74:$G$86,7,FALSE)</f>
        <v>49504885157.666664</v>
      </c>
    </row>
    <row r="11" spans="2:10" ht="15" customHeight="1">
      <c r="B11" s="576" t="str">
        <f>+RESUMEN!A86</f>
        <v>VIVIENDA</v>
      </c>
      <c r="C11" s="552">
        <f>+VLOOKUP($B11,RESUMEN!$A$74:$G$86,2,FALSE)</f>
        <v>45708731125</v>
      </c>
      <c r="D11" s="577">
        <f t="shared" ref="D11:D22" si="0">+C11/$C$23</f>
        <v>0.10977756176278129</v>
      </c>
      <c r="E11" s="554">
        <f>+VLOOKUP($B11,RESUMEN!$A$74:$G$86,3,FALSE)</f>
        <v>5120122106</v>
      </c>
      <c r="F11" s="552">
        <f>+VLOOKUP($B11,RESUMEN!$A$74:$G$86,4,FALSE)</f>
        <v>9529100856.6666298</v>
      </c>
      <c r="G11" s="578">
        <f t="shared" ref="G11:G22" si="1">+F11/$F$23</f>
        <v>0.10366535274242562</v>
      </c>
      <c r="H11" s="556">
        <f>+VLOOKUP($B11,RESUMEN!$A$74:$G$86,5,FALSE)</f>
        <v>593107095</v>
      </c>
      <c r="I11" s="556">
        <f>+VLOOKUP($B11,RESUMEN!$A$74:$G$86,6,FALSE)</f>
        <v>8935993761.6666298</v>
      </c>
      <c r="J11" s="579">
        <f>+VLOOKUP($B11,RESUMEN!$A$74:$G$86,7,FALSE)</f>
        <v>31059508162.33337</v>
      </c>
    </row>
    <row r="12" spans="2:10" ht="15" customHeight="1">
      <c r="B12" s="528" t="str">
        <f>+RESUMEN!A77</f>
        <v>EDUCACION Y CULTURA</v>
      </c>
      <c r="C12" s="529">
        <f>+VLOOKUP($B12,RESUMEN!$A$74:$G$86,2,FALSE)</f>
        <v>72596573201</v>
      </c>
      <c r="D12" s="530">
        <f t="shared" si="0"/>
        <v>0.17435344631520988</v>
      </c>
      <c r="E12" s="531">
        <f>+VLOOKUP($B12,RESUMEN!$A$74:$G$86,3,FALSE)</f>
        <v>22991510174</v>
      </c>
      <c r="F12" s="529">
        <f>+VLOOKUP($B12,RESUMEN!$A$74:$G$86,4,FALSE)</f>
        <v>10439540457</v>
      </c>
      <c r="G12" s="532">
        <f t="shared" si="1"/>
        <v>0.11356985934161878</v>
      </c>
      <c r="H12" s="313">
        <f>+VLOOKUP($B12,RESUMEN!$A$74:$G$86,5,FALSE)</f>
        <v>2085213121</v>
      </c>
      <c r="I12" s="313">
        <f>+VLOOKUP($B12,RESUMEN!$A$74:$G$86,6,FALSE)</f>
        <v>8354327336</v>
      </c>
      <c r="J12" s="533">
        <f>+VLOOKUP($B12,RESUMEN!$A$74:$G$86,7,FALSE)</f>
        <v>39165522570</v>
      </c>
    </row>
    <row r="13" spans="2:10" ht="15" customHeight="1">
      <c r="B13" s="528" t="str">
        <f>+RESUMEN!A83</f>
        <v>SALUD</v>
      </c>
      <c r="C13" s="529">
        <f>+VLOOKUP($B13,RESUMEN!$A$74:$G$86,2,FALSE)</f>
        <v>52028116532</v>
      </c>
      <c r="D13" s="530">
        <f t="shared" si="0"/>
        <v>0.12495467792298758</v>
      </c>
      <c r="E13" s="531">
        <f>+VLOOKUP($B13,RESUMEN!$A$74:$G$86,3,FALSE)</f>
        <v>11562380865</v>
      </c>
      <c r="F13" s="529">
        <f>+VLOOKUP($B13,RESUMEN!$A$74:$G$86,4,FALSE)</f>
        <v>7734262881.3333693</v>
      </c>
      <c r="G13" s="532">
        <f t="shared" si="1"/>
        <v>8.4139637291712061E-2</v>
      </c>
      <c r="H13" s="313">
        <f>+VLOOKUP($B13,RESUMEN!$A$74:$G$86,5,FALSE)</f>
        <v>176828995</v>
      </c>
      <c r="I13" s="313">
        <f>+VLOOKUP($B13,RESUMEN!$A$74:$G$86,6,FALSE)</f>
        <v>7557433886.3333693</v>
      </c>
      <c r="J13" s="533">
        <f>+VLOOKUP($B13,RESUMEN!$A$74:$G$86,7,FALSE)</f>
        <v>32731472785.666634</v>
      </c>
    </row>
    <row r="14" spans="2:10" ht="15" customHeight="1">
      <c r="B14" s="528" t="str">
        <f>+RESUMEN!A81</f>
        <v>MULTISECTORIAL</v>
      </c>
      <c r="C14" s="529">
        <f>+VLOOKUP($B14,RESUMEN!$A$74:$G$86,2,FALSE)</f>
        <v>50213202055</v>
      </c>
      <c r="D14" s="530">
        <f t="shared" si="0"/>
        <v>0.120595841412121</v>
      </c>
      <c r="E14" s="531">
        <f>+VLOOKUP($B14,RESUMEN!$A$74:$G$86,3,FALSE)</f>
        <v>13542407971</v>
      </c>
      <c r="F14" s="529">
        <f>+VLOOKUP($B14,RESUMEN!$A$74:$G$86,4,FALSE)</f>
        <v>18527619968.666668</v>
      </c>
      <c r="G14" s="532">
        <f t="shared" si="1"/>
        <v>0.2015586033162533</v>
      </c>
      <c r="H14" s="313">
        <f>+VLOOKUP($B14,RESUMEN!$A$74:$G$86,5,FALSE)</f>
        <v>719852886</v>
      </c>
      <c r="I14" s="313">
        <f>+VLOOKUP($B14,RESUMEN!$A$74:$G$86,6,FALSE)</f>
        <v>17807767082.666668</v>
      </c>
      <c r="J14" s="533">
        <f>+VLOOKUP($B14,RESUMEN!$A$74:$G$86,7,FALSE)</f>
        <v>18143174115.333332</v>
      </c>
    </row>
    <row r="15" spans="2:10" ht="15" customHeight="1">
      <c r="B15" s="528" t="str">
        <f>+RESUMEN!A74</f>
        <v>AGUA POTABLE Y ALCANTARILLADO</v>
      </c>
      <c r="C15" s="529">
        <f>+VLOOKUP($B15,RESUMEN!$A$74:$G$86,2,FALSE)</f>
        <v>13863514662</v>
      </c>
      <c r="D15" s="530">
        <f t="shared" si="0"/>
        <v>3.3295670205654368E-2</v>
      </c>
      <c r="E15" s="531">
        <f>+VLOOKUP($B15,RESUMEN!$A$74:$G$86,3,FALSE)</f>
        <v>3942286103</v>
      </c>
      <c r="F15" s="529">
        <f>+VLOOKUP($B15,RESUMEN!$A$74:$G$86,4,FALSE)</f>
        <v>3504827575.333333</v>
      </c>
      <c r="G15" s="532">
        <f t="shared" si="1"/>
        <v>3.8128380879096528E-2</v>
      </c>
      <c r="H15" s="313">
        <f>+VLOOKUP($B15,RESUMEN!$A$74:$G$86,5,FALSE)</f>
        <v>176446245</v>
      </c>
      <c r="I15" s="313">
        <f>+VLOOKUP($B15,RESUMEN!$A$74:$G$86,6,FALSE)</f>
        <v>3328381330.333333</v>
      </c>
      <c r="J15" s="533">
        <f>+VLOOKUP($B15,RESUMEN!$A$74:$G$86,7,FALSE)</f>
        <v>6416400983.666667</v>
      </c>
    </row>
    <row r="16" spans="2:10" ht="15" customHeight="1">
      <c r="B16" s="528" t="str">
        <f>+RESUMEN!A75</f>
        <v>DEFENSA Y SEGURIDAD</v>
      </c>
      <c r="C16" s="529">
        <f>+VLOOKUP($B16,RESUMEN!$A$74:$G$86,2,FALSE)</f>
        <v>25081864356</v>
      </c>
      <c r="D16" s="530">
        <f t="shared" si="0"/>
        <v>6.023851123621609E-2</v>
      </c>
      <c r="E16" s="531">
        <f>+VLOOKUP($B16,RESUMEN!$A$74:$G$86,3,FALSE)</f>
        <v>7138169548</v>
      </c>
      <c r="F16" s="529">
        <f>+VLOOKUP($B16,RESUMEN!$A$74:$G$86,4,FALSE)</f>
        <v>9416867888.6666679</v>
      </c>
      <c r="G16" s="532">
        <f t="shared" si="1"/>
        <v>0.10244439072386269</v>
      </c>
      <c r="H16" s="313">
        <f>+VLOOKUP($B16,RESUMEN!$A$74:$G$86,5,FALSE)</f>
        <v>973057335</v>
      </c>
      <c r="I16" s="313">
        <f>+VLOOKUP($B16,RESUMEN!$A$74:$G$86,6,FALSE)</f>
        <v>8443810553.666667</v>
      </c>
      <c r="J16" s="533">
        <f>+VLOOKUP($B16,RESUMEN!$A$74:$G$86,7,FALSE)</f>
        <v>8526826919.333333</v>
      </c>
    </row>
    <row r="17" spans="2:10" ht="15" customHeight="1">
      <c r="B17" s="528" t="str">
        <f>+RESUMEN!A80</f>
        <v>JUSTICIA</v>
      </c>
      <c r="C17" s="529">
        <f>+VLOOKUP($B17,RESUMEN!$A$74:$G$86,2,FALSE)</f>
        <v>76160000</v>
      </c>
      <c r="D17" s="530">
        <f t="shared" si="0"/>
        <v>1.8291164287605069E-4</v>
      </c>
      <c r="E17" s="531">
        <f>+VLOOKUP($B17,RESUMEN!$A$74:$G$86,3,FALSE)</f>
        <v>0</v>
      </c>
      <c r="F17" s="529">
        <f>+VLOOKUP($B17,RESUMEN!$A$74:$G$86,4,FALSE)</f>
        <v>61160000</v>
      </c>
      <c r="G17" s="532">
        <f t="shared" si="1"/>
        <v>6.6534850130074122E-4</v>
      </c>
      <c r="H17" s="313">
        <f>+VLOOKUP($B17,RESUMEN!$A$74:$G$86,5,FALSE)</f>
        <v>0</v>
      </c>
      <c r="I17" s="313">
        <f>+VLOOKUP($B17,RESUMEN!$A$74:$G$86,6,FALSE)</f>
        <v>61160000</v>
      </c>
      <c r="J17" s="533">
        <f>+VLOOKUP($B17,RESUMEN!$A$74:$G$86,7,FALSE)</f>
        <v>15000000</v>
      </c>
    </row>
    <row r="18" spans="2:10" ht="15" customHeight="1">
      <c r="B18" s="528" t="str">
        <f>+RESUMEN!A76</f>
        <v>DEPORTE</v>
      </c>
      <c r="C18" s="529">
        <f>+VLOOKUP($B18,RESUMEN!$A$74:$G$86,2,FALSE)</f>
        <v>19716235095</v>
      </c>
      <c r="D18" s="530">
        <f t="shared" si="0"/>
        <v>4.7352008305631535E-2</v>
      </c>
      <c r="E18" s="531">
        <f>+VLOOKUP($B18,RESUMEN!$A$74:$G$86,3,FALSE)</f>
        <v>8568413899</v>
      </c>
      <c r="F18" s="529">
        <f>+VLOOKUP($B18,RESUMEN!$A$74:$G$86,4,FALSE)</f>
        <v>4094864829</v>
      </c>
      <c r="G18" s="532">
        <f t="shared" si="1"/>
        <v>4.4547288701835608E-2</v>
      </c>
      <c r="H18" s="313">
        <f>+VLOOKUP($B18,RESUMEN!$A$74:$G$86,5,FALSE)</f>
        <v>125141259</v>
      </c>
      <c r="I18" s="313">
        <f>+VLOOKUP($B18,RESUMEN!$A$74:$G$86,6,FALSE)</f>
        <v>3969723570</v>
      </c>
      <c r="J18" s="533">
        <f>+VLOOKUP($B18,RESUMEN!$A$74:$G$86,7,FALSE)</f>
        <v>7052956367</v>
      </c>
    </row>
    <row r="19" spans="2:10" ht="15" customHeight="1">
      <c r="B19" s="528" t="str">
        <f>+RESUMEN!A84</f>
        <v>SILVOAGROPECUARIO</v>
      </c>
      <c r="C19" s="529">
        <f>+VLOOKUP($B19,RESUMEN!$A$74:$G$86,2,FALSE)</f>
        <v>15774068473</v>
      </c>
      <c r="D19" s="530">
        <f t="shared" si="0"/>
        <v>3.7884201408032385E-2</v>
      </c>
      <c r="E19" s="531">
        <f>+VLOOKUP($B19,RESUMEN!$A$74:$G$86,3,FALSE)</f>
        <v>6370299209</v>
      </c>
      <c r="F19" s="529">
        <f>+VLOOKUP($B19,RESUMEN!$A$74:$G$86,4,FALSE)</f>
        <v>1868483694</v>
      </c>
      <c r="G19" s="532">
        <f t="shared" si="1"/>
        <v>2.0326893811441673E-2</v>
      </c>
      <c r="H19" s="313">
        <f>+VLOOKUP($B19,RESUMEN!$A$74:$G$86,5,FALSE)</f>
        <v>0</v>
      </c>
      <c r="I19" s="313">
        <f>+VLOOKUP($B19,RESUMEN!$A$74:$G$86,6,FALSE)</f>
        <v>1868483694</v>
      </c>
      <c r="J19" s="533">
        <f>+VLOOKUP($B19,RESUMEN!$A$74:$G$86,7,FALSE)</f>
        <v>7535285570</v>
      </c>
    </row>
    <row r="20" spans="2:10" ht="15" customHeight="1">
      <c r="B20" s="528" t="str">
        <f>+RESUMEN!A79</f>
        <v>INDUSTRIA, COMERCIO, FINANZAS Y TURISMO</v>
      </c>
      <c r="C20" s="529">
        <f>+VLOOKUP($B20,RESUMEN!$A$74:$G$86,2,FALSE)</f>
        <v>14392922000</v>
      </c>
      <c r="D20" s="530">
        <f t="shared" si="0"/>
        <v>3.4567135094627804E-2</v>
      </c>
      <c r="E20" s="531">
        <f>+VLOOKUP($B20,RESUMEN!$A$74:$G$86,3,FALSE)</f>
        <v>7171505540</v>
      </c>
      <c r="F20" s="529">
        <f>+VLOOKUP($B20,RESUMEN!$A$74:$G$86,4,FALSE)</f>
        <v>5702913706</v>
      </c>
      <c r="G20" s="532">
        <f t="shared" si="1"/>
        <v>6.2040959570545381E-2</v>
      </c>
      <c r="H20" s="313">
        <f>+VLOOKUP($B20,RESUMEN!$A$74:$G$86,5,FALSE)</f>
        <v>61937858</v>
      </c>
      <c r="I20" s="313">
        <f>+VLOOKUP($B20,RESUMEN!$A$74:$G$86,6,FALSE)</f>
        <v>5640975848</v>
      </c>
      <c r="J20" s="533">
        <f>+VLOOKUP($B20,RESUMEN!$A$74:$G$86,7,FALSE)</f>
        <v>1518502754</v>
      </c>
    </row>
    <row r="21" spans="2:10" ht="15" customHeight="1">
      <c r="B21" s="528" t="str">
        <f>+RESUMEN!A78</f>
        <v>ENERGIA</v>
      </c>
      <c r="C21" s="529">
        <f>+VLOOKUP($B21,RESUMEN!$A$74:$G$86,2,FALSE)</f>
        <v>5962833000</v>
      </c>
      <c r="D21" s="530">
        <f t="shared" si="0"/>
        <v>1.4320792807583116E-2</v>
      </c>
      <c r="E21" s="531">
        <f>+VLOOKUP($B21,RESUMEN!$A$74:$G$86,3,FALSE)</f>
        <v>0</v>
      </c>
      <c r="F21" s="529">
        <f>+VLOOKUP($B21,RESUMEN!$A$74:$G$86,4,FALSE)</f>
        <v>4523462000</v>
      </c>
      <c r="G21" s="532">
        <f t="shared" si="1"/>
        <v>4.9209919267345539E-2</v>
      </c>
      <c r="H21" s="313">
        <f>+VLOOKUP($B21,RESUMEN!$A$74:$G$86,5,FALSE)</f>
        <v>0</v>
      </c>
      <c r="I21" s="313">
        <f>+VLOOKUP($B21,RESUMEN!$A$74:$G$86,6,FALSE)</f>
        <v>4523462000</v>
      </c>
      <c r="J21" s="533">
        <f>+VLOOKUP($B21,RESUMEN!$A$74:$G$86,7,FALSE)</f>
        <v>1439371000</v>
      </c>
    </row>
    <row r="22" spans="2:10" ht="15" customHeight="1" thickBot="1">
      <c r="B22" s="528" t="str">
        <f>+RESUMEN!A82</f>
        <v>PESCA</v>
      </c>
      <c r="C22" s="529">
        <f>+VLOOKUP($B22,RESUMEN!$A$74:$G$86,2,FALSE)</f>
        <v>2797800000</v>
      </c>
      <c r="D22" s="530">
        <f t="shared" si="0"/>
        <v>6.7194090656330701E-3</v>
      </c>
      <c r="E22" s="531">
        <f>+VLOOKUP($B22,RESUMEN!$A$74:$G$86,3,FALSE)</f>
        <v>1520666157</v>
      </c>
      <c r="F22" s="529">
        <f>+VLOOKUP($B22,RESUMEN!$A$74:$G$86,4,FALSE)</f>
        <v>500000000</v>
      </c>
      <c r="G22" s="532">
        <f t="shared" si="1"/>
        <v>5.4394089380374521E-3</v>
      </c>
      <c r="H22" s="313">
        <f>+VLOOKUP($B22,RESUMEN!$A$74:$G$86,5,FALSE)</f>
        <v>0</v>
      </c>
      <c r="I22" s="313">
        <f>+VLOOKUP($B22,RESUMEN!$A$74:$G$86,6,FALSE)</f>
        <v>500000000</v>
      </c>
      <c r="J22" s="533">
        <f>+VLOOKUP($B22,RESUMEN!$A$74:$G$86,7,FALSE)</f>
        <v>777133843</v>
      </c>
    </row>
    <row r="23" spans="2:10" s="310" customFormat="1" ht="15" customHeight="1" thickBot="1">
      <c r="B23" s="534" t="s">
        <v>633</v>
      </c>
      <c r="C23" s="535">
        <f t="shared" ref="C23:J23" si="2">SUM(C10:C22)</f>
        <v>416375900421</v>
      </c>
      <c r="D23" s="536">
        <f>SUM(D10:D22)</f>
        <v>1.0000000000000002</v>
      </c>
      <c r="E23" s="537">
        <f t="shared" si="2"/>
        <v>120568108088</v>
      </c>
      <c r="F23" s="535">
        <f t="shared" si="2"/>
        <v>91921752105</v>
      </c>
      <c r="G23" s="538">
        <f t="shared" si="2"/>
        <v>1</v>
      </c>
      <c r="H23" s="539">
        <f t="shared" si="2"/>
        <v>6032412713</v>
      </c>
      <c r="I23" s="540">
        <f t="shared" si="2"/>
        <v>85889339392</v>
      </c>
      <c r="J23" s="541">
        <f t="shared" si="2"/>
        <v>203886040228</v>
      </c>
    </row>
  </sheetData>
  <mergeCells count="2">
    <mergeCell ref="C8:D8"/>
    <mergeCell ref="F8:J8"/>
  </mergeCells>
  <printOptions horizontalCentered="1" verticalCentered="1"/>
  <pageMargins left="0.23622047244094491" right="0.23622047244094491" top="0.74803149606299213" bottom="0.74803149606299213" header="0" footer="0"/>
  <pageSetup paperSize="5" scale="7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WUQ17"/>
  <sheetViews>
    <sheetView view="pageBreakPreview" zoomScaleNormal="100" zoomScaleSheetLayoutView="100" workbookViewId="0">
      <selection activeCell="F14" sqref="F14"/>
    </sheetView>
  </sheetViews>
  <sheetFormatPr baseColWidth="10" defaultColWidth="11.42578125" defaultRowHeight="12.75"/>
  <cols>
    <col min="1" max="1" width="2.7109375" style="305" customWidth="1"/>
    <col min="2" max="2" width="11.5703125" style="305" customWidth="1"/>
    <col min="3" max="3" width="15.42578125" style="305" customWidth="1"/>
    <col min="4" max="4" width="7.85546875" style="305" customWidth="1"/>
    <col min="5" max="5" width="15.85546875" style="305" customWidth="1"/>
    <col min="6" max="6" width="14.85546875" style="305" customWidth="1"/>
    <col min="7" max="7" width="14.7109375" style="305" customWidth="1"/>
    <col min="8" max="8" width="14.28515625" style="305" customWidth="1"/>
    <col min="9" max="9" width="15.42578125" style="305" customWidth="1"/>
    <col min="10" max="10" width="14.7109375" style="305" customWidth="1"/>
    <col min="11" max="11" width="15.42578125" style="305" customWidth="1"/>
    <col min="12" max="12" width="2.7109375" style="305" customWidth="1"/>
    <col min="13" max="16" width="11.42578125" style="305" customWidth="1"/>
    <col min="17" max="229" width="11.42578125" style="305"/>
    <col min="230" max="230" width="2.42578125" style="305" customWidth="1"/>
    <col min="231" max="231" width="2.140625" style="305" customWidth="1"/>
    <col min="232" max="232" width="0.85546875" style="305" customWidth="1"/>
    <col min="233" max="234" width="2" style="305" customWidth="1"/>
    <col min="235" max="235" width="1.28515625" style="305" customWidth="1"/>
    <col min="236" max="236" width="2" style="305" customWidth="1"/>
    <col min="237" max="237" width="2.140625" style="305" customWidth="1"/>
    <col min="238" max="238" width="1.140625" style="305" customWidth="1"/>
    <col min="239" max="239" width="11.42578125" style="305" hidden="1" customWidth="1"/>
    <col min="240" max="240" width="2" style="305" customWidth="1"/>
    <col min="241" max="241" width="2.140625" style="305" customWidth="1"/>
    <col min="242" max="242" width="2" style="305" customWidth="1"/>
    <col min="243" max="243" width="2.28515625" style="305" customWidth="1"/>
    <col min="244" max="244" width="11.42578125" style="305"/>
    <col min="245" max="245" width="2" style="305" customWidth="1"/>
    <col min="246" max="485" width="11.42578125" style="305"/>
    <col min="486" max="486" width="2.42578125" style="305" customWidth="1"/>
    <col min="487" max="487" width="2.140625" style="305" customWidth="1"/>
    <col min="488" max="488" width="0.85546875" style="305" customWidth="1"/>
    <col min="489" max="490" width="2" style="305" customWidth="1"/>
    <col min="491" max="491" width="1.28515625" style="305" customWidth="1"/>
    <col min="492" max="492" width="2" style="305" customWidth="1"/>
    <col min="493" max="493" width="2.140625" style="305" customWidth="1"/>
    <col min="494" max="494" width="1.140625" style="305" customWidth="1"/>
    <col min="495" max="495" width="11.42578125" style="305" hidden="1" customWidth="1"/>
    <col min="496" max="496" width="2" style="305" customWidth="1"/>
    <col min="497" max="497" width="2.140625" style="305" customWidth="1"/>
    <col min="498" max="498" width="2" style="305" customWidth="1"/>
    <col min="499" max="499" width="2.28515625" style="305" customWidth="1"/>
    <col min="500" max="500" width="11.42578125" style="305"/>
    <col min="501" max="501" width="2" style="305" customWidth="1"/>
    <col min="502" max="741" width="11.42578125" style="305"/>
    <col min="742" max="742" width="2.42578125" style="305" customWidth="1"/>
    <col min="743" max="743" width="2.140625" style="305" customWidth="1"/>
    <col min="744" max="744" width="0.85546875" style="305" customWidth="1"/>
    <col min="745" max="746" width="2" style="305" customWidth="1"/>
    <col min="747" max="747" width="1.28515625" style="305" customWidth="1"/>
    <col min="748" max="748" width="2" style="305" customWidth="1"/>
    <col min="749" max="749" width="2.140625" style="305" customWidth="1"/>
    <col min="750" max="750" width="1.140625" style="305" customWidth="1"/>
    <col min="751" max="751" width="11.42578125" style="305" hidden="1" customWidth="1"/>
    <col min="752" max="752" width="2" style="305" customWidth="1"/>
    <col min="753" max="753" width="2.140625" style="305" customWidth="1"/>
    <col min="754" max="754" width="2" style="305" customWidth="1"/>
    <col min="755" max="755" width="2.28515625" style="305" customWidth="1"/>
    <col min="756" max="756" width="11.42578125" style="305"/>
    <col min="757" max="757" width="2" style="305" customWidth="1"/>
    <col min="758" max="997" width="11.42578125" style="305"/>
    <col min="998" max="998" width="2.42578125" style="305" customWidth="1"/>
    <col min="999" max="999" width="2.140625" style="305" customWidth="1"/>
    <col min="1000" max="1000" width="0.85546875" style="305" customWidth="1"/>
    <col min="1001" max="1002" width="2" style="305" customWidth="1"/>
    <col min="1003" max="1003" width="1.28515625" style="305" customWidth="1"/>
    <col min="1004" max="1004" width="2" style="305" customWidth="1"/>
    <col min="1005" max="1005" width="2.140625" style="305" customWidth="1"/>
    <col min="1006" max="1006" width="1.140625" style="305" customWidth="1"/>
    <col min="1007" max="1007" width="11.42578125" style="305" hidden="1" customWidth="1"/>
    <col min="1008" max="1008" width="2" style="305" customWidth="1"/>
    <col min="1009" max="1009" width="2.140625" style="305" customWidth="1"/>
    <col min="1010" max="1010" width="2" style="305" customWidth="1"/>
    <col min="1011" max="1011" width="2.28515625" style="305" customWidth="1"/>
    <col min="1012" max="1012" width="11.42578125" style="305"/>
    <col min="1013" max="1013" width="2" style="305" customWidth="1"/>
    <col min="1014" max="1253" width="11.42578125" style="305"/>
    <col min="1254" max="1254" width="2.42578125" style="305" customWidth="1"/>
    <col min="1255" max="1255" width="2.140625" style="305" customWidth="1"/>
    <col min="1256" max="1256" width="0.85546875" style="305" customWidth="1"/>
    <col min="1257" max="1258" width="2" style="305" customWidth="1"/>
    <col min="1259" max="1259" width="1.28515625" style="305" customWidth="1"/>
    <col min="1260" max="1260" width="2" style="305" customWidth="1"/>
    <col min="1261" max="1261" width="2.140625" style="305" customWidth="1"/>
    <col min="1262" max="1262" width="1.140625" style="305" customWidth="1"/>
    <col min="1263" max="1263" width="11.42578125" style="305" hidden="1" customWidth="1"/>
    <col min="1264" max="1264" width="2" style="305" customWidth="1"/>
    <col min="1265" max="1265" width="2.140625" style="305" customWidth="1"/>
    <col min="1266" max="1266" width="2" style="305" customWidth="1"/>
    <col min="1267" max="1267" width="2.28515625" style="305" customWidth="1"/>
    <col min="1268" max="1268" width="11.42578125" style="305"/>
    <col min="1269" max="1269" width="2" style="305" customWidth="1"/>
    <col min="1270" max="1509" width="11.42578125" style="305"/>
    <col min="1510" max="1510" width="2.42578125" style="305" customWidth="1"/>
    <col min="1511" max="1511" width="2.140625" style="305" customWidth="1"/>
    <col min="1512" max="1512" width="0.85546875" style="305" customWidth="1"/>
    <col min="1513" max="1514" width="2" style="305" customWidth="1"/>
    <col min="1515" max="1515" width="1.28515625" style="305" customWidth="1"/>
    <col min="1516" max="1516" width="2" style="305" customWidth="1"/>
    <col min="1517" max="1517" width="2.140625" style="305" customWidth="1"/>
    <col min="1518" max="1518" width="1.140625" style="305" customWidth="1"/>
    <col min="1519" max="1519" width="11.42578125" style="305" hidden="1" customWidth="1"/>
    <col min="1520" max="1520" width="2" style="305" customWidth="1"/>
    <col min="1521" max="1521" width="2.140625" style="305" customWidth="1"/>
    <col min="1522" max="1522" width="2" style="305" customWidth="1"/>
    <col min="1523" max="1523" width="2.28515625" style="305" customWidth="1"/>
    <col min="1524" max="1524" width="11.42578125" style="305"/>
    <col min="1525" max="1525" width="2" style="305" customWidth="1"/>
    <col min="1526" max="1765" width="11.42578125" style="305"/>
    <col min="1766" max="1766" width="2.42578125" style="305" customWidth="1"/>
    <col min="1767" max="1767" width="2.140625" style="305" customWidth="1"/>
    <col min="1768" max="1768" width="0.85546875" style="305" customWidth="1"/>
    <col min="1769" max="1770" width="2" style="305" customWidth="1"/>
    <col min="1771" max="1771" width="1.28515625" style="305" customWidth="1"/>
    <col min="1772" max="1772" width="2" style="305" customWidth="1"/>
    <col min="1773" max="1773" width="2.140625" style="305" customWidth="1"/>
    <col min="1774" max="1774" width="1.140625" style="305" customWidth="1"/>
    <col min="1775" max="1775" width="11.42578125" style="305" hidden="1" customWidth="1"/>
    <col min="1776" max="1776" width="2" style="305" customWidth="1"/>
    <col min="1777" max="1777" width="2.140625" style="305" customWidth="1"/>
    <col min="1778" max="1778" width="2" style="305" customWidth="1"/>
    <col min="1779" max="1779" width="2.28515625" style="305" customWidth="1"/>
    <col min="1780" max="1780" width="11.42578125" style="305"/>
    <col min="1781" max="1781" width="2" style="305" customWidth="1"/>
    <col min="1782" max="2021" width="11.42578125" style="305"/>
    <col min="2022" max="2022" width="2.42578125" style="305" customWidth="1"/>
    <col min="2023" max="2023" width="2.140625" style="305" customWidth="1"/>
    <col min="2024" max="2024" width="0.85546875" style="305" customWidth="1"/>
    <col min="2025" max="2026" width="2" style="305" customWidth="1"/>
    <col min="2027" max="2027" width="1.28515625" style="305" customWidth="1"/>
    <col min="2028" max="2028" width="2" style="305" customWidth="1"/>
    <col min="2029" max="2029" width="2.140625" style="305" customWidth="1"/>
    <col min="2030" max="2030" width="1.140625" style="305" customWidth="1"/>
    <col min="2031" max="2031" width="11.42578125" style="305" hidden="1" customWidth="1"/>
    <col min="2032" max="2032" width="2" style="305" customWidth="1"/>
    <col min="2033" max="2033" width="2.140625" style="305" customWidth="1"/>
    <col min="2034" max="2034" width="2" style="305" customWidth="1"/>
    <col min="2035" max="2035" width="2.28515625" style="305" customWidth="1"/>
    <col min="2036" max="2036" width="11.42578125" style="305"/>
    <col min="2037" max="2037" width="2" style="305" customWidth="1"/>
    <col min="2038" max="2277" width="11.42578125" style="305"/>
    <col min="2278" max="2278" width="2.42578125" style="305" customWidth="1"/>
    <col min="2279" max="2279" width="2.140625" style="305" customWidth="1"/>
    <col min="2280" max="2280" width="0.85546875" style="305" customWidth="1"/>
    <col min="2281" max="2282" width="2" style="305" customWidth="1"/>
    <col min="2283" max="2283" width="1.28515625" style="305" customWidth="1"/>
    <col min="2284" max="2284" width="2" style="305" customWidth="1"/>
    <col min="2285" max="2285" width="2.140625" style="305" customWidth="1"/>
    <col min="2286" max="2286" width="1.140625" style="305" customWidth="1"/>
    <col min="2287" max="2287" width="11.42578125" style="305" hidden="1" customWidth="1"/>
    <col min="2288" max="2288" width="2" style="305" customWidth="1"/>
    <col min="2289" max="2289" width="2.140625" style="305" customWidth="1"/>
    <col min="2290" max="2290" width="2" style="305" customWidth="1"/>
    <col min="2291" max="2291" width="2.28515625" style="305" customWidth="1"/>
    <col min="2292" max="2292" width="11.42578125" style="305"/>
    <col min="2293" max="2293" width="2" style="305" customWidth="1"/>
    <col min="2294" max="2533" width="11.42578125" style="305"/>
    <col min="2534" max="2534" width="2.42578125" style="305" customWidth="1"/>
    <col min="2535" max="2535" width="2.140625" style="305" customWidth="1"/>
    <col min="2536" max="2536" width="0.85546875" style="305" customWidth="1"/>
    <col min="2537" max="2538" width="2" style="305" customWidth="1"/>
    <col min="2539" max="2539" width="1.28515625" style="305" customWidth="1"/>
    <col min="2540" max="2540" width="2" style="305" customWidth="1"/>
    <col min="2541" max="2541" width="2.140625" style="305" customWidth="1"/>
    <col min="2542" max="2542" width="1.140625" style="305" customWidth="1"/>
    <col min="2543" max="2543" width="11.42578125" style="305" hidden="1" customWidth="1"/>
    <col min="2544" max="2544" width="2" style="305" customWidth="1"/>
    <col min="2545" max="2545" width="2.140625" style="305" customWidth="1"/>
    <col min="2546" max="2546" width="2" style="305" customWidth="1"/>
    <col min="2547" max="2547" width="2.28515625" style="305" customWidth="1"/>
    <col min="2548" max="2548" width="11.42578125" style="305"/>
    <col min="2549" max="2549" width="2" style="305" customWidth="1"/>
    <col min="2550" max="2789" width="11.42578125" style="305"/>
    <col min="2790" max="2790" width="2.42578125" style="305" customWidth="1"/>
    <col min="2791" max="2791" width="2.140625" style="305" customWidth="1"/>
    <col min="2792" max="2792" width="0.85546875" style="305" customWidth="1"/>
    <col min="2793" max="2794" width="2" style="305" customWidth="1"/>
    <col min="2795" max="2795" width="1.28515625" style="305" customWidth="1"/>
    <col min="2796" max="2796" width="2" style="305" customWidth="1"/>
    <col min="2797" max="2797" width="2.140625" style="305" customWidth="1"/>
    <col min="2798" max="2798" width="1.140625" style="305" customWidth="1"/>
    <col min="2799" max="2799" width="11.42578125" style="305" hidden="1" customWidth="1"/>
    <col min="2800" max="2800" width="2" style="305" customWidth="1"/>
    <col min="2801" max="2801" width="2.140625" style="305" customWidth="1"/>
    <col min="2802" max="2802" width="2" style="305" customWidth="1"/>
    <col min="2803" max="2803" width="2.28515625" style="305" customWidth="1"/>
    <col min="2804" max="2804" width="11.42578125" style="305"/>
    <col min="2805" max="2805" width="2" style="305" customWidth="1"/>
    <col min="2806" max="3045" width="11.42578125" style="305"/>
    <col min="3046" max="3046" width="2.42578125" style="305" customWidth="1"/>
    <col min="3047" max="3047" width="2.140625" style="305" customWidth="1"/>
    <col min="3048" max="3048" width="0.85546875" style="305" customWidth="1"/>
    <col min="3049" max="3050" width="2" style="305" customWidth="1"/>
    <col min="3051" max="3051" width="1.28515625" style="305" customWidth="1"/>
    <col min="3052" max="3052" width="2" style="305" customWidth="1"/>
    <col min="3053" max="3053" width="2.140625" style="305" customWidth="1"/>
    <col min="3054" max="3054" width="1.140625" style="305" customWidth="1"/>
    <col min="3055" max="3055" width="11.42578125" style="305" hidden="1" customWidth="1"/>
    <col min="3056" max="3056" width="2" style="305" customWidth="1"/>
    <col min="3057" max="3057" width="2.140625" style="305" customWidth="1"/>
    <col min="3058" max="3058" width="2" style="305" customWidth="1"/>
    <col min="3059" max="3059" width="2.28515625" style="305" customWidth="1"/>
    <col min="3060" max="3060" width="11.42578125" style="305"/>
    <col min="3061" max="3061" width="2" style="305" customWidth="1"/>
    <col min="3062" max="3301" width="11.42578125" style="305"/>
    <col min="3302" max="3302" width="2.42578125" style="305" customWidth="1"/>
    <col min="3303" max="3303" width="2.140625" style="305" customWidth="1"/>
    <col min="3304" max="3304" width="0.85546875" style="305" customWidth="1"/>
    <col min="3305" max="3306" width="2" style="305" customWidth="1"/>
    <col min="3307" max="3307" width="1.28515625" style="305" customWidth="1"/>
    <col min="3308" max="3308" width="2" style="305" customWidth="1"/>
    <col min="3309" max="3309" width="2.140625" style="305" customWidth="1"/>
    <col min="3310" max="3310" width="1.140625" style="305" customWidth="1"/>
    <col min="3311" max="3311" width="11.42578125" style="305" hidden="1" customWidth="1"/>
    <col min="3312" max="3312" width="2" style="305" customWidth="1"/>
    <col min="3313" max="3313" width="2.140625" style="305" customWidth="1"/>
    <col min="3314" max="3314" width="2" style="305" customWidth="1"/>
    <col min="3315" max="3315" width="2.28515625" style="305" customWidth="1"/>
    <col min="3316" max="3316" width="11.42578125" style="305"/>
    <col min="3317" max="3317" width="2" style="305" customWidth="1"/>
    <col min="3318" max="3557" width="11.42578125" style="305"/>
    <col min="3558" max="3558" width="2.42578125" style="305" customWidth="1"/>
    <col min="3559" max="3559" width="2.140625" style="305" customWidth="1"/>
    <col min="3560" max="3560" width="0.85546875" style="305" customWidth="1"/>
    <col min="3561" max="3562" width="2" style="305" customWidth="1"/>
    <col min="3563" max="3563" width="1.28515625" style="305" customWidth="1"/>
    <col min="3564" max="3564" width="2" style="305" customWidth="1"/>
    <col min="3565" max="3565" width="2.140625" style="305" customWidth="1"/>
    <col min="3566" max="3566" width="1.140625" style="305" customWidth="1"/>
    <col min="3567" max="3567" width="11.42578125" style="305" hidden="1" customWidth="1"/>
    <col min="3568" max="3568" width="2" style="305" customWidth="1"/>
    <col min="3569" max="3569" width="2.140625" style="305" customWidth="1"/>
    <col min="3570" max="3570" width="2" style="305" customWidth="1"/>
    <col min="3571" max="3571" width="2.28515625" style="305" customWidth="1"/>
    <col min="3572" max="3572" width="11.42578125" style="305"/>
    <col min="3573" max="3573" width="2" style="305" customWidth="1"/>
    <col min="3574" max="3813" width="11.42578125" style="305"/>
    <col min="3814" max="3814" width="2.42578125" style="305" customWidth="1"/>
    <col min="3815" max="3815" width="2.140625" style="305" customWidth="1"/>
    <col min="3816" max="3816" width="0.85546875" style="305" customWidth="1"/>
    <col min="3817" max="3818" width="2" style="305" customWidth="1"/>
    <col min="3819" max="3819" width="1.28515625" style="305" customWidth="1"/>
    <col min="3820" max="3820" width="2" style="305" customWidth="1"/>
    <col min="3821" max="3821" width="2.140625" style="305" customWidth="1"/>
    <col min="3822" max="3822" width="1.140625" style="305" customWidth="1"/>
    <col min="3823" max="3823" width="11.42578125" style="305" hidden="1" customWidth="1"/>
    <col min="3824" max="3824" width="2" style="305" customWidth="1"/>
    <col min="3825" max="3825" width="2.140625" style="305" customWidth="1"/>
    <col min="3826" max="3826" width="2" style="305" customWidth="1"/>
    <col min="3827" max="3827" width="2.28515625" style="305" customWidth="1"/>
    <col min="3828" max="3828" width="11.42578125" style="305"/>
    <col min="3829" max="3829" width="2" style="305" customWidth="1"/>
    <col min="3830" max="4069" width="11.42578125" style="305"/>
    <col min="4070" max="4070" width="2.42578125" style="305" customWidth="1"/>
    <col min="4071" max="4071" width="2.140625" style="305" customWidth="1"/>
    <col min="4072" max="4072" width="0.85546875" style="305" customWidth="1"/>
    <col min="4073" max="4074" width="2" style="305" customWidth="1"/>
    <col min="4075" max="4075" width="1.28515625" style="305" customWidth="1"/>
    <col min="4076" max="4076" width="2" style="305" customWidth="1"/>
    <col min="4077" max="4077" width="2.140625" style="305" customWidth="1"/>
    <col min="4078" max="4078" width="1.140625" style="305" customWidth="1"/>
    <col min="4079" max="4079" width="11.42578125" style="305" hidden="1" customWidth="1"/>
    <col min="4080" max="4080" width="2" style="305" customWidth="1"/>
    <col min="4081" max="4081" width="2.140625" style="305" customWidth="1"/>
    <col min="4082" max="4082" width="2" style="305" customWidth="1"/>
    <col min="4083" max="4083" width="2.28515625" style="305" customWidth="1"/>
    <col min="4084" max="4084" width="11.42578125" style="305"/>
    <col min="4085" max="4085" width="2" style="305" customWidth="1"/>
    <col min="4086" max="4325" width="11.42578125" style="305"/>
    <col min="4326" max="4326" width="2.42578125" style="305" customWidth="1"/>
    <col min="4327" max="4327" width="2.140625" style="305" customWidth="1"/>
    <col min="4328" max="4328" width="0.85546875" style="305" customWidth="1"/>
    <col min="4329" max="4330" width="2" style="305" customWidth="1"/>
    <col min="4331" max="4331" width="1.28515625" style="305" customWidth="1"/>
    <col min="4332" max="4332" width="2" style="305" customWidth="1"/>
    <col min="4333" max="4333" width="2.140625" style="305" customWidth="1"/>
    <col min="4334" max="4334" width="1.140625" style="305" customWidth="1"/>
    <col min="4335" max="4335" width="11.42578125" style="305" hidden="1" customWidth="1"/>
    <col min="4336" max="4336" width="2" style="305" customWidth="1"/>
    <col min="4337" max="4337" width="2.140625" style="305" customWidth="1"/>
    <col min="4338" max="4338" width="2" style="305" customWidth="1"/>
    <col min="4339" max="4339" width="2.28515625" style="305" customWidth="1"/>
    <col min="4340" max="4340" width="11.42578125" style="305"/>
    <col min="4341" max="4341" width="2" style="305" customWidth="1"/>
    <col min="4342" max="4581" width="11.42578125" style="305"/>
    <col min="4582" max="4582" width="2.42578125" style="305" customWidth="1"/>
    <col min="4583" max="4583" width="2.140625" style="305" customWidth="1"/>
    <col min="4584" max="4584" width="0.85546875" style="305" customWidth="1"/>
    <col min="4585" max="4586" width="2" style="305" customWidth="1"/>
    <col min="4587" max="4587" width="1.28515625" style="305" customWidth="1"/>
    <col min="4588" max="4588" width="2" style="305" customWidth="1"/>
    <col min="4589" max="4589" width="2.140625" style="305" customWidth="1"/>
    <col min="4590" max="4590" width="1.140625" style="305" customWidth="1"/>
    <col min="4591" max="4591" width="11.42578125" style="305" hidden="1" customWidth="1"/>
    <col min="4592" max="4592" width="2" style="305" customWidth="1"/>
    <col min="4593" max="4593" width="2.140625" style="305" customWidth="1"/>
    <col min="4594" max="4594" width="2" style="305" customWidth="1"/>
    <col min="4595" max="4595" width="2.28515625" style="305" customWidth="1"/>
    <col min="4596" max="4596" width="11.42578125" style="305"/>
    <col min="4597" max="4597" width="2" style="305" customWidth="1"/>
    <col min="4598" max="4837" width="11.42578125" style="305"/>
    <col min="4838" max="4838" width="2.42578125" style="305" customWidth="1"/>
    <col min="4839" max="4839" width="2.140625" style="305" customWidth="1"/>
    <col min="4840" max="4840" width="0.85546875" style="305" customWidth="1"/>
    <col min="4841" max="4842" width="2" style="305" customWidth="1"/>
    <col min="4843" max="4843" width="1.28515625" style="305" customWidth="1"/>
    <col min="4844" max="4844" width="2" style="305" customWidth="1"/>
    <col min="4845" max="4845" width="2.140625" style="305" customWidth="1"/>
    <col min="4846" max="4846" width="1.140625" style="305" customWidth="1"/>
    <col min="4847" max="4847" width="11.42578125" style="305" hidden="1" customWidth="1"/>
    <col min="4848" max="4848" width="2" style="305" customWidth="1"/>
    <col min="4849" max="4849" width="2.140625" style="305" customWidth="1"/>
    <col min="4850" max="4850" width="2" style="305" customWidth="1"/>
    <col min="4851" max="4851" width="2.28515625" style="305" customWidth="1"/>
    <col min="4852" max="4852" width="11.42578125" style="305"/>
    <col min="4853" max="4853" width="2" style="305" customWidth="1"/>
    <col min="4854" max="5093" width="11.42578125" style="305"/>
    <col min="5094" max="5094" width="2.42578125" style="305" customWidth="1"/>
    <col min="5095" max="5095" width="2.140625" style="305" customWidth="1"/>
    <col min="5096" max="5096" width="0.85546875" style="305" customWidth="1"/>
    <col min="5097" max="5098" width="2" style="305" customWidth="1"/>
    <col min="5099" max="5099" width="1.28515625" style="305" customWidth="1"/>
    <col min="5100" max="5100" width="2" style="305" customWidth="1"/>
    <col min="5101" max="5101" width="2.140625" style="305" customWidth="1"/>
    <col min="5102" max="5102" width="1.140625" style="305" customWidth="1"/>
    <col min="5103" max="5103" width="11.42578125" style="305" hidden="1" customWidth="1"/>
    <col min="5104" max="5104" width="2" style="305" customWidth="1"/>
    <col min="5105" max="5105" width="2.140625" style="305" customWidth="1"/>
    <col min="5106" max="5106" width="2" style="305" customWidth="1"/>
    <col min="5107" max="5107" width="2.28515625" style="305" customWidth="1"/>
    <col min="5108" max="5108" width="11.42578125" style="305"/>
    <col min="5109" max="5109" width="2" style="305" customWidth="1"/>
    <col min="5110" max="5349" width="11.42578125" style="305"/>
    <col min="5350" max="5350" width="2.42578125" style="305" customWidth="1"/>
    <col min="5351" max="5351" width="2.140625" style="305" customWidth="1"/>
    <col min="5352" max="5352" width="0.85546875" style="305" customWidth="1"/>
    <col min="5353" max="5354" width="2" style="305" customWidth="1"/>
    <col min="5355" max="5355" width="1.28515625" style="305" customWidth="1"/>
    <col min="5356" max="5356" width="2" style="305" customWidth="1"/>
    <col min="5357" max="5357" width="2.140625" style="305" customWidth="1"/>
    <col min="5358" max="5358" width="1.140625" style="305" customWidth="1"/>
    <col min="5359" max="5359" width="11.42578125" style="305" hidden="1" customWidth="1"/>
    <col min="5360" max="5360" width="2" style="305" customWidth="1"/>
    <col min="5361" max="5361" width="2.140625" style="305" customWidth="1"/>
    <col min="5362" max="5362" width="2" style="305" customWidth="1"/>
    <col min="5363" max="5363" width="2.28515625" style="305" customWidth="1"/>
    <col min="5364" max="5364" width="11.42578125" style="305"/>
    <col min="5365" max="5365" width="2" style="305" customWidth="1"/>
    <col min="5366" max="5605" width="11.42578125" style="305"/>
    <col min="5606" max="5606" width="2.42578125" style="305" customWidth="1"/>
    <col min="5607" max="5607" width="2.140625" style="305" customWidth="1"/>
    <col min="5608" max="5608" width="0.85546875" style="305" customWidth="1"/>
    <col min="5609" max="5610" width="2" style="305" customWidth="1"/>
    <col min="5611" max="5611" width="1.28515625" style="305" customWidth="1"/>
    <col min="5612" max="5612" width="2" style="305" customWidth="1"/>
    <col min="5613" max="5613" width="2.140625" style="305" customWidth="1"/>
    <col min="5614" max="5614" width="1.140625" style="305" customWidth="1"/>
    <col min="5615" max="5615" width="11.42578125" style="305" hidden="1" customWidth="1"/>
    <col min="5616" max="5616" width="2" style="305" customWidth="1"/>
    <col min="5617" max="5617" width="2.140625" style="305" customWidth="1"/>
    <col min="5618" max="5618" width="2" style="305" customWidth="1"/>
    <col min="5619" max="5619" width="2.28515625" style="305" customWidth="1"/>
    <col min="5620" max="5620" width="11.42578125" style="305"/>
    <col min="5621" max="5621" width="2" style="305" customWidth="1"/>
    <col min="5622" max="5861" width="11.42578125" style="305"/>
    <col min="5862" max="5862" width="2.42578125" style="305" customWidth="1"/>
    <col min="5863" max="5863" width="2.140625" style="305" customWidth="1"/>
    <col min="5864" max="5864" width="0.85546875" style="305" customWidth="1"/>
    <col min="5865" max="5866" width="2" style="305" customWidth="1"/>
    <col min="5867" max="5867" width="1.28515625" style="305" customWidth="1"/>
    <col min="5868" max="5868" width="2" style="305" customWidth="1"/>
    <col min="5869" max="5869" width="2.140625" style="305" customWidth="1"/>
    <col min="5870" max="5870" width="1.140625" style="305" customWidth="1"/>
    <col min="5871" max="5871" width="11.42578125" style="305" hidden="1" customWidth="1"/>
    <col min="5872" max="5872" width="2" style="305" customWidth="1"/>
    <col min="5873" max="5873" width="2.140625" style="305" customWidth="1"/>
    <col min="5874" max="5874" width="2" style="305" customWidth="1"/>
    <col min="5875" max="5875" width="2.28515625" style="305" customWidth="1"/>
    <col min="5876" max="5876" width="11.42578125" style="305"/>
    <col min="5877" max="5877" width="2" style="305" customWidth="1"/>
    <col min="5878" max="6117" width="11.42578125" style="305"/>
    <col min="6118" max="6118" width="2.42578125" style="305" customWidth="1"/>
    <col min="6119" max="6119" width="2.140625" style="305" customWidth="1"/>
    <col min="6120" max="6120" width="0.85546875" style="305" customWidth="1"/>
    <col min="6121" max="6122" width="2" style="305" customWidth="1"/>
    <col min="6123" max="6123" width="1.28515625" style="305" customWidth="1"/>
    <col min="6124" max="6124" width="2" style="305" customWidth="1"/>
    <col min="6125" max="6125" width="2.140625" style="305" customWidth="1"/>
    <col min="6126" max="6126" width="1.140625" style="305" customWidth="1"/>
    <col min="6127" max="6127" width="11.42578125" style="305" hidden="1" customWidth="1"/>
    <col min="6128" max="6128" width="2" style="305" customWidth="1"/>
    <col min="6129" max="6129" width="2.140625" style="305" customWidth="1"/>
    <col min="6130" max="6130" width="2" style="305" customWidth="1"/>
    <col min="6131" max="6131" width="2.28515625" style="305" customWidth="1"/>
    <col min="6132" max="6132" width="11.42578125" style="305"/>
    <col min="6133" max="6133" width="2" style="305" customWidth="1"/>
    <col min="6134" max="6373" width="11.42578125" style="305"/>
    <col min="6374" max="6374" width="2.42578125" style="305" customWidth="1"/>
    <col min="6375" max="6375" width="2.140625" style="305" customWidth="1"/>
    <col min="6376" max="6376" width="0.85546875" style="305" customWidth="1"/>
    <col min="6377" max="6378" width="2" style="305" customWidth="1"/>
    <col min="6379" max="6379" width="1.28515625" style="305" customWidth="1"/>
    <col min="6380" max="6380" width="2" style="305" customWidth="1"/>
    <col min="6381" max="6381" width="2.140625" style="305" customWidth="1"/>
    <col min="6382" max="6382" width="1.140625" style="305" customWidth="1"/>
    <col min="6383" max="6383" width="11.42578125" style="305" hidden="1" customWidth="1"/>
    <col min="6384" max="6384" width="2" style="305" customWidth="1"/>
    <col min="6385" max="6385" width="2.140625" style="305" customWidth="1"/>
    <col min="6386" max="6386" width="2" style="305" customWidth="1"/>
    <col min="6387" max="6387" width="2.28515625" style="305" customWidth="1"/>
    <col min="6388" max="6388" width="11.42578125" style="305"/>
    <col min="6389" max="6389" width="2" style="305" customWidth="1"/>
    <col min="6390" max="6629" width="11.42578125" style="305"/>
    <col min="6630" max="6630" width="2.42578125" style="305" customWidth="1"/>
    <col min="6631" max="6631" width="2.140625" style="305" customWidth="1"/>
    <col min="6632" max="6632" width="0.85546875" style="305" customWidth="1"/>
    <col min="6633" max="6634" width="2" style="305" customWidth="1"/>
    <col min="6635" max="6635" width="1.28515625" style="305" customWidth="1"/>
    <col min="6636" max="6636" width="2" style="305" customWidth="1"/>
    <col min="6637" max="6637" width="2.140625" style="305" customWidth="1"/>
    <col min="6638" max="6638" width="1.140625" style="305" customWidth="1"/>
    <col min="6639" max="6639" width="11.42578125" style="305" hidden="1" customWidth="1"/>
    <col min="6640" max="6640" width="2" style="305" customWidth="1"/>
    <col min="6641" max="6641" width="2.140625" style="305" customWidth="1"/>
    <col min="6642" max="6642" width="2" style="305" customWidth="1"/>
    <col min="6643" max="6643" width="2.28515625" style="305" customWidth="1"/>
    <col min="6644" max="6644" width="11.42578125" style="305"/>
    <col min="6645" max="6645" width="2" style="305" customWidth="1"/>
    <col min="6646" max="6885" width="11.42578125" style="305"/>
    <col min="6886" max="6886" width="2.42578125" style="305" customWidth="1"/>
    <col min="6887" max="6887" width="2.140625" style="305" customWidth="1"/>
    <col min="6888" max="6888" width="0.85546875" style="305" customWidth="1"/>
    <col min="6889" max="6890" width="2" style="305" customWidth="1"/>
    <col min="6891" max="6891" width="1.28515625" style="305" customWidth="1"/>
    <col min="6892" max="6892" width="2" style="305" customWidth="1"/>
    <col min="6893" max="6893" width="2.140625" style="305" customWidth="1"/>
    <col min="6894" max="6894" width="1.140625" style="305" customWidth="1"/>
    <col min="6895" max="6895" width="11.42578125" style="305" hidden="1" customWidth="1"/>
    <col min="6896" max="6896" width="2" style="305" customWidth="1"/>
    <col min="6897" max="6897" width="2.140625" style="305" customWidth="1"/>
    <col min="6898" max="6898" width="2" style="305" customWidth="1"/>
    <col min="6899" max="6899" width="2.28515625" style="305" customWidth="1"/>
    <col min="6900" max="6900" width="11.42578125" style="305"/>
    <col min="6901" max="6901" width="2" style="305" customWidth="1"/>
    <col min="6902" max="7141" width="11.42578125" style="305"/>
    <col min="7142" max="7142" width="2.42578125" style="305" customWidth="1"/>
    <col min="7143" max="7143" width="2.140625" style="305" customWidth="1"/>
    <col min="7144" max="7144" width="0.85546875" style="305" customWidth="1"/>
    <col min="7145" max="7146" width="2" style="305" customWidth="1"/>
    <col min="7147" max="7147" width="1.28515625" style="305" customWidth="1"/>
    <col min="7148" max="7148" width="2" style="305" customWidth="1"/>
    <col min="7149" max="7149" width="2.140625" style="305" customWidth="1"/>
    <col min="7150" max="7150" width="1.140625" style="305" customWidth="1"/>
    <col min="7151" max="7151" width="11.42578125" style="305" hidden="1" customWidth="1"/>
    <col min="7152" max="7152" width="2" style="305" customWidth="1"/>
    <col min="7153" max="7153" width="2.140625" style="305" customWidth="1"/>
    <col min="7154" max="7154" width="2" style="305" customWidth="1"/>
    <col min="7155" max="7155" width="2.28515625" style="305" customWidth="1"/>
    <col min="7156" max="7156" width="11.42578125" style="305"/>
    <col min="7157" max="7157" width="2" style="305" customWidth="1"/>
    <col min="7158" max="7397" width="11.42578125" style="305"/>
    <col min="7398" max="7398" width="2.42578125" style="305" customWidth="1"/>
    <col min="7399" max="7399" width="2.140625" style="305" customWidth="1"/>
    <col min="7400" max="7400" width="0.85546875" style="305" customWidth="1"/>
    <col min="7401" max="7402" width="2" style="305" customWidth="1"/>
    <col min="7403" max="7403" width="1.28515625" style="305" customWidth="1"/>
    <col min="7404" max="7404" width="2" style="305" customWidth="1"/>
    <col min="7405" max="7405" width="2.140625" style="305" customWidth="1"/>
    <col min="7406" max="7406" width="1.140625" style="305" customWidth="1"/>
    <col min="7407" max="7407" width="11.42578125" style="305" hidden="1" customWidth="1"/>
    <col min="7408" max="7408" width="2" style="305" customWidth="1"/>
    <col min="7409" max="7409" width="2.140625" style="305" customWidth="1"/>
    <col min="7410" max="7410" width="2" style="305" customWidth="1"/>
    <col min="7411" max="7411" width="2.28515625" style="305" customWidth="1"/>
    <col min="7412" max="7412" width="11.42578125" style="305"/>
    <col min="7413" max="7413" width="2" style="305" customWidth="1"/>
    <col min="7414" max="7653" width="11.42578125" style="305"/>
    <col min="7654" max="7654" width="2.42578125" style="305" customWidth="1"/>
    <col min="7655" max="7655" width="2.140625" style="305" customWidth="1"/>
    <col min="7656" max="7656" width="0.85546875" style="305" customWidth="1"/>
    <col min="7657" max="7658" width="2" style="305" customWidth="1"/>
    <col min="7659" max="7659" width="1.28515625" style="305" customWidth="1"/>
    <col min="7660" max="7660" width="2" style="305" customWidth="1"/>
    <col min="7661" max="7661" width="2.140625" style="305" customWidth="1"/>
    <col min="7662" max="7662" width="1.140625" style="305" customWidth="1"/>
    <col min="7663" max="7663" width="11.42578125" style="305" hidden="1" customWidth="1"/>
    <col min="7664" max="7664" width="2" style="305" customWidth="1"/>
    <col min="7665" max="7665" width="2.140625" style="305" customWidth="1"/>
    <col min="7666" max="7666" width="2" style="305" customWidth="1"/>
    <col min="7667" max="7667" width="2.28515625" style="305" customWidth="1"/>
    <col min="7668" max="7668" width="11.42578125" style="305"/>
    <col min="7669" max="7669" width="2" style="305" customWidth="1"/>
    <col min="7670" max="7909" width="11.42578125" style="305"/>
    <col min="7910" max="7910" width="2.42578125" style="305" customWidth="1"/>
    <col min="7911" max="7911" width="2.140625" style="305" customWidth="1"/>
    <col min="7912" max="7912" width="0.85546875" style="305" customWidth="1"/>
    <col min="7913" max="7914" width="2" style="305" customWidth="1"/>
    <col min="7915" max="7915" width="1.28515625" style="305" customWidth="1"/>
    <col min="7916" max="7916" width="2" style="305" customWidth="1"/>
    <col min="7917" max="7917" width="2.140625" style="305" customWidth="1"/>
    <col min="7918" max="7918" width="1.140625" style="305" customWidth="1"/>
    <col min="7919" max="7919" width="11.42578125" style="305" hidden="1" customWidth="1"/>
    <col min="7920" max="7920" width="2" style="305" customWidth="1"/>
    <col min="7921" max="7921" width="2.140625" style="305" customWidth="1"/>
    <col min="7922" max="7922" width="2" style="305" customWidth="1"/>
    <col min="7923" max="7923" width="2.28515625" style="305" customWidth="1"/>
    <col min="7924" max="7924" width="11.42578125" style="305"/>
    <col min="7925" max="7925" width="2" style="305" customWidth="1"/>
    <col min="7926" max="8165" width="11.42578125" style="305"/>
    <col min="8166" max="8166" width="2.42578125" style="305" customWidth="1"/>
    <col min="8167" max="8167" width="2.140625" style="305" customWidth="1"/>
    <col min="8168" max="8168" width="0.85546875" style="305" customWidth="1"/>
    <col min="8169" max="8170" width="2" style="305" customWidth="1"/>
    <col min="8171" max="8171" width="1.28515625" style="305" customWidth="1"/>
    <col min="8172" max="8172" width="2" style="305" customWidth="1"/>
    <col min="8173" max="8173" width="2.140625" style="305" customWidth="1"/>
    <col min="8174" max="8174" width="1.140625" style="305" customWidth="1"/>
    <col min="8175" max="8175" width="11.42578125" style="305" hidden="1" customWidth="1"/>
    <col min="8176" max="8176" width="2" style="305" customWidth="1"/>
    <col min="8177" max="8177" width="2.140625" style="305" customWidth="1"/>
    <col min="8178" max="8178" width="2" style="305" customWidth="1"/>
    <col min="8179" max="8179" width="2.28515625" style="305" customWidth="1"/>
    <col min="8180" max="8180" width="11.42578125" style="305"/>
    <col min="8181" max="8181" width="2" style="305" customWidth="1"/>
    <col min="8182" max="8421" width="11.42578125" style="305"/>
    <col min="8422" max="8422" width="2.42578125" style="305" customWidth="1"/>
    <col min="8423" max="8423" width="2.140625" style="305" customWidth="1"/>
    <col min="8424" max="8424" width="0.85546875" style="305" customWidth="1"/>
    <col min="8425" max="8426" width="2" style="305" customWidth="1"/>
    <col min="8427" max="8427" width="1.28515625" style="305" customWidth="1"/>
    <col min="8428" max="8428" width="2" style="305" customWidth="1"/>
    <col min="8429" max="8429" width="2.140625" style="305" customWidth="1"/>
    <col min="8430" max="8430" width="1.140625" style="305" customWidth="1"/>
    <col min="8431" max="8431" width="11.42578125" style="305" hidden="1" customWidth="1"/>
    <col min="8432" max="8432" width="2" style="305" customWidth="1"/>
    <col min="8433" max="8433" width="2.140625" style="305" customWidth="1"/>
    <col min="8434" max="8434" width="2" style="305" customWidth="1"/>
    <col min="8435" max="8435" width="2.28515625" style="305" customWidth="1"/>
    <col min="8436" max="8436" width="11.42578125" style="305"/>
    <col min="8437" max="8437" width="2" style="305" customWidth="1"/>
    <col min="8438" max="8677" width="11.42578125" style="305"/>
    <col min="8678" max="8678" width="2.42578125" style="305" customWidth="1"/>
    <col min="8679" max="8679" width="2.140625" style="305" customWidth="1"/>
    <col min="8680" max="8680" width="0.85546875" style="305" customWidth="1"/>
    <col min="8681" max="8682" width="2" style="305" customWidth="1"/>
    <col min="8683" max="8683" width="1.28515625" style="305" customWidth="1"/>
    <col min="8684" max="8684" width="2" style="305" customWidth="1"/>
    <col min="8685" max="8685" width="2.140625" style="305" customWidth="1"/>
    <col min="8686" max="8686" width="1.140625" style="305" customWidth="1"/>
    <col min="8687" max="8687" width="11.42578125" style="305" hidden="1" customWidth="1"/>
    <col min="8688" max="8688" width="2" style="305" customWidth="1"/>
    <col min="8689" max="8689" width="2.140625" style="305" customWidth="1"/>
    <col min="8690" max="8690" width="2" style="305" customWidth="1"/>
    <col min="8691" max="8691" width="2.28515625" style="305" customWidth="1"/>
    <col min="8692" max="8692" width="11.42578125" style="305"/>
    <col min="8693" max="8693" width="2" style="305" customWidth="1"/>
    <col min="8694" max="8933" width="11.42578125" style="305"/>
    <col min="8934" max="8934" width="2.42578125" style="305" customWidth="1"/>
    <col min="8935" max="8935" width="2.140625" style="305" customWidth="1"/>
    <col min="8936" max="8936" width="0.85546875" style="305" customWidth="1"/>
    <col min="8937" max="8938" width="2" style="305" customWidth="1"/>
    <col min="8939" max="8939" width="1.28515625" style="305" customWidth="1"/>
    <col min="8940" max="8940" width="2" style="305" customWidth="1"/>
    <col min="8941" max="8941" width="2.140625" style="305" customWidth="1"/>
    <col min="8942" max="8942" width="1.140625" style="305" customWidth="1"/>
    <col min="8943" max="8943" width="11.42578125" style="305" hidden="1" customWidth="1"/>
    <col min="8944" max="8944" width="2" style="305" customWidth="1"/>
    <col min="8945" max="8945" width="2.140625" style="305" customWidth="1"/>
    <col min="8946" max="8946" width="2" style="305" customWidth="1"/>
    <col min="8947" max="8947" width="2.28515625" style="305" customWidth="1"/>
    <col min="8948" max="8948" width="11.42578125" style="305"/>
    <col min="8949" max="8949" width="2" style="305" customWidth="1"/>
    <col min="8950" max="9189" width="11.42578125" style="305"/>
    <col min="9190" max="9190" width="2.42578125" style="305" customWidth="1"/>
    <col min="9191" max="9191" width="2.140625" style="305" customWidth="1"/>
    <col min="9192" max="9192" width="0.85546875" style="305" customWidth="1"/>
    <col min="9193" max="9194" width="2" style="305" customWidth="1"/>
    <col min="9195" max="9195" width="1.28515625" style="305" customWidth="1"/>
    <col min="9196" max="9196" width="2" style="305" customWidth="1"/>
    <col min="9197" max="9197" width="2.140625" style="305" customWidth="1"/>
    <col min="9198" max="9198" width="1.140625" style="305" customWidth="1"/>
    <col min="9199" max="9199" width="11.42578125" style="305" hidden="1" customWidth="1"/>
    <col min="9200" max="9200" width="2" style="305" customWidth="1"/>
    <col min="9201" max="9201" width="2.140625" style="305" customWidth="1"/>
    <col min="9202" max="9202" width="2" style="305" customWidth="1"/>
    <col min="9203" max="9203" width="2.28515625" style="305" customWidth="1"/>
    <col min="9204" max="9204" width="11.42578125" style="305"/>
    <col min="9205" max="9205" width="2" style="305" customWidth="1"/>
    <col min="9206" max="9445" width="11.42578125" style="305"/>
    <col min="9446" max="9446" width="2.42578125" style="305" customWidth="1"/>
    <col min="9447" max="9447" width="2.140625" style="305" customWidth="1"/>
    <col min="9448" max="9448" width="0.85546875" style="305" customWidth="1"/>
    <col min="9449" max="9450" width="2" style="305" customWidth="1"/>
    <col min="9451" max="9451" width="1.28515625" style="305" customWidth="1"/>
    <col min="9452" max="9452" width="2" style="305" customWidth="1"/>
    <col min="9453" max="9453" width="2.140625" style="305" customWidth="1"/>
    <col min="9454" max="9454" width="1.140625" style="305" customWidth="1"/>
    <col min="9455" max="9455" width="11.42578125" style="305" hidden="1" customWidth="1"/>
    <col min="9456" max="9456" width="2" style="305" customWidth="1"/>
    <col min="9457" max="9457" width="2.140625" style="305" customWidth="1"/>
    <col min="9458" max="9458" width="2" style="305" customWidth="1"/>
    <col min="9459" max="9459" width="2.28515625" style="305" customWidth="1"/>
    <col min="9460" max="9460" width="11.42578125" style="305"/>
    <col min="9461" max="9461" width="2" style="305" customWidth="1"/>
    <col min="9462" max="9701" width="11.42578125" style="305"/>
    <col min="9702" max="9702" width="2.42578125" style="305" customWidth="1"/>
    <col min="9703" max="9703" width="2.140625" style="305" customWidth="1"/>
    <col min="9704" max="9704" width="0.85546875" style="305" customWidth="1"/>
    <col min="9705" max="9706" width="2" style="305" customWidth="1"/>
    <col min="9707" max="9707" width="1.28515625" style="305" customWidth="1"/>
    <col min="9708" max="9708" width="2" style="305" customWidth="1"/>
    <col min="9709" max="9709" width="2.140625" style="305" customWidth="1"/>
    <col min="9710" max="9710" width="1.140625" style="305" customWidth="1"/>
    <col min="9711" max="9711" width="11.42578125" style="305" hidden="1" customWidth="1"/>
    <col min="9712" max="9712" width="2" style="305" customWidth="1"/>
    <col min="9713" max="9713" width="2.140625" style="305" customWidth="1"/>
    <col min="9714" max="9714" width="2" style="305" customWidth="1"/>
    <col min="9715" max="9715" width="2.28515625" style="305" customWidth="1"/>
    <col min="9716" max="9716" width="11.42578125" style="305"/>
    <col min="9717" max="9717" width="2" style="305" customWidth="1"/>
    <col min="9718" max="9957" width="11.42578125" style="305"/>
    <col min="9958" max="9958" width="2.42578125" style="305" customWidth="1"/>
    <col min="9959" max="9959" width="2.140625" style="305" customWidth="1"/>
    <col min="9960" max="9960" width="0.85546875" style="305" customWidth="1"/>
    <col min="9961" max="9962" width="2" style="305" customWidth="1"/>
    <col min="9963" max="9963" width="1.28515625" style="305" customWidth="1"/>
    <col min="9964" max="9964" width="2" style="305" customWidth="1"/>
    <col min="9965" max="9965" width="2.140625" style="305" customWidth="1"/>
    <col min="9966" max="9966" width="1.140625" style="305" customWidth="1"/>
    <col min="9967" max="9967" width="11.42578125" style="305" hidden="1" customWidth="1"/>
    <col min="9968" max="9968" width="2" style="305" customWidth="1"/>
    <col min="9969" max="9969" width="2.140625" style="305" customWidth="1"/>
    <col min="9970" max="9970" width="2" style="305" customWidth="1"/>
    <col min="9971" max="9971" width="2.28515625" style="305" customWidth="1"/>
    <col min="9972" max="9972" width="11.42578125" style="305"/>
    <col min="9973" max="9973" width="2" style="305" customWidth="1"/>
    <col min="9974" max="10213" width="11.42578125" style="305"/>
    <col min="10214" max="10214" width="2.42578125" style="305" customWidth="1"/>
    <col min="10215" max="10215" width="2.140625" style="305" customWidth="1"/>
    <col min="10216" max="10216" width="0.85546875" style="305" customWidth="1"/>
    <col min="10217" max="10218" width="2" style="305" customWidth="1"/>
    <col min="10219" max="10219" width="1.28515625" style="305" customWidth="1"/>
    <col min="10220" max="10220" width="2" style="305" customWidth="1"/>
    <col min="10221" max="10221" width="2.140625" style="305" customWidth="1"/>
    <col min="10222" max="10222" width="1.140625" style="305" customWidth="1"/>
    <col min="10223" max="10223" width="11.42578125" style="305" hidden="1" customWidth="1"/>
    <col min="10224" max="10224" width="2" style="305" customWidth="1"/>
    <col min="10225" max="10225" width="2.140625" style="305" customWidth="1"/>
    <col min="10226" max="10226" width="2" style="305" customWidth="1"/>
    <col min="10227" max="10227" width="2.28515625" style="305" customWidth="1"/>
    <col min="10228" max="10228" width="11.42578125" style="305"/>
    <col min="10229" max="10229" width="2" style="305" customWidth="1"/>
    <col min="10230" max="10469" width="11.42578125" style="305"/>
    <col min="10470" max="10470" width="2.42578125" style="305" customWidth="1"/>
    <col min="10471" max="10471" width="2.140625" style="305" customWidth="1"/>
    <col min="10472" max="10472" width="0.85546875" style="305" customWidth="1"/>
    <col min="10473" max="10474" width="2" style="305" customWidth="1"/>
    <col min="10475" max="10475" width="1.28515625" style="305" customWidth="1"/>
    <col min="10476" max="10476" width="2" style="305" customWidth="1"/>
    <col min="10477" max="10477" width="2.140625" style="305" customWidth="1"/>
    <col min="10478" max="10478" width="1.140625" style="305" customWidth="1"/>
    <col min="10479" max="10479" width="11.42578125" style="305" hidden="1" customWidth="1"/>
    <col min="10480" max="10480" width="2" style="305" customWidth="1"/>
    <col min="10481" max="10481" width="2.140625" style="305" customWidth="1"/>
    <col min="10482" max="10482" width="2" style="305" customWidth="1"/>
    <col min="10483" max="10483" width="2.28515625" style="305" customWidth="1"/>
    <col min="10484" max="10484" width="11.42578125" style="305"/>
    <col min="10485" max="10485" width="2" style="305" customWidth="1"/>
    <col min="10486" max="10725" width="11.42578125" style="305"/>
    <col min="10726" max="10726" width="2.42578125" style="305" customWidth="1"/>
    <col min="10727" max="10727" width="2.140625" style="305" customWidth="1"/>
    <col min="10728" max="10728" width="0.85546875" style="305" customWidth="1"/>
    <col min="10729" max="10730" width="2" style="305" customWidth="1"/>
    <col min="10731" max="10731" width="1.28515625" style="305" customWidth="1"/>
    <col min="10732" max="10732" width="2" style="305" customWidth="1"/>
    <col min="10733" max="10733" width="2.140625" style="305" customWidth="1"/>
    <col min="10734" max="10734" width="1.140625" style="305" customWidth="1"/>
    <col min="10735" max="10735" width="11.42578125" style="305" hidden="1" customWidth="1"/>
    <col min="10736" max="10736" width="2" style="305" customWidth="1"/>
    <col min="10737" max="10737" width="2.140625" style="305" customWidth="1"/>
    <col min="10738" max="10738" width="2" style="305" customWidth="1"/>
    <col min="10739" max="10739" width="2.28515625" style="305" customWidth="1"/>
    <col min="10740" max="10740" width="11.42578125" style="305"/>
    <col min="10741" max="10741" width="2" style="305" customWidth="1"/>
    <col min="10742" max="10981" width="11.42578125" style="305"/>
    <col min="10982" max="10982" width="2.42578125" style="305" customWidth="1"/>
    <col min="10983" max="10983" width="2.140625" style="305" customWidth="1"/>
    <col min="10984" max="10984" width="0.85546875" style="305" customWidth="1"/>
    <col min="10985" max="10986" width="2" style="305" customWidth="1"/>
    <col min="10987" max="10987" width="1.28515625" style="305" customWidth="1"/>
    <col min="10988" max="10988" width="2" style="305" customWidth="1"/>
    <col min="10989" max="10989" width="2.140625" style="305" customWidth="1"/>
    <col min="10990" max="10990" width="1.140625" style="305" customWidth="1"/>
    <col min="10991" max="10991" width="11.42578125" style="305" hidden="1" customWidth="1"/>
    <col min="10992" max="10992" width="2" style="305" customWidth="1"/>
    <col min="10993" max="10993" width="2.140625" style="305" customWidth="1"/>
    <col min="10994" max="10994" width="2" style="305" customWidth="1"/>
    <col min="10995" max="10995" width="2.28515625" style="305" customWidth="1"/>
    <col min="10996" max="10996" width="11.42578125" style="305"/>
    <col min="10997" max="10997" width="2" style="305" customWidth="1"/>
    <col min="10998" max="11237" width="11.42578125" style="305"/>
    <col min="11238" max="11238" width="2.42578125" style="305" customWidth="1"/>
    <col min="11239" max="11239" width="2.140625" style="305" customWidth="1"/>
    <col min="11240" max="11240" width="0.85546875" style="305" customWidth="1"/>
    <col min="11241" max="11242" width="2" style="305" customWidth="1"/>
    <col min="11243" max="11243" width="1.28515625" style="305" customWidth="1"/>
    <col min="11244" max="11244" width="2" style="305" customWidth="1"/>
    <col min="11245" max="11245" width="2.140625" style="305" customWidth="1"/>
    <col min="11246" max="11246" width="1.140625" style="305" customWidth="1"/>
    <col min="11247" max="11247" width="11.42578125" style="305" hidden="1" customWidth="1"/>
    <col min="11248" max="11248" width="2" style="305" customWidth="1"/>
    <col min="11249" max="11249" width="2.140625" style="305" customWidth="1"/>
    <col min="11250" max="11250" width="2" style="305" customWidth="1"/>
    <col min="11251" max="11251" width="2.28515625" style="305" customWidth="1"/>
    <col min="11252" max="11252" width="11.42578125" style="305"/>
    <col min="11253" max="11253" width="2" style="305" customWidth="1"/>
    <col min="11254" max="11493" width="11.42578125" style="305"/>
    <col min="11494" max="11494" width="2.42578125" style="305" customWidth="1"/>
    <col min="11495" max="11495" width="2.140625" style="305" customWidth="1"/>
    <col min="11496" max="11496" width="0.85546875" style="305" customWidth="1"/>
    <col min="11497" max="11498" width="2" style="305" customWidth="1"/>
    <col min="11499" max="11499" width="1.28515625" style="305" customWidth="1"/>
    <col min="11500" max="11500" width="2" style="305" customWidth="1"/>
    <col min="11501" max="11501" width="2.140625" style="305" customWidth="1"/>
    <col min="11502" max="11502" width="1.140625" style="305" customWidth="1"/>
    <col min="11503" max="11503" width="11.42578125" style="305" hidden="1" customWidth="1"/>
    <col min="11504" max="11504" width="2" style="305" customWidth="1"/>
    <col min="11505" max="11505" width="2.140625" style="305" customWidth="1"/>
    <col min="11506" max="11506" width="2" style="305" customWidth="1"/>
    <col min="11507" max="11507" width="2.28515625" style="305" customWidth="1"/>
    <col min="11508" max="11508" width="11.42578125" style="305"/>
    <col min="11509" max="11509" width="2" style="305" customWidth="1"/>
    <col min="11510" max="11749" width="11.42578125" style="305"/>
    <col min="11750" max="11750" width="2.42578125" style="305" customWidth="1"/>
    <col min="11751" max="11751" width="2.140625" style="305" customWidth="1"/>
    <col min="11752" max="11752" width="0.85546875" style="305" customWidth="1"/>
    <col min="11753" max="11754" width="2" style="305" customWidth="1"/>
    <col min="11755" max="11755" width="1.28515625" style="305" customWidth="1"/>
    <col min="11756" max="11756" width="2" style="305" customWidth="1"/>
    <col min="11757" max="11757" width="2.140625" style="305" customWidth="1"/>
    <col min="11758" max="11758" width="1.140625" style="305" customWidth="1"/>
    <col min="11759" max="11759" width="11.42578125" style="305" hidden="1" customWidth="1"/>
    <col min="11760" max="11760" width="2" style="305" customWidth="1"/>
    <col min="11761" max="11761" width="2.140625" style="305" customWidth="1"/>
    <col min="11762" max="11762" width="2" style="305" customWidth="1"/>
    <col min="11763" max="11763" width="2.28515625" style="305" customWidth="1"/>
    <col min="11764" max="11764" width="11.42578125" style="305"/>
    <col min="11765" max="11765" width="2" style="305" customWidth="1"/>
    <col min="11766" max="12005" width="11.42578125" style="305"/>
    <col min="12006" max="12006" width="2.42578125" style="305" customWidth="1"/>
    <col min="12007" max="12007" width="2.140625" style="305" customWidth="1"/>
    <col min="12008" max="12008" width="0.85546875" style="305" customWidth="1"/>
    <col min="12009" max="12010" width="2" style="305" customWidth="1"/>
    <col min="12011" max="12011" width="1.28515625" style="305" customWidth="1"/>
    <col min="12012" max="12012" width="2" style="305" customWidth="1"/>
    <col min="12013" max="12013" width="2.140625" style="305" customWidth="1"/>
    <col min="12014" max="12014" width="1.140625" style="305" customWidth="1"/>
    <col min="12015" max="12015" width="11.42578125" style="305" hidden="1" customWidth="1"/>
    <col min="12016" max="12016" width="2" style="305" customWidth="1"/>
    <col min="12017" max="12017" width="2.140625" style="305" customWidth="1"/>
    <col min="12018" max="12018" width="2" style="305" customWidth="1"/>
    <col min="12019" max="12019" width="2.28515625" style="305" customWidth="1"/>
    <col min="12020" max="12020" width="11.42578125" style="305"/>
    <col min="12021" max="12021" width="2" style="305" customWidth="1"/>
    <col min="12022" max="12261" width="11.42578125" style="305"/>
    <col min="12262" max="12262" width="2.42578125" style="305" customWidth="1"/>
    <col min="12263" max="12263" width="2.140625" style="305" customWidth="1"/>
    <col min="12264" max="12264" width="0.85546875" style="305" customWidth="1"/>
    <col min="12265" max="12266" width="2" style="305" customWidth="1"/>
    <col min="12267" max="12267" width="1.28515625" style="305" customWidth="1"/>
    <col min="12268" max="12268" width="2" style="305" customWidth="1"/>
    <col min="12269" max="12269" width="2.140625" style="305" customWidth="1"/>
    <col min="12270" max="12270" width="1.140625" style="305" customWidth="1"/>
    <col min="12271" max="12271" width="11.42578125" style="305" hidden="1" customWidth="1"/>
    <col min="12272" max="12272" width="2" style="305" customWidth="1"/>
    <col min="12273" max="12273" width="2.140625" style="305" customWidth="1"/>
    <col min="12274" max="12274" width="2" style="305" customWidth="1"/>
    <col min="12275" max="12275" width="2.28515625" style="305" customWidth="1"/>
    <col min="12276" max="12276" width="11.42578125" style="305"/>
    <col min="12277" max="12277" width="2" style="305" customWidth="1"/>
    <col min="12278" max="12517" width="11.42578125" style="305"/>
    <col min="12518" max="12518" width="2.42578125" style="305" customWidth="1"/>
    <col min="12519" max="12519" width="2.140625" style="305" customWidth="1"/>
    <col min="12520" max="12520" width="0.85546875" style="305" customWidth="1"/>
    <col min="12521" max="12522" width="2" style="305" customWidth="1"/>
    <col min="12523" max="12523" width="1.28515625" style="305" customWidth="1"/>
    <col min="12524" max="12524" width="2" style="305" customWidth="1"/>
    <col min="12525" max="12525" width="2.140625" style="305" customWidth="1"/>
    <col min="12526" max="12526" width="1.140625" style="305" customWidth="1"/>
    <col min="12527" max="12527" width="11.42578125" style="305" hidden="1" customWidth="1"/>
    <col min="12528" max="12528" width="2" style="305" customWidth="1"/>
    <col min="12529" max="12529" width="2.140625" style="305" customWidth="1"/>
    <col min="12530" max="12530" width="2" style="305" customWidth="1"/>
    <col min="12531" max="12531" width="2.28515625" style="305" customWidth="1"/>
    <col min="12532" max="12532" width="11.42578125" style="305"/>
    <col min="12533" max="12533" width="2" style="305" customWidth="1"/>
    <col min="12534" max="12773" width="11.42578125" style="305"/>
    <col min="12774" max="12774" width="2.42578125" style="305" customWidth="1"/>
    <col min="12775" max="12775" width="2.140625" style="305" customWidth="1"/>
    <col min="12776" max="12776" width="0.85546875" style="305" customWidth="1"/>
    <col min="12777" max="12778" width="2" style="305" customWidth="1"/>
    <col min="12779" max="12779" width="1.28515625" style="305" customWidth="1"/>
    <col min="12780" max="12780" width="2" style="305" customWidth="1"/>
    <col min="12781" max="12781" width="2.140625" style="305" customWidth="1"/>
    <col min="12782" max="12782" width="1.140625" style="305" customWidth="1"/>
    <col min="12783" max="12783" width="11.42578125" style="305" hidden="1" customWidth="1"/>
    <col min="12784" max="12784" width="2" style="305" customWidth="1"/>
    <col min="12785" max="12785" width="2.140625" style="305" customWidth="1"/>
    <col min="12786" max="12786" width="2" style="305" customWidth="1"/>
    <col min="12787" max="12787" width="2.28515625" style="305" customWidth="1"/>
    <col min="12788" max="12788" width="11.42578125" style="305"/>
    <col min="12789" max="12789" width="2" style="305" customWidth="1"/>
    <col min="12790" max="13029" width="11.42578125" style="305"/>
    <col min="13030" max="13030" width="2.42578125" style="305" customWidth="1"/>
    <col min="13031" max="13031" width="2.140625" style="305" customWidth="1"/>
    <col min="13032" max="13032" width="0.85546875" style="305" customWidth="1"/>
    <col min="13033" max="13034" width="2" style="305" customWidth="1"/>
    <col min="13035" max="13035" width="1.28515625" style="305" customWidth="1"/>
    <col min="13036" max="13036" width="2" style="305" customWidth="1"/>
    <col min="13037" max="13037" width="2.140625" style="305" customWidth="1"/>
    <col min="13038" max="13038" width="1.140625" style="305" customWidth="1"/>
    <col min="13039" max="13039" width="11.42578125" style="305" hidden="1" customWidth="1"/>
    <col min="13040" max="13040" width="2" style="305" customWidth="1"/>
    <col min="13041" max="13041" width="2.140625" style="305" customWidth="1"/>
    <col min="13042" max="13042" width="2" style="305" customWidth="1"/>
    <col min="13043" max="13043" width="2.28515625" style="305" customWidth="1"/>
    <col min="13044" max="13044" width="11.42578125" style="305"/>
    <col min="13045" max="13045" width="2" style="305" customWidth="1"/>
    <col min="13046" max="13285" width="11.42578125" style="305"/>
    <col min="13286" max="13286" width="2.42578125" style="305" customWidth="1"/>
    <col min="13287" max="13287" width="2.140625" style="305" customWidth="1"/>
    <col min="13288" max="13288" width="0.85546875" style="305" customWidth="1"/>
    <col min="13289" max="13290" width="2" style="305" customWidth="1"/>
    <col min="13291" max="13291" width="1.28515625" style="305" customWidth="1"/>
    <col min="13292" max="13292" width="2" style="305" customWidth="1"/>
    <col min="13293" max="13293" width="2.140625" style="305" customWidth="1"/>
    <col min="13294" max="13294" width="1.140625" style="305" customWidth="1"/>
    <col min="13295" max="13295" width="11.42578125" style="305" hidden="1" customWidth="1"/>
    <col min="13296" max="13296" width="2" style="305" customWidth="1"/>
    <col min="13297" max="13297" width="2.140625" style="305" customWidth="1"/>
    <col min="13298" max="13298" width="2" style="305" customWidth="1"/>
    <col min="13299" max="13299" width="2.28515625" style="305" customWidth="1"/>
    <col min="13300" max="13300" width="11.42578125" style="305"/>
    <col min="13301" max="13301" width="2" style="305" customWidth="1"/>
    <col min="13302" max="13541" width="11.42578125" style="305"/>
    <col min="13542" max="13542" width="2.42578125" style="305" customWidth="1"/>
    <col min="13543" max="13543" width="2.140625" style="305" customWidth="1"/>
    <col min="13544" max="13544" width="0.85546875" style="305" customWidth="1"/>
    <col min="13545" max="13546" width="2" style="305" customWidth="1"/>
    <col min="13547" max="13547" width="1.28515625" style="305" customWidth="1"/>
    <col min="13548" max="13548" width="2" style="305" customWidth="1"/>
    <col min="13549" max="13549" width="2.140625" style="305" customWidth="1"/>
    <col min="13550" max="13550" width="1.140625" style="305" customWidth="1"/>
    <col min="13551" max="13551" width="11.42578125" style="305" hidden="1" customWidth="1"/>
    <col min="13552" max="13552" width="2" style="305" customWidth="1"/>
    <col min="13553" max="13553" width="2.140625" style="305" customWidth="1"/>
    <col min="13554" max="13554" width="2" style="305" customWidth="1"/>
    <col min="13555" max="13555" width="2.28515625" style="305" customWidth="1"/>
    <col min="13556" max="13556" width="11.42578125" style="305"/>
    <col min="13557" max="13557" width="2" style="305" customWidth="1"/>
    <col min="13558" max="13797" width="11.42578125" style="305"/>
    <col min="13798" max="13798" width="2.42578125" style="305" customWidth="1"/>
    <col min="13799" max="13799" width="2.140625" style="305" customWidth="1"/>
    <col min="13800" max="13800" width="0.85546875" style="305" customWidth="1"/>
    <col min="13801" max="13802" width="2" style="305" customWidth="1"/>
    <col min="13803" max="13803" width="1.28515625" style="305" customWidth="1"/>
    <col min="13804" max="13804" width="2" style="305" customWidth="1"/>
    <col min="13805" max="13805" width="2.140625" style="305" customWidth="1"/>
    <col min="13806" max="13806" width="1.140625" style="305" customWidth="1"/>
    <col min="13807" max="13807" width="11.42578125" style="305" hidden="1" customWidth="1"/>
    <col min="13808" max="13808" width="2" style="305" customWidth="1"/>
    <col min="13809" max="13809" width="2.140625" style="305" customWidth="1"/>
    <col min="13810" max="13810" width="2" style="305" customWidth="1"/>
    <col min="13811" max="13811" width="2.28515625" style="305" customWidth="1"/>
    <col min="13812" max="13812" width="11.42578125" style="305"/>
    <col min="13813" max="13813" width="2" style="305" customWidth="1"/>
    <col min="13814" max="14053" width="11.42578125" style="305"/>
    <col min="14054" max="14054" width="2.42578125" style="305" customWidth="1"/>
    <col min="14055" max="14055" width="2.140625" style="305" customWidth="1"/>
    <col min="14056" max="14056" width="0.85546875" style="305" customWidth="1"/>
    <col min="14057" max="14058" width="2" style="305" customWidth="1"/>
    <col min="14059" max="14059" width="1.28515625" style="305" customWidth="1"/>
    <col min="14060" max="14060" width="2" style="305" customWidth="1"/>
    <col min="14061" max="14061" width="2.140625" style="305" customWidth="1"/>
    <col min="14062" max="14062" width="1.140625" style="305" customWidth="1"/>
    <col min="14063" max="14063" width="11.42578125" style="305" hidden="1" customWidth="1"/>
    <col min="14064" max="14064" width="2" style="305" customWidth="1"/>
    <col min="14065" max="14065" width="2.140625" style="305" customWidth="1"/>
    <col min="14066" max="14066" width="2" style="305" customWidth="1"/>
    <col min="14067" max="14067" width="2.28515625" style="305" customWidth="1"/>
    <col min="14068" max="14068" width="11.42578125" style="305"/>
    <col min="14069" max="14069" width="2" style="305" customWidth="1"/>
    <col min="14070" max="14309" width="11.42578125" style="305"/>
    <col min="14310" max="14310" width="2.42578125" style="305" customWidth="1"/>
    <col min="14311" max="14311" width="2.140625" style="305" customWidth="1"/>
    <col min="14312" max="14312" width="0.85546875" style="305" customWidth="1"/>
    <col min="14313" max="14314" width="2" style="305" customWidth="1"/>
    <col min="14315" max="14315" width="1.28515625" style="305" customWidth="1"/>
    <col min="14316" max="14316" width="2" style="305" customWidth="1"/>
    <col min="14317" max="14317" width="2.140625" style="305" customWidth="1"/>
    <col min="14318" max="14318" width="1.140625" style="305" customWidth="1"/>
    <col min="14319" max="14319" width="11.42578125" style="305" hidden="1" customWidth="1"/>
    <col min="14320" max="14320" width="2" style="305" customWidth="1"/>
    <col min="14321" max="14321" width="2.140625" style="305" customWidth="1"/>
    <col min="14322" max="14322" width="2" style="305" customWidth="1"/>
    <col min="14323" max="14323" width="2.28515625" style="305" customWidth="1"/>
    <col min="14324" max="14324" width="11.42578125" style="305"/>
    <col min="14325" max="14325" width="2" style="305" customWidth="1"/>
    <col min="14326" max="14565" width="11.42578125" style="305"/>
    <col min="14566" max="14566" width="2.42578125" style="305" customWidth="1"/>
    <col min="14567" max="14567" width="2.140625" style="305" customWidth="1"/>
    <col min="14568" max="14568" width="0.85546875" style="305" customWidth="1"/>
    <col min="14569" max="14570" width="2" style="305" customWidth="1"/>
    <col min="14571" max="14571" width="1.28515625" style="305" customWidth="1"/>
    <col min="14572" max="14572" width="2" style="305" customWidth="1"/>
    <col min="14573" max="14573" width="2.140625" style="305" customWidth="1"/>
    <col min="14574" max="14574" width="1.140625" style="305" customWidth="1"/>
    <col min="14575" max="14575" width="11.42578125" style="305" hidden="1" customWidth="1"/>
    <col min="14576" max="14576" width="2" style="305" customWidth="1"/>
    <col min="14577" max="14577" width="2.140625" style="305" customWidth="1"/>
    <col min="14578" max="14578" width="2" style="305" customWidth="1"/>
    <col min="14579" max="14579" width="2.28515625" style="305" customWidth="1"/>
    <col min="14580" max="14580" width="11.42578125" style="305"/>
    <col min="14581" max="14581" width="2" style="305" customWidth="1"/>
    <col min="14582" max="14821" width="11.42578125" style="305"/>
    <col min="14822" max="14822" width="2.42578125" style="305" customWidth="1"/>
    <col min="14823" max="14823" width="2.140625" style="305" customWidth="1"/>
    <col min="14824" max="14824" width="0.85546875" style="305" customWidth="1"/>
    <col min="14825" max="14826" width="2" style="305" customWidth="1"/>
    <col min="14827" max="14827" width="1.28515625" style="305" customWidth="1"/>
    <col min="14828" max="14828" width="2" style="305" customWidth="1"/>
    <col min="14829" max="14829" width="2.140625" style="305" customWidth="1"/>
    <col min="14830" max="14830" width="1.140625" style="305" customWidth="1"/>
    <col min="14831" max="14831" width="11.42578125" style="305" hidden="1" customWidth="1"/>
    <col min="14832" max="14832" width="2" style="305" customWidth="1"/>
    <col min="14833" max="14833" width="2.140625" style="305" customWidth="1"/>
    <col min="14834" max="14834" width="2" style="305" customWidth="1"/>
    <col min="14835" max="14835" width="2.28515625" style="305" customWidth="1"/>
    <col min="14836" max="14836" width="11.42578125" style="305"/>
    <col min="14837" max="14837" width="2" style="305" customWidth="1"/>
    <col min="14838" max="15077" width="11.42578125" style="305"/>
    <col min="15078" max="15078" width="2.42578125" style="305" customWidth="1"/>
    <col min="15079" max="15079" width="2.140625" style="305" customWidth="1"/>
    <col min="15080" max="15080" width="0.85546875" style="305" customWidth="1"/>
    <col min="15081" max="15082" width="2" style="305" customWidth="1"/>
    <col min="15083" max="15083" width="1.28515625" style="305" customWidth="1"/>
    <col min="15084" max="15084" width="2" style="305" customWidth="1"/>
    <col min="15085" max="15085" width="2.140625" style="305" customWidth="1"/>
    <col min="15086" max="15086" width="1.140625" style="305" customWidth="1"/>
    <col min="15087" max="15087" width="11.42578125" style="305" hidden="1" customWidth="1"/>
    <col min="15088" max="15088" width="2" style="305" customWidth="1"/>
    <col min="15089" max="15089" width="2.140625" style="305" customWidth="1"/>
    <col min="15090" max="15090" width="2" style="305" customWidth="1"/>
    <col min="15091" max="15091" width="2.28515625" style="305" customWidth="1"/>
    <col min="15092" max="15092" width="11.42578125" style="305"/>
    <col min="15093" max="15093" width="2" style="305" customWidth="1"/>
    <col min="15094" max="15333" width="11.42578125" style="305"/>
    <col min="15334" max="15334" width="2.42578125" style="305" customWidth="1"/>
    <col min="15335" max="15335" width="2.140625" style="305" customWidth="1"/>
    <col min="15336" max="15336" width="0.85546875" style="305" customWidth="1"/>
    <col min="15337" max="15338" width="2" style="305" customWidth="1"/>
    <col min="15339" max="15339" width="1.28515625" style="305" customWidth="1"/>
    <col min="15340" max="15340" width="2" style="305" customWidth="1"/>
    <col min="15341" max="15341" width="2.140625" style="305" customWidth="1"/>
    <col min="15342" max="15342" width="1.140625" style="305" customWidth="1"/>
    <col min="15343" max="15343" width="11.42578125" style="305" hidden="1" customWidth="1"/>
    <col min="15344" max="15344" width="2" style="305" customWidth="1"/>
    <col min="15345" max="15345" width="2.140625" style="305" customWidth="1"/>
    <col min="15346" max="15346" width="2" style="305" customWidth="1"/>
    <col min="15347" max="15347" width="2.28515625" style="305" customWidth="1"/>
    <col min="15348" max="15348" width="11.42578125" style="305"/>
    <col min="15349" max="15349" width="2" style="305" customWidth="1"/>
    <col min="15350" max="15589" width="11.42578125" style="305"/>
    <col min="15590" max="15590" width="2.42578125" style="305" customWidth="1"/>
    <col min="15591" max="15591" width="2.140625" style="305" customWidth="1"/>
    <col min="15592" max="15592" width="0.85546875" style="305" customWidth="1"/>
    <col min="15593" max="15594" width="2" style="305" customWidth="1"/>
    <col min="15595" max="15595" width="1.28515625" style="305" customWidth="1"/>
    <col min="15596" max="15596" width="2" style="305" customWidth="1"/>
    <col min="15597" max="15597" width="2.140625" style="305" customWidth="1"/>
    <col min="15598" max="15598" width="1.140625" style="305" customWidth="1"/>
    <col min="15599" max="15599" width="11.42578125" style="305" hidden="1" customWidth="1"/>
    <col min="15600" max="15600" width="2" style="305" customWidth="1"/>
    <col min="15601" max="15601" width="2.140625" style="305" customWidth="1"/>
    <col min="15602" max="15602" width="2" style="305" customWidth="1"/>
    <col min="15603" max="15603" width="2.28515625" style="305" customWidth="1"/>
    <col min="15604" max="15604" width="11.42578125" style="305"/>
    <col min="15605" max="15605" width="2" style="305" customWidth="1"/>
    <col min="15606" max="15845" width="11.42578125" style="305"/>
    <col min="15846" max="15846" width="2.42578125" style="305" customWidth="1"/>
    <col min="15847" max="15847" width="2.140625" style="305" customWidth="1"/>
    <col min="15848" max="15848" width="0.85546875" style="305" customWidth="1"/>
    <col min="15849" max="15850" width="2" style="305" customWidth="1"/>
    <col min="15851" max="15851" width="1.28515625" style="305" customWidth="1"/>
    <col min="15852" max="15852" width="2" style="305" customWidth="1"/>
    <col min="15853" max="15853" width="2.140625" style="305" customWidth="1"/>
    <col min="15854" max="15854" width="1.140625" style="305" customWidth="1"/>
    <col min="15855" max="15855" width="11.42578125" style="305" hidden="1" customWidth="1"/>
    <col min="15856" max="15856" width="2" style="305" customWidth="1"/>
    <col min="15857" max="15857" width="2.140625" style="305" customWidth="1"/>
    <col min="15858" max="15858" width="2" style="305" customWidth="1"/>
    <col min="15859" max="15859" width="2.28515625" style="305" customWidth="1"/>
    <col min="15860" max="15860" width="11.42578125" style="305"/>
    <col min="15861" max="15861" width="2" style="305" customWidth="1"/>
    <col min="15862" max="16101" width="11.42578125" style="305"/>
    <col min="16102" max="16102" width="2.42578125" style="305" customWidth="1"/>
    <col min="16103" max="16103" width="2.140625" style="305" customWidth="1"/>
    <col min="16104" max="16104" width="0.85546875" style="305" customWidth="1"/>
    <col min="16105" max="16106" width="2" style="305" customWidth="1"/>
    <col min="16107" max="16107" width="1.28515625" style="305" customWidth="1"/>
    <col min="16108" max="16108" width="2" style="305" customWidth="1"/>
    <col min="16109" max="16109" width="2.140625" style="305" customWidth="1"/>
    <col min="16110" max="16110" width="1.140625" style="305" customWidth="1"/>
    <col min="16111" max="16111" width="11.42578125" style="305" hidden="1" customWidth="1"/>
    <col min="16112" max="16112" width="2" style="305" customWidth="1"/>
    <col min="16113" max="16113" width="2.140625" style="305" customWidth="1"/>
    <col min="16114" max="16114" width="2" style="305" customWidth="1"/>
    <col min="16115" max="16115" width="2.28515625" style="305" customWidth="1"/>
    <col min="16116" max="16116" width="11.42578125" style="305"/>
    <col min="16117" max="16117" width="2" style="305" customWidth="1"/>
    <col min="16118" max="16384" width="11.42578125" style="305"/>
  </cols>
  <sheetData>
    <row r="7" spans="2:14">
      <c r="D7" s="332"/>
    </row>
    <row r="8" spans="2:14" ht="13.5" thickBot="1">
      <c r="D8" s="332"/>
    </row>
    <row r="9" spans="2:14" ht="18.75" thickBot="1">
      <c r="C9" s="759" t="s">
        <v>626</v>
      </c>
      <c r="D9" s="760"/>
      <c r="F9" s="764" t="s">
        <v>648</v>
      </c>
      <c r="G9" s="765"/>
      <c r="H9" s="765"/>
      <c r="I9" s="765"/>
      <c r="J9" s="765"/>
      <c r="K9" s="766"/>
    </row>
    <row r="10" spans="2:14" ht="39" customHeight="1" thickBot="1">
      <c r="B10" s="542" t="s">
        <v>644</v>
      </c>
      <c r="C10" s="543" t="s">
        <v>15</v>
      </c>
      <c r="D10" s="544" t="s">
        <v>627</v>
      </c>
      <c r="E10" s="545" t="s">
        <v>645</v>
      </c>
      <c r="F10" s="546" t="s">
        <v>636</v>
      </c>
      <c r="G10" s="547" t="s">
        <v>664</v>
      </c>
      <c r="H10" s="548" t="s">
        <v>628</v>
      </c>
      <c r="I10" s="549" t="s">
        <v>660</v>
      </c>
      <c r="J10" s="549" t="s">
        <v>630</v>
      </c>
      <c r="K10" s="550" t="s">
        <v>646</v>
      </c>
    </row>
    <row r="11" spans="2:14" ht="14.1" customHeight="1">
      <c r="B11" s="551">
        <f>[1]RESUMEN!A35</f>
        <v>22</v>
      </c>
      <c r="C11" s="552">
        <f>+VLOOKUP($B11,RESUMEN!$A$93:$G$97,2,FALSE)</f>
        <v>1450002000</v>
      </c>
      <c r="D11" s="553">
        <f t="shared" ref="D11:D16" si="0">C11/C$17</f>
        <v>3.4824349789070283E-3</v>
      </c>
      <c r="E11" s="552">
        <f>+VLOOKUP($B11,RESUMEN!$A$93:$G$97,3,FALSE)</f>
        <v>123900000</v>
      </c>
      <c r="F11" s="555">
        <v>103045000</v>
      </c>
      <c r="G11" s="552">
        <f>+VLOOKUP($B11,RESUMEN!$A$93:$G$97,4,FALSE)</f>
        <v>545000000</v>
      </c>
      <c r="H11" s="557">
        <f t="shared" ref="H11:H16" si="1">G11/G$17</f>
        <v>5.9289557424608234E-3</v>
      </c>
      <c r="I11" s="552">
        <f>+VLOOKUP($B11,RESUMEN!$A$93:$G$97,5,FALSE)</f>
        <v>0</v>
      </c>
      <c r="J11" s="552">
        <f>+VLOOKUP($B11,RESUMEN!$A$93:$G$97,6,FALSE)</f>
        <v>545000000</v>
      </c>
      <c r="K11" s="552">
        <f>+VLOOKUP($B11,RESUMEN!$A$93:$G$97,7,FALSE)</f>
        <v>781102000</v>
      </c>
      <c r="M11" s="310"/>
      <c r="N11" s="344"/>
    </row>
    <row r="12" spans="2:14" ht="14.1" customHeight="1">
      <c r="B12" s="558">
        <f>[1]RESUMEN!A36</f>
        <v>24</v>
      </c>
      <c r="C12" s="552">
        <f>+VLOOKUP($B12,RESUMEN!$A$93:$G$97,2,FALSE)</f>
        <v>8913996000</v>
      </c>
      <c r="D12" s="559">
        <f t="shared" si="0"/>
        <v>2.1408530107018701E-2</v>
      </c>
      <c r="E12" s="552">
        <f>+VLOOKUP($B12,RESUMEN!$A$93:$G$97,3,FALSE)</f>
        <v>0</v>
      </c>
      <c r="F12" s="560">
        <v>8913110000</v>
      </c>
      <c r="G12" s="552">
        <f>+VLOOKUP($B12,RESUMEN!$A$93:$G$97,4,FALSE)</f>
        <v>8018499000</v>
      </c>
      <c r="H12" s="561">
        <f t="shared" si="1"/>
        <v>8.7231790260488745E-2</v>
      </c>
      <c r="I12" s="552">
        <f>+VLOOKUP($B12,RESUMEN!$A$93:$G$97,5,FALSE)</f>
        <v>0</v>
      </c>
      <c r="J12" s="552">
        <f>+VLOOKUP($B12,RESUMEN!$A$93:$G$97,6,FALSE)</f>
        <v>8018499000</v>
      </c>
      <c r="K12" s="552">
        <f>+VLOOKUP($B12,RESUMEN!$A$93:$G$97,7,FALSE)</f>
        <v>895497000</v>
      </c>
      <c r="M12" s="310"/>
    </row>
    <row r="13" spans="2:14" ht="14.1" customHeight="1">
      <c r="B13" s="558">
        <f>[1]RESUMEN!A37</f>
        <v>29</v>
      </c>
      <c r="C13" s="552">
        <f>+VLOOKUP($B13,RESUMEN!$A$93:$G$97,2,FALSE)</f>
        <v>13036525356</v>
      </c>
      <c r="D13" s="559">
        <f t="shared" si="0"/>
        <v>3.1309509851119376E-2</v>
      </c>
      <c r="E13" s="552">
        <f>+VLOOKUP($B13,RESUMEN!$A$93:$G$97,3,FALSE)</f>
        <v>905963655</v>
      </c>
      <c r="F13" s="560">
        <v>0</v>
      </c>
      <c r="G13" s="552">
        <f>+VLOOKUP($B13,RESUMEN!$A$93:$G$97,4,FALSE)</f>
        <v>7810849134</v>
      </c>
      <c r="H13" s="561">
        <f t="shared" si="1"/>
        <v>8.497280518628339E-2</v>
      </c>
      <c r="I13" s="552">
        <f>+VLOOKUP($B13,RESUMEN!$A$93:$G$97,5,FALSE)</f>
        <v>0</v>
      </c>
      <c r="J13" s="552">
        <f>+VLOOKUP($B13,RESUMEN!$A$93:$G$97,6,FALSE)</f>
        <v>7810849134</v>
      </c>
      <c r="K13" s="552">
        <f>+VLOOKUP($B13,RESUMEN!$A$93:$G$97,7,FALSE)</f>
        <v>4319712567</v>
      </c>
      <c r="M13" s="310"/>
    </row>
    <row r="14" spans="2:14" ht="14.1" customHeight="1">
      <c r="B14" s="558">
        <v>30</v>
      </c>
      <c r="C14" s="552">
        <v>0</v>
      </c>
      <c r="D14" s="559">
        <f t="shared" si="0"/>
        <v>0</v>
      </c>
      <c r="E14" s="552">
        <v>0</v>
      </c>
      <c r="F14" s="560">
        <v>2044902000</v>
      </c>
      <c r="G14" s="552">
        <v>0</v>
      </c>
      <c r="H14" s="561">
        <f t="shared" si="1"/>
        <v>0</v>
      </c>
      <c r="I14" s="552">
        <v>0</v>
      </c>
      <c r="J14" s="552">
        <v>0</v>
      </c>
      <c r="K14" s="552">
        <v>0</v>
      </c>
      <c r="M14" s="310"/>
    </row>
    <row r="15" spans="2:14" ht="14.1" customHeight="1">
      <c r="B15" s="558">
        <f>[1]RESUMEN!A38</f>
        <v>31</v>
      </c>
      <c r="C15" s="552">
        <f>+VLOOKUP($B15,RESUMEN!$A$93:$G$97,2,FALSE)</f>
        <v>339871872677</v>
      </c>
      <c r="D15" s="559">
        <f t="shared" si="0"/>
        <v>0.81626211395365023</v>
      </c>
      <c r="E15" s="552">
        <f>+VLOOKUP($B15,RESUMEN!$A$93:$G$97,3,FALSE)</f>
        <v>102511081891</v>
      </c>
      <c r="F15" s="560">
        <v>57811482000</v>
      </c>
      <c r="G15" s="552">
        <f>+VLOOKUP($B15,RESUMEN!$A$93:$G$97,4,FALSE)</f>
        <v>52587761419</v>
      </c>
      <c r="H15" s="561">
        <f t="shared" si="1"/>
        <v>0.57209267898777938</v>
      </c>
      <c r="I15" s="552">
        <f>+VLOOKUP($B15,RESUMEN!$A$93:$G$97,5,FALSE)</f>
        <v>5412852359</v>
      </c>
      <c r="J15" s="552">
        <f>+VLOOKUP($B15,RESUMEN!$A$93:$G$97,6,FALSE)</f>
        <v>47174909060</v>
      </c>
      <c r="K15" s="552">
        <f>+VLOOKUP($B15,RESUMEN!$A$93:$G$97,7,FALSE)</f>
        <v>184773029367</v>
      </c>
      <c r="M15" s="310"/>
    </row>
    <row r="16" spans="2:14" ht="14.1" customHeight="1">
      <c r="B16" s="558">
        <f>[1]RESUMEN!A39</f>
        <v>33</v>
      </c>
      <c r="C16" s="552">
        <f>+VLOOKUP($B16,RESUMEN!$A$93:$G$97,2,FALSE)</f>
        <v>53103504388</v>
      </c>
      <c r="D16" s="559">
        <f t="shared" si="0"/>
        <v>0.12753741110930472</v>
      </c>
      <c r="E16" s="552">
        <f>+VLOOKUP($B16,RESUMEN!$A$93:$G$97,3,FALSE)</f>
        <v>17027162542</v>
      </c>
      <c r="F16" s="560">
        <v>15438942000</v>
      </c>
      <c r="G16" s="552">
        <f>+VLOOKUP($B16,RESUMEN!$A$93:$G$97,4,FALSE)</f>
        <v>22959642552</v>
      </c>
      <c r="H16" s="561">
        <f t="shared" si="1"/>
        <v>0.24977376982298766</v>
      </c>
      <c r="I16" s="552">
        <f>+VLOOKUP($B16,RESUMEN!$A$93:$G$97,5,FALSE)</f>
        <v>619560354</v>
      </c>
      <c r="J16" s="552">
        <f>+VLOOKUP($B16,RESUMEN!$A$93:$G$97,6,FALSE)</f>
        <v>22340082198</v>
      </c>
      <c r="K16" s="552">
        <f>+VLOOKUP($B16,RESUMEN!$A$93:$G$97,7,FALSE)</f>
        <v>13116699294</v>
      </c>
      <c r="M16" s="310"/>
    </row>
    <row r="17" spans="2:11" ht="13.5" thickBot="1">
      <c r="B17" s="562" t="s">
        <v>633</v>
      </c>
      <c r="C17" s="563">
        <f t="shared" ref="C17:K17" si="2">SUM(C11:C16)</f>
        <v>416375900421</v>
      </c>
      <c r="D17" s="564">
        <f t="shared" si="2"/>
        <v>1</v>
      </c>
      <c r="E17" s="565">
        <f t="shared" si="2"/>
        <v>120568108088</v>
      </c>
      <c r="F17" s="563">
        <f t="shared" si="2"/>
        <v>84311481000</v>
      </c>
      <c r="G17" s="566">
        <f t="shared" si="2"/>
        <v>91921752105</v>
      </c>
      <c r="H17" s="567">
        <f t="shared" si="2"/>
        <v>1</v>
      </c>
      <c r="I17" s="568">
        <f t="shared" si="2"/>
        <v>6032412713</v>
      </c>
      <c r="J17" s="566">
        <f t="shared" si="2"/>
        <v>85889339392</v>
      </c>
      <c r="K17" s="569">
        <f t="shared" si="2"/>
        <v>203886040228</v>
      </c>
    </row>
  </sheetData>
  <mergeCells count="2">
    <mergeCell ref="C9:D9"/>
    <mergeCell ref="F9:K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AP819"/>
  <sheetViews>
    <sheetView showGridLines="0" tabSelected="1" topLeftCell="J1" zoomScale="50" zoomScaleNormal="50" zoomScaleSheetLayoutView="50" workbookViewId="0">
      <pane ySplit="1" topLeftCell="A105" activePane="bottomLeft" state="frozen"/>
      <selection pane="bottomLeft" activeCell="Q406" sqref="Q406"/>
    </sheetView>
  </sheetViews>
  <sheetFormatPr baseColWidth="10" defaultColWidth="11" defaultRowHeight="18.75" outlineLevelRow="2"/>
  <cols>
    <col min="1" max="1" width="9.85546875" style="253" hidden="1" customWidth="1"/>
    <col min="2" max="2" width="9.42578125" style="253" customWidth="1"/>
    <col min="3" max="3" width="9.42578125" style="253" hidden="1" customWidth="1"/>
    <col min="4" max="4" width="24.5703125" style="253" hidden="1" customWidth="1"/>
    <col min="5" max="5" width="7.85546875" style="253" customWidth="1"/>
    <col min="6" max="6" width="17.85546875" style="253" hidden="1" customWidth="1"/>
    <col min="7" max="7" width="32.7109375" style="253" hidden="1" customWidth="1"/>
    <col min="8" max="8" width="38.140625" style="254" hidden="1" customWidth="1"/>
    <col min="9" max="9" width="19.7109375" style="253" customWidth="1"/>
    <col min="10" max="10" width="21" style="255" customWidth="1"/>
    <col min="11" max="11" width="14.28515625" style="253" hidden="1" customWidth="1"/>
    <col min="12" max="12" width="23" style="253" hidden="1" customWidth="1"/>
    <col min="13" max="13" width="16.85546875" style="254" customWidth="1"/>
    <col min="14" max="14" width="16.42578125" style="278" customWidth="1"/>
    <col min="15" max="16" width="16.42578125" style="278" hidden="1" customWidth="1"/>
    <col min="17" max="17" width="110.7109375" customWidth="1"/>
    <col min="18" max="18" width="77.5703125" style="279" hidden="1" customWidth="1"/>
    <col min="19" max="19" width="29.28515625" style="280" customWidth="1"/>
    <col min="20" max="20" width="26.85546875" style="281" customWidth="1"/>
    <col min="21" max="22" width="25.85546875" style="268" customWidth="1"/>
    <col min="23" max="24" width="25.28515625" style="268" hidden="1" customWidth="1"/>
    <col min="25" max="26" width="24.7109375" style="268" hidden="1" customWidth="1"/>
    <col min="27" max="27" width="24.28515625" style="268" hidden="1" customWidth="1"/>
    <col min="28" max="29" width="26.140625" style="268" hidden="1" customWidth="1"/>
    <col min="30" max="31" width="26.140625" style="282" hidden="1" customWidth="1"/>
    <col min="32" max="34" width="26.140625" style="268" hidden="1" customWidth="1"/>
    <col min="35" max="36" width="25.85546875" style="268" customWidth="1"/>
    <col min="37" max="37" width="12.28515625" style="276" customWidth="1"/>
    <col min="38" max="38" width="38" style="16" customWidth="1"/>
    <col min="39" max="39" width="33.7109375" style="94" customWidth="1"/>
    <col min="40" max="40" width="21.28515625" style="800" customWidth="1"/>
    <col min="41" max="41" width="30.140625" style="16" hidden="1" customWidth="1"/>
    <col min="42" max="42" width="35" style="16" hidden="1" customWidth="1"/>
    <col min="43" max="43" width="42.7109375" style="16" customWidth="1"/>
    <col min="44" max="16384" width="11" style="16"/>
  </cols>
  <sheetData>
    <row r="1" spans="1:42" s="7" customFormat="1" ht="123.75" customHeight="1">
      <c r="A1" s="1" t="s">
        <v>0</v>
      </c>
      <c r="B1" s="790" t="s">
        <v>1</v>
      </c>
      <c r="C1" s="726" t="s">
        <v>682</v>
      </c>
      <c r="D1" s="283" t="s">
        <v>2</v>
      </c>
      <c r="E1" s="791" t="s">
        <v>3</v>
      </c>
      <c r="F1" s="727" t="s">
        <v>4</v>
      </c>
      <c r="G1" s="2" t="s">
        <v>5</v>
      </c>
      <c r="H1" s="138" t="s">
        <v>6</v>
      </c>
      <c r="I1" s="792" t="s">
        <v>7</v>
      </c>
      <c r="J1" s="792" t="s">
        <v>8</v>
      </c>
      <c r="K1" s="3" t="s">
        <v>9</v>
      </c>
      <c r="L1" s="4" t="s">
        <v>10</v>
      </c>
      <c r="M1" s="792" t="s">
        <v>11</v>
      </c>
      <c r="N1" s="792" t="s">
        <v>12</v>
      </c>
      <c r="O1" s="769" t="s">
        <v>748</v>
      </c>
      <c r="P1" s="4" t="s">
        <v>751</v>
      </c>
      <c r="Q1" s="793" t="s">
        <v>13</v>
      </c>
      <c r="R1" s="5" t="s">
        <v>14</v>
      </c>
      <c r="S1" s="794" t="s">
        <v>616</v>
      </c>
      <c r="T1" s="795" t="s">
        <v>28</v>
      </c>
      <c r="U1" s="795" t="s">
        <v>618</v>
      </c>
      <c r="V1" s="795" t="s">
        <v>617</v>
      </c>
      <c r="W1" s="728" t="s">
        <v>615</v>
      </c>
      <c r="X1" s="6" t="s">
        <v>614</v>
      </c>
      <c r="Y1" s="6" t="s">
        <v>18</v>
      </c>
      <c r="Z1" s="6" t="s">
        <v>19</v>
      </c>
      <c r="AA1" s="6" t="s">
        <v>20</v>
      </c>
      <c r="AB1" s="6" t="s">
        <v>21</v>
      </c>
      <c r="AC1" s="6" t="s">
        <v>22</v>
      </c>
      <c r="AD1" s="6" t="s">
        <v>23</v>
      </c>
      <c r="AE1" s="6" t="s">
        <v>24</v>
      </c>
      <c r="AF1" s="6" t="s">
        <v>25</v>
      </c>
      <c r="AG1" s="6" t="s">
        <v>26</v>
      </c>
      <c r="AH1" s="6" t="s">
        <v>27</v>
      </c>
      <c r="AI1" s="795" t="s">
        <v>17</v>
      </c>
      <c r="AJ1" s="795" t="s">
        <v>29</v>
      </c>
      <c r="AK1" s="792" t="s">
        <v>619</v>
      </c>
      <c r="AL1" s="792" t="s">
        <v>761</v>
      </c>
      <c r="AM1" s="792" t="s">
        <v>766</v>
      </c>
      <c r="AN1" s="798" t="s">
        <v>760</v>
      </c>
      <c r="AO1" s="7" t="s">
        <v>762</v>
      </c>
      <c r="AP1" s="7" t="s">
        <v>763</v>
      </c>
    </row>
    <row r="2" spans="1:42" ht="26.25" hidden="1" customHeight="1">
      <c r="A2" s="8"/>
      <c r="B2" s="8"/>
      <c r="C2" s="8"/>
      <c r="D2" s="8"/>
      <c r="E2" s="8"/>
      <c r="F2" s="8"/>
      <c r="G2" s="8"/>
      <c r="H2" s="9"/>
      <c r="I2" s="8"/>
      <c r="J2" s="10"/>
      <c r="K2" s="8"/>
      <c r="L2" s="8"/>
      <c r="M2" s="8"/>
      <c r="N2" s="10"/>
      <c r="O2" s="10"/>
      <c r="P2" s="10"/>
      <c r="Q2" s="11" t="s">
        <v>31</v>
      </c>
      <c r="R2" s="12"/>
      <c r="S2" s="13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5"/>
      <c r="AL2" s="723"/>
      <c r="AM2" s="16"/>
      <c r="AN2" s="16"/>
    </row>
    <row r="3" spans="1:42" s="18" customFormat="1" ht="25.5" hidden="1" customHeight="1">
      <c r="A3" s="8"/>
      <c r="B3" s="8"/>
      <c r="C3" s="8"/>
      <c r="D3" s="8"/>
      <c r="E3" s="8"/>
      <c r="F3" s="8"/>
      <c r="G3" s="8"/>
      <c r="H3" s="9"/>
      <c r="I3" s="8"/>
      <c r="J3" s="10"/>
      <c r="K3" s="8"/>
      <c r="L3" s="8"/>
      <c r="M3" s="8"/>
      <c r="N3" s="10"/>
      <c r="O3" s="10"/>
      <c r="P3" s="10"/>
      <c r="Q3" s="17" t="s">
        <v>32</v>
      </c>
      <c r="R3" s="12"/>
      <c r="S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5"/>
      <c r="AL3" s="724"/>
    </row>
    <row r="4" spans="1:42" s="33" customFormat="1" ht="25.5" hidden="1" customHeight="1" outlineLevel="2">
      <c r="A4" s="19"/>
      <c r="B4" s="19">
        <v>31</v>
      </c>
      <c r="C4" s="19"/>
      <c r="D4" s="19" t="s">
        <v>33</v>
      </c>
      <c r="E4" s="19" t="s">
        <v>34</v>
      </c>
      <c r="F4" s="19" t="s">
        <v>35</v>
      </c>
      <c r="G4" s="20" t="s">
        <v>36</v>
      </c>
      <c r="H4" s="21" t="s">
        <v>37</v>
      </c>
      <c r="I4" s="19" t="s">
        <v>38</v>
      </c>
      <c r="J4" s="19" t="s">
        <v>38</v>
      </c>
      <c r="K4" s="22">
        <v>1</v>
      </c>
      <c r="L4" s="19" t="s">
        <v>46</v>
      </c>
      <c r="M4" s="23" t="s">
        <v>40</v>
      </c>
      <c r="N4" s="21">
        <v>30043744</v>
      </c>
      <c r="O4" s="21" t="s">
        <v>753</v>
      </c>
      <c r="P4" s="21"/>
      <c r="Q4" s="23" t="s">
        <v>41</v>
      </c>
      <c r="R4" s="24"/>
      <c r="S4" s="26">
        <v>7805646000</v>
      </c>
      <c r="T4" s="30">
        <v>6570711562</v>
      </c>
      <c r="U4" s="30">
        <f>621439216+52402387</f>
        <v>673841603</v>
      </c>
      <c r="V4" s="285">
        <f>+SUM(W4:AH4)</f>
        <v>0</v>
      </c>
      <c r="W4" s="29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>
        <v>0</v>
      </c>
      <c r="AI4" s="30">
        <f>+U4-V4</f>
        <v>673841603</v>
      </c>
      <c r="AJ4" s="30">
        <f t="shared" ref="AJ4:AJ9" si="0">+S4-T4-V4-AI4</f>
        <v>561092835</v>
      </c>
      <c r="AK4" s="31" t="s">
        <v>42</v>
      </c>
      <c r="AL4" s="32" t="s">
        <v>44</v>
      </c>
    </row>
    <row r="5" spans="1:42" s="33" customFormat="1" ht="25.5" hidden="1" customHeight="1" outlineLevel="2">
      <c r="A5" s="19"/>
      <c r="B5" s="19">
        <v>31</v>
      </c>
      <c r="C5" s="19"/>
      <c r="D5" s="19" t="s">
        <v>33</v>
      </c>
      <c r="E5" s="19" t="s">
        <v>34</v>
      </c>
      <c r="F5" s="19"/>
      <c r="G5" s="20"/>
      <c r="H5" s="21" t="s">
        <v>45</v>
      </c>
      <c r="I5" s="19" t="s">
        <v>38</v>
      </c>
      <c r="J5" s="19" t="s">
        <v>38</v>
      </c>
      <c r="K5" s="22">
        <v>1</v>
      </c>
      <c r="L5" s="19" t="s">
        <v>46</v>
      </c>
      <c r="M5" s="23" t="s">
        <v>40</v>
      </c>
      <c r="N5" s="21">
        <v>30165522</v>
      </c>
      <c r="O5" s="21" t="s">
        <v>685</v>
      </c>
      <c r="P5" s="21"/>
      <c r="Q5" s="23" t="s">
        <v>47</v>
      </c>
      <c r="R5" s="24"/>
      <c r="S5" s="26">
        <v>820000000</v>
      </c>
      <c r="T5" s="30">
        <v>704106657</v>
      </c>
      <c r="U5" s="30">
        <f>122177160-6283817</f>
        <v>115893343</v>
      </c>
      <c r="V5" s="285">
        <f t="shared" ref="V5:V66" si="1">+SUM(W5:AH5)</f>
        <v>0</v>
      </c>
      <c r="W5" s="29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>
        <v>0</v>
      </c>
      <c r="AI5" s="30">
        <f t="shared" ref="AI5:AI66" si="2">+U5-V5</f>
        <v>115893343</v>
      </c>
      <c r="AJ5" s="30">
        <f t="shared" si="0"/>
        <v>0</v>
      </c>
      <c r="AK5" s="31" t="s">
        <v>48</v>
      </c>
      <c r="AL5" s="32"/>
    </row>
    <row r="6" spans="1:42" s="33" customFormat="1" ht="25.5" hidden="1" customHeight="1" outlineLevel="2">
      <c r="A6" s="19"/>
      <c r="B6" s="19">
        <v>31</v>
      </c>
      <c r="C6" s="19"/>
      <c r="D6" s="19" t="s">
        <v>33</v>
      </c>
      <c r="E6" s="19" t="s">
        <v>34</v>
      </c>
      <c r="F6" s="19" t="s">
        <v>35</v>
      </c>
      <c r="G6" s="20" t="s">
        <v>49</v>
      </c>
      <c r="H6" s="21" t="s">
        <v>50</v>
      </c>
      <c r="I6" s="19" t="s">
        <v>38</v>
      </c>
      <c r="J6" s="19" t="s">
        <v>38</v>
      </c>
      <c r="K6" s="22">
        <v>1</v>
      </c>
      <c r="L6" s="19" t="s">
        <v>46</v>
      </c>
      <c r="M6" s="23" t="s">
        <v>40</v>
      </c>
      <c r="N6" s="21">
        <v>30070862</v>
      </c>
      <c r="O6" s="21" t="s">
        <v>753</v>
      </c>
      <c r="P6" s="21"/>
      <c r="Q6" s="23" t="s">
        <v>51</v>
      </c>
      <c r="R6" s="24"/>
      <c r="S6" s="26">
        <v>7370081000</v>
      </c>
      <c r="T6" s="30">
        <v>1245597880</v>
      </c>
      <c r="U6" s="30">
        <f>1551918422+6283817-10870500</f>
        <v>1547331739</v>
      </c>
      <c r="V6" s="285">
        <f t="shared" si="1"/>
        <v>1300000</v>
      </c>
      <c r="W6" s="29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>
        <v>1300000</v>
      </c>
      <c r="AI6" s="30">
        <f t="shared" si="2"/>
        <v>1546031739</v>
      </c>
      <c r="AJ6" s="30">
        <f t="shared" si="0"/>
        <v>4577151381</v>
      </c>
      <c r="AK6" s="31" t="s">
        <v>43</v>
      </c>
      <c r="AL6" s="32" t="s">
        <v>44</v>
      </c>
    </row>
    <row r="7" spans="1:42" s="33" customFormat="1" ht="25.5" hidden="1" customHeight="1" outlineLevel="2">
      <c r="A7" s="19"/>
      <c r="B7" s="19">
        <v>31</v>
      </c>
      <c r="C7" s="19"/>
      <c r="D7" s="19" t="s">
        <v>33</v>
      </c>
      <c r="E7" s="19" t="s">
        <v>34</v>
      </c>
      <c r="F7" s="19" t="s">
        <v>35</v>
      </c>
      <c r="G7" s="20" t="s">
        <v>49</v>
      </c>
      <c r="H7" s="21" t="s">
        <v>50</v>
      </c>
      <c r="I7" s="19" t="s">
        <v>38</v>
      </c>
      <c r="J7" s="19" t="s">
        <v>38</v>
      </c>
      <c r="K7" s="22">
        <v>1</v>
      </c>
      <c r="L7" s="19" t="s">
        <v>46</v>
      </c>
      <c r="M7" s="23" t="s">
        <v>40</v>
      </c>
      <c r="N7" s="21">
        <v>30134836</v>
      </c>
      <c r="O7" s="21" t="s">
        <v>753</v>
      </c>
      <c r="P7" s="21"/>
      <c r="Q7" s="23" t="s">
        <v>52</v>
      </c>
      <c r="R7" s="24"/>
      <c r="S7" s="26">
        <v>3295526000</v>
      </c>
      <c r="T7" s="30">
        <v>1000146478</v>
      </c>
      <c r="U7" s="30">
        <v>1100045175</v>
      </c>
      <c r="V7" s="285">
        <f t="shared" si="1"/>
        <v>0</v>
      </c>
      <c r="W7" s="29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>
        <v>0</v>
      </c>
      <c r="AI7" s="30">
        <f t="shared" si="2"/>
        <v>1100045175</v>
      </c>
      <c r="AJ7" s="30">
        <f t="shared" si="0"/>
        <v>1195334347</v>
      </c>
      <c r="AK7" s="31" t="s">
        <v>43</v>
      </c>
      <c r="AL7" s="32" t="s">
        <v>44</v>
      </c>
    </row>
    <row r="8" spans="1:42" s="33" customFormat="1" ht="25.5" hidden="1" customHeight="1" outlineLevel="2">
      <c r="A8" s="19"/>
      <c r="B8" s="19">
        <v>31</v>
      </c>
      <c r="C8" s="19"/>
      <c r="D8" s="19" t="s">
        <v>33</v>
      </c>
      <c r="E8" s="19" t="s">
        <v>34</v>
      </c>
      <c r="F8" s="19" t="s">
        <v>35</v>
      </c>
      <c r="G8" s="20" t="s">
        <v>49</v>
      </c>
      <c r="H8" s="21" t="s">
        <v>53</v>
      </c>
      <c r="I8" s="19" t="s">
        <v>38</v>
      </c>
      <c r="J8" s="19" t="s">
        <v>38</v>
      </c>
      <c r="K8" s="22">
        <v>1</v>
      </c>
      <c r="L8" s="19" t="s">
        <v>46</v>
      </c>
      <c r="M8" s="23" t="s">
        <v>40</v>
      </c>
      <c r="N8" s="21">
        <v>40004690</v>
      </c>
      <c r="O8" s="21" t="s">
        <v>753</v>
      </c>
      <c r="P8" s="21"/>
      <c r="Q8" s="23" t="s">
        <v>54</v>
      </c>
      <c r="R8" s="24"/>
      <c r="S8" s="26">
        <v>1127041000</v>
      </c>
      <c r="T8" s="30">
        <v>232520067</v>
      </c>
      <c r="U8" s="30">
        <v>538510046</v>
      </c>
      <c r="V8" s="285">
        <f t="shared" si="1"/>
        <v>0</v>
      </c>
      <c r="W8" s="29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>
        <v>0</v>
      </c>
      <c r="AI8" s="30">
        <f t="shared" si="2"/>
        <v>538510046</v>
      </c>
      <c r="AJ8" s="30">
        <f t="shared" si="0"/>
        <v>356010887</v>
      </c>
      <c r="AK8" s="31" t="s">
        <v>43</v>
      </c>
      <c r="AL8" s="32" t="s">
        <v>44</v>
      </c>
    </row>
    <row r="9" spans="1:42" s="33" customFormat="1" ht="25.5" hidden="1" customHeight="1" outlineLevel="2">
      <c r="A9" s="19"/>
      <c r="B9" s="19">
        <v>31</v>
      </c>
      <c r="C9" s="19"/>
      <c r="D9" s="19" t="s">
        <v>33</v>
      </c>
      <c r="E9" s="19" t="s">
        <v>34</v>
      </c>
      <c r="F9" s="19"/>
      <c r="G9" s="20"/>
      <c r="H9" s="21" t="s">
        <v>55</v>
      </c>
      <c r="I9" s="19" t="s">
        <v>38</v>
      </c>
      <c r="J9" s="19" t="s">
        <v>38</v>
      </c>
      <c r="K9" s="22">
        <v>1</v>
      </c>
      <c r="L9" s="19" t="s">
        <v>46</v>
      </c>
      <c r="M9" s="23" t="s">
        <v>56</v>
      </c>
      <c r="N9" s="21">
        <v>40015396</v>
      </c>
      <c r="O9" s="21"/>
      <c r="P9" s="21"/>
      <c r="Q9" s="23" t="s">
        <v>57</v>
      </c>
      <c r="R9" s="24"/>
      <c r="S9" s="26">
        <v>76160000</v>
      </c>
      <c r="T9" s="30">
        <v>0</v>
      </c>
      <c r="U9" s="30">
        <v>61160000</v>
      </c>
      <c r="V9" s="285">
        <f t="shared" si="1"/>
        <v>0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>
        <v>0</v>
      </c>
      <c r="AI9" s="30">
        <f t="shared" si="2"/>
        <v>61160000</v>
      </c>
      <c r="AJ9" s="30">
        <f t="shared" si="0"/>
        <v>15000000</v>
      </c>
      <c r="AK9" s="31" t="s">
        <v>43</v>
      </c>
      <c r="AL9" s="32" t="s">
        <v>44</v>
      </c>
    </row>
    <row r="10" spans="1:42" s="18" customFormat="1" ht="25.5" hidden="1" customHeight="1" outlineLevel="1">
      <c r="A10" s="35"/>
      <c r="B10" s="35"/>
      <c r="C10" s="35"/>
      <c r="D10" s="35"/>
      <c r="E10" s="35"/>
      <c r="F10" s="36"/>
      <c r="G10" s="36"/>
      <c r="H10" s="37"/>
      <c r="I10" s="36"/>
      <c r="J10" s="36"/>
      <c r="K10" s="36"/>
      <c r="L10" s="35"/>
      <c r="M10" s="38"/>
      <c r="N10" s="39"/>
      <c r="O10" s="39"/>
      <c r="P10" s="39"/>
      <c r="Q10" s="40" t="s">
        <v>58</v>
      </c>
      <c r="R10" s="41"/>
      <c r="S10" s="44">
        <f>SUBTOTAL(9,S4:S9)</f>
        <v>0</v>
      </c>
      <c r="T10" s="44">
        <f>SUBTOTAL(9,T4:T9)</f>
        <v>0</v>
      </c>
      <c r="U10" s="44">
        <f t="shared" ref="U10" si="3">SUBTOTAL(9,U4:U9)</f>
        <v>0</v>
      </c>
      <c r="V10" s="44">
        <f t="shared" ref="V10" si="4">SUBTOTAL(9,V4:V9)</f>
        <v>0</v>
      </c>
      <c r="W10" s="44">
        <f t="shared" ref="W10" si="5">SUBTOTAL(9,W4:W9)</f>
        <v>0</v>
      </c>
      <c r="X10" s="44">
        <f t="shared" ref="X10" si="6">SUBTOTAL(9,X4:X9)</f>
        <v>0</v>
      </c>
      <c r="Y10" s="44">
        <f t="shared" ref="Y10" si="7">SUBTOTAL(9,Y4:Y9)</f>
        <v>0</v>
      </c>
      <c r="Z10" s="44">
        <f t="shared" ref="Z10" si="8">SUBTOTAL(9,Z4:Z9)</f>
        <v>0</v>
      </c>
      <c r="AA10" s="44">
        <f t="shared" ref="AA10" si="9">SUBTOTAL(9,AA4:AA9)</f>
        <v>0</v>
      </c>
      <c r="AB10" s="44">
        <f t="shared" ref="AB10" si="10">SUBTOTAL(9,AB4:AB9)</f>
        <v>0</v>
      </c>
      <c r="AC10" s="44">
        <f t="shared" ref="AC10" si="11">SUBTOTAL(9,AC4:AC9)</f>
        <v>0</v>
      </c>
      <c r="AD10" s="44">
        <f t="shared" ref="AD10" si="12">SUBTOTAL(9,AD4:AD9)</f>
        <v>0</v>
      </c>
      <c r="AE10" s="44">
        <f t="shared" ref="AE10" si="13">SUBTOTAL(9,AE4:AE9)</f>
        <v>0</v>
      </c>
      <c r="AF10" s="44">
        <f t="shared" ref="AF10" si="14">SUBTOTAL(9,AF4:AF9)</f>
        <v>0</v>
      </c>
      <c r="AG10" s="44">
        <f t="shared" ref="AG10" si="15">SUBTOTAL(9,AG4:AG9)</f>
        <v>0</v>
      </c>
      <c r="AH10" s="44">
        <v>1300000</v>
      </c>
      <c r="AI10" s="44">
        <f t="shared" ref="AI10" si="16">SUBTOTAL(9,AI4:AI9)</f>
        <v>0</v>
      </c>
      <c r="AJ10" s="44">
        <f t="shared" ref="AJ10" si="17">SUBTOTAL(9,AJ4:AJ9)</f>
        <v>0</v>
      </c>
      <c r="AK10" s="45"/>
    </row>
    <row r="11" spans="1:42" s="38" customFormat="1" ht="25.5" hidden="1" customHeight="1" outlineLevel="1">
      <c r="A11" s="35"/>
      <c r="B11" s="35"/>
      <c r="C11" s="35"/>
      <c r="D11" s="35"/>
      <c r="E11" s="35"/>
      <c r="F11" s="36"/>
      <c r="G11" s="36"/>
      <c r="H11" s="37"/>
      <c r="I11" s="36"/>
      <c r="J11" s="36"/>
      <c r="K11" s="36"/>
      <c r="L11" s="35"/>
      <c r="N11" s="39"/>
      <c r="O11" s="39"/>
      <c r="P11" s="39"/>
      <c r="Q11" s="46"/>
      <c r="R11" s="42"/>
      <c r="S11" s="47"/>
      <c r="T11" s="47"/>
      <c r="U11" s="47"/>
      <c r="V11" s="47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7"/>
      <c r="AJ11" s="47"/>
      <c r="AK11" s="45"/>
    </row>
    <row r="12" spans="1:42" s="18" customFormat="1" ht="25.5" hidden="1" customHeight="1" outlineLevel="1">
      <c r="A12" s="35"/>
      <c r="B12" s="35"/>
      <c r="C12" s="35"/>
      <c r="D12" s="35"/>
      <c r="E12" s="35"/>
      <c r="F12" s="36"/>
      <c r="G12" s="36"/>
      <c r="H12" s="37"/>
      <c r="I12" s="36"/>
      <c r="J12" s="36"/>
      <c r="K12" s="36"/>
      <c r="L12" s="35"/>
      <c r="M12" s="38"/>
      <c r="N12" s="39"/>
      <c r="O12" s="39"/>
      <c r="P12" s="39"/>
      <c r="Q12" s="49" t="s">
        <v>59</v>
      </c>
      <c r="R12" s="50"/>
      <c r="S12" s="51"/>
      <c r="T12" s="52"/>
      <c r="U12" s="52"/>
      <c r="V12" s="52"/>
      <c r="W12" s="52"/>
      <c r="X12" s="52"/>
      <c r="Y12" s="52"/>
      <c r="Z12" s="53"/>
      <c r="AA12" s="53"/>
      <c r="AB12" s="53"/>
      <c r="AC12" s="53"/>
      <c r="AD12" s="53"/>
      <c r="AE12" s="53"/>
      <c r="AF12" s="53"/>
      <c r="AG12" s="53"/>
      <c r="AH12" s="53"/>
      <c r="AI12" s="52"/>
      <c r="AJ12" s="52"/>
      <c r="AK12" s="45"/>
    </row>
    <row r="13" spans="1:42" s="33" customFormat="1" ht="25.5" customHeight="1" outlineLevel="2">
      <c r="A13" s="54"/>
      <c r="B13" s="801">
        <v>31</v>
      </c>
      <c r="C13" s="729"/>
      <c r="D13" s="54" t="s">
        <v>33</v>
      </c>
      <c r="E13" s="801" t="s">
        <v>60</v>
      </c>
      <c r="F13" s="729" t="s">
        <v>35</v>
      </c>
      <c r="G13" s="55" t="s">
        <v>49</v>
      </c>
      <c r="H13" s="56" t="s">
        <v>61</v>
      </c>
      <c r="I13" s="801" t="s">
        <v>38</v>
      </c>
      <c r="J13" s="801" t="s">
        <v>38</v>
      </c>
      <c r="K13" s="57">
        <v>1</v>
      </c>
      <c r="L13" s="54" t="s">
        <v>46</v>
      </c>
      <c r="M13" s="802" t="s">
        <v>40</v>
      </c>
      <c r="N13" s="803">
        <v>30463800</v>
      </c>
      <c r="O13" s="770" t="s">
        <v>685</v>
      </c>
      <c r="P13" s="56"/>
      <c r="Q13" s="802" t="s">
        <v>62</v>
      </c>
      <c r="R13" s="24"/>
      <c r="S13" s="804">
        <v>4144186000</v>
      </c>
      <c r="T13" s="805">
        <v>0</v>
      </c>
      <c r="U13" s="805">
        <v>800645988.66666698</v>
      </c>
      <c r="V13" s="805">
        <f t="shared" si="1"/>
        <v>0</v>
      </c>
      <c r="W13" s="29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>
        <v>0</v>
      </c>
      <c r="AI13" s="805">
        <f t="shared" si="2"/>
        <v>800645988.66666698</v>
      </c>
      <c r="AJ13" s="805">
        <f>+S13-T13-V13-AI13</f>
        <v>3343540011.333333</v>
      </c>
      <c r="AK13" s="806" t="s">
        <v>43</v>
      </c>
      <c r="AL13" s="806" t="s">
        <v>759</v>
      </c>
      <c r="AM13" s="806" t="str">
        <f>HYPERLINK(CONCATENATE("DOCUMENTOS\ACTA-",N13,".PDF"))</f>
        <v>DOCUMENTOS\ACTA-30463800.PDF</v>
      </c>
      <c r="AN13" s="807"/>
      <c r="AO13" s="33" t="e">
        <f>VLOOKUP(N13,'CONVENIOS 2021'!A$1:A$53,1,FALSE)</f>
        <v>#N/A</v>
      </c>
      <c r="AP13" s="33" t="e">
        <f>VLOOKUP(N13,'CONVENIOS 2020'!A$2:A$72,1,FALSE)</f>
        <v>#N/A</v>
      </c>
    </row>
    <row r="14" spans="1:42" s="33" customFormat="1" ht="25.5" customHeight="1" outlineLevel="2">
      <c r="A14" s="54"/>
      <c r="B14" s="801">
        <v>31</v>
      </c>
      <c r="C14" s="729"/>
      <c r="D14" s="54" t="s">
        <v>33</v>
      </c>
      <c r="E14" s="801" t="s">
        <v>60</v>
      </c>
      <c r="F14" s="729" t="s">
        <v>35</v>
      </c>
      <c r="G14" s="55" t="s">
        <v>49</v>
      </c>
      <c r="H14" s="56" t="s">
        <v>64</v>
      </c>
      <c r="I14" s="801" t="s">
        <v>38</v>
      </c>
      <c r="J14" s="801" t="s">
        <v>38</v>
      </c>
      <c r="K14" s="57">
        <v>1</v>
      </c>
      <c r="L14" s="54" t="s">
        <v>46</v>
      </c>
      <c r="M14" s="802" t="s">
        <v>40</v>
      </c>
      <c r="N14" s="803">
        <v>40019022</v>
      </c>
      <c r="O14" s="770" t="s">
        <v>685</v>
      </c>
      <c r="P14" s="56"/>
      <c r="Q14" s="802" t="s">
        <v>65</v>
      </c>
      <c r="R14" s="62"/>
      <c r="S14" s="804">
        <v>519400000</v>
      </c>
      <c r="T14" s="805">
        <v>0</v>
      </c>
      <c r="U14" s="805">
        <v>200970000</v>
      </c>
      <c r="V14" s="805">
        <f t="shared" si="1"/>
        <v>0</v>
      </c>
      <c r="W14" s="157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28">
        <v>0</v>
      </c>
      <c r="AI14" s="805">
        <f t="shared" si="2"/>
        <v>200970000</v>
      </c>
      <c r="AJ14" s="805">
        <f>+S14-T14-V14-AI14</f>
        <v>318430000</v>
      </c>
      <c r="AK14" s="806" t="s">
        <v>43</v>
      </c>
      <c r="AL14" s="806" t="s">
        <v>765</v>
      </c>
      <c r="AM14" s="806" t="str">
        <f t="shared" ref="AM14" si="18">HYPERLINK(CONCATENATE("DOCUMENTOS\ACTA-",N14,".PDF"))</f>
        <v>DOCUMENTOS\ACTA-40019022.PDF</v>
      </c>
      <c r="AN14" s="807"/>
      <c r="AO14" s="33" t="e">
        <f>VLOOKUP(N14,'CONVENIOS 2021'!A$1:A$53,1,FALSE)</f>
        <v>#N/A</v>
      </c>
      <c r="AP14" s="33" t="e">
        <f>VLOOKUP(N14,'CONVENIOS 2020'!A$2:A$72,1,FALSE)</f>
        <v>#N/A</v>
      </c>
    </row>
    <row r="15" spans="1:42" s="18" customFormat="1" ht="25.5" hidden="1" customHeight="1" outlineLevel="1">
      <c r="A15" s="35"/>
      <c r="B15" s="35"/>
      <c r="C15" s="35"/>
      <c r="D15" s="35"/>
      <c r="E15" s="35"/>
      <c r="F15" s="36"/>
      <c r="G15" s="36"/>
      <c r="H15" s="37"/>
      <c r="I15" s="36"/>
      <c r="J15" s="36"/>
      <c r="K15" s="36"/>
      <c r="L15" s="35"/>
      <c r="M15" s="38"/>
      <c r="N15" s="39"/>
      <c r="O15" s="39"/>
      <c r="P15" s="39"/>
      <c r="Q15" s="139" t="s">
        <v>67</v>
      </c>
      <c r="R15" s="64"/>
      <c r="S15" s="140">
        <f t="shared" ref="S15" si="19">SUBTOTAL(9,S13:S14)</f>
        <v>4663586000</v>
      </c>
      <c r="T15" s="140">
        <f t="shared" ref="T15:AJ15" si="20">SUBTOTAL(9,T13:T14)</f>
        <v>0</v>
      </c>
      <c r="U15" s="140">
        <f t="shared" si="20"/>
        <v>1001615988.666667</v>
      </c>
      <c r="V15" s="140">
        <f t="shared" si="20"/>
        <v>0</v>
      </c>
      <c r="W15" s="65">
        <f t="shared" si="20"/>
        <v>0</v>
      </c>
      <c r="X15" s="65">
        <f t="shared" si="20"/>
        <v>0</v>
      </c>
      <c r="Y15" s="65">
        <f t="shared" si="20"/>
        <v>0</v>
      </c>
      <c r="Z15" s="65">
        <f t="shared" si="20"/>
        <v>0</v>
      </c>
      <c r="AA15" s="65">
        <f t="shared" si="20"/>
        <v>0</v>
      </c>
      <c r="AB15" s="65">
        <f t="shared" si="20"/>
        <v>0</v>
      </c>
      <c r="AC15" s="65">
        <f t="shared" si="20"/>
        <v>0</v>
      </c>
      <c r="AD15" s="65">
        <f t="shared" si="20"/>
        <v>0</v>
      </c>
      <c r="AE15" s="65">
        <f t="shared" si="20"/>
        <v>0</v>
      </c>
      <c r="AF15" s="65">
        <f t="shared" si="20"/>
        <v>0</v>
      </c>
      <c r="AG15" s="65">
        <f t="shared" si="20"/>
        <v>0</v>
      </c>
      <c r="AH15" s="65">
        <v>0</v>
      </c>
      <c r="AI15" s="140">
        <f t="shared" si="20"/>
        <v>1001615988.666667</v>
      </c>
      <c r="AJ15" s="140">
        <f t="shared" si="20"/>
        <v>3661970011.333333</v>
      </c>
      <c r="AK15" s="796"/>
      <c r="AL15" s="796"/>
      <c r="AM15" s="796"/>
      <c r="AN15" s="799"/>
    </row>
    <row r="16" spans="1:42" s="38" customFormat="1" ht="25.5" hidden="1" customHeight="1" outlineLevel="1">
      <c r="A16" s="35"/>
      <c r="B16" s="35"/>
      <c r="C16" s="35"/>
      <c r="D16" s="35"/>
      <c r="E16" s="35"/>
      <c r="F16" s="36"/>
      <c r="G16" s="36"/>
      <c r="H16" s="37"/>
      <c r="I16" s="36"/>
      <c r="J16" s="36"/>
      <c r="K16" s="36"/>
      <c r="L16" s="35"/>
      <c r="N16" s="39"/>
      <c r="O16" s="39"/>
      <c r="P16" s="39"/>
      <c r="Q16" s="46"/>
      <c r="R16" s="42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796"/>
      <c r="AL16" s="796"/>
      <c r="AM16" s="796"/>
      <c r="AN16" s="799"/>
    </row>
    <row r="17" spans="1:42" s="38" customFormat="1" ht="25.5" hidden="1" customHeight="1" outlineLevel="1">
      <c r="A17" s="35"/>
      <c r="B17" s="35"/>
      <c r="C17" s="35"/>
      <c r="D17" s="35"/>
      <c r="E17" s="35"/>
      <c r="F17" s="36"/>
      <c r="G17" s="36"/>
      <c r="H17" s="37"/>
      <c r="I17" s="36"/>
      <c r="J17" s="36"/>
      <c r="K17" s="36"/>
      <c r="L17" s="35"/>
      <c r="N17" s="39"/>
      <c r="O17" s="39"/>
      <c r="P17" s="39"/>
      <c r="Q17" s="49" t="s">
        <v>68</v>
      </c>
      <c r="R17" s="42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796"/>
      <c r="AL17" s="796"/>
      <c r="AM17" s="796"/>
      <c r="AN17" s="799"/>
    </row>
    <row r="18" spans="1:42" s="33" customFormat="1" ht="25.5" customHeight="1" outlineLevel="2">
      <c r="A18" s="66"/>
      <c r="B18" s="801">
        <v>31</v>
      </c>
      <c r="C18" s="730"/>
      <c r="D18" s="66" t="s">
        <v>33</v>
      </c>
      <c r="E18" s="801" t="s">
        <v>69</v>
      </c>
      <c r="F18" s="730" t="s">
        <v>35</v>
      </c>
      <c r="G18" s="67" t="s">
        <v>49</v>
      </c>
      <c r="H18" s="68" t="s">
        <v>64</v>
      </c>
      <c r="I18" s="801" t="s">
        <v>38</v>
      </c>
      <c r="J18" s="801" t="s">
        <v>38</v>
      </c>
      <c r="K18" s="69">
        <v>1</v>
      </c>
      <c r="L18" s="66" t="s">
        <v>46</v>
      </c>
      <c r="M18" s="802" t="s">
        <v>40</v>
      </c>
      <c r="N18" s="803">
        <v>40019026</v>
      </c>
      <c r="O18" s="771" t="s">
        <v>685</v>
      </c>
      <c r="P18" s="68"/>
      <c r="Q18" s="802" t="s">
        <v>70</v>
      </c>
      <c r="R18" s="24"/>
      <c r="S18" s="804">
        <v>1815521000</v>
      </c>
      <c r="T18" s="805">
        <v>0</v>
      </c>
      <c r="U18" s="805">
        <v>200776050</v>
      </c>
      <c r="V18" s="805">
        <f t="shared" si="1"/>
        <v>0</v>
      </c>
      <c r="W18" s="29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>
        <v>0</v>
      </c>
      <c r="AI18" s="805">
        <f t="shared" si="2"/>
        <v>200776050</v>
      </c>
      <c r="AJ18" s="805">
        <f>+S18-T18-V18-AI18</f>
        <v>1614744950</v>
      </c>
      <c r="AK18" s="806" t="s">
        <v>43</v>
      </c>
      <c r="AL18" s="806" t="s">
        <v>759</v>
      </c>
      <c r="AM18" s="806" t="str">
        <f t="shared" ref="AM18:AM19" si="21">HYPERLINK(CONCATENATE("DOCUMENTOS\ACTA-",N18,".PDF"))</f>
        <v>DOCUMENTOS\ACTA-40019026.PDF</v>
      </c>
      <c r="AN18" s="807"/>
      <c r="AO18" s="33" t="e">
        <f>VLOOKUP(N18,'CONVENIOS 2021'!A$1:A$53,1,FALSE)</f>
        <v>#N/A</v>
      </c>
      <c r="AP18" s="33" t="e">
        <f>VLOOKUP(N18,'CONVENIOS 2020'!A$2:A$72,1,FALSE)</f>
        <v>#N/A</v>
      </c>
    </row>
    <row r="19" spans="1:42" s="33" customFormat="1" ht="25.5" customHeight="1" outlineLevel="2">
      <c r="A19" s="66"/>
      <c r="B19" s="801">
        <v>31</v>
      </c>
      <c r="C19" s="730"/>
      <c r="D19" s="66" t="s">
        <v>33</v>
      </c>
      <c r="E19" s="801" t="s">
        <v>69</v>
      </c>
      <c r="F19" s="730" t="s">
        <v>35</v>
      </c>
      <c r="G19" s="67" t="s">
        <v>49</v>
      </c>
      <c r="H19" s="68" t="s">
        <v>50</v>
      </c>
      <c r="I19" s="801" t="s">
        <v>38</v>
      </c>
      <c r="J19" s="801" t="s">
        <v>38</v>
      </c>
      <c r="K19" s="69">
        <v>1</v>
      </c>
      <c r="L19" s="66" t="s">
        <v>46</v>
      </c>
      <c r="M19" s="802" t="s">
        <v>56</v>
      </c>
      <c r="N19" s="803">
        <v>40016735</v>
      </c>
      <c r="O19" s="771"/>
      <c r="P19" s="68"/>
      <c r="Q19" s="802" t="s">
        <v>71</v>
      </c>
      <c r="R19" s="24"/>
      <c r="S19" s="804">
        <v>193804000</v>
      </c>
      <c r="T19" s="805">
        <v>0</v>
      </c>
      <c r="U19" s="805">
        <v>50690200</v>
      </c>
      <c r="V19" s="805">
        <f t="shared" si="1"/>
        <v>0</v>
      </c>
      <c r="W19" s="29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>
        <v>0</v>
      </c>
      <c r="AI19" s="805">
        <f t="shared" si="2"/>
        <v>50690200</v>
      </c>
      <c r="AJ19" s="805">
        <f>+S19-T19-V19-AI19</f>
        <v>143113800</v>
      </c>
      <c r="AK19" s="806" t="s">
        <v>43</v>
      </c>
      <c r="AL19" s="806" t="s">
        <v>770</v>
      </c>
      <c r="AM19" s="806"/>
      <c r="AN19" s="807"/>
      <c r="AO19" s="33" t="e">
        <f>VLOOKUP(N19,'CONVENIOS 2021'!A$1:A$53,1,FALSE)</f>
        <v>#N/A</v>
      </c>
      <c r="AP19" s="33" t="e">
        <f>VLOOKUP(N19,'CONVENIOS 2020'!A$2:A$72,1,FALSE)</f>
        <v>#N/A</v>
      </c>
    </row>
    <row r="20" spans="1:42" s="33" customFormat="1" ht="25.5" hidden="1" customHeight="1" outlineLevel="2">
      <c r="A20" s="66"/>
      <c r="B20" s="180">
        <v>31</v>
      </c>
      <c r="C20" s="66"/>
      <c r="D20" s="66" t="s">
        <v>33</v>
      </c>
      <c r="E20" s="180" t="s">
        <v>69</v>
      </c>
      <c r="F20" s="66"/>
      <c r="G20" s="67"/>
      <c r="H20" s="68" t="s">
        <v>72</v>
      </c>
      <c r="I20" s="180" t="s">
        <v>38</v>
      </c>
      <c r="J20" s="180" t="s">
        <v>38</v>
      </c>
      <c r="K20" s="69">
        <v>1</v>
      </c>
      <c r="L20" s="66" t="s">
        <v>46</v>
      </c>
      <c r="M20" s="184" t="s">
        <v>40</v>
      </c>
      <c r="N20" s="182">
        <v>30257472</v>
      </c>
      <c r="O20" s="177" t="s">
        <v>685</v>
      </c>
      <c r="P20" s="177"/>
      <c r="Q20" s="773" t="s">
        <v>73</v>
      </c>
      <c r="R20" s="24"/>
      <c r="S20" s="774">
        <v>562400000</v>
      </c>
      <c r="T20" s="775">
        <v>47479757</v>
      </c>
      <c r="U20" s="775">
        <v>100000000</v>
      </c>
      <c r="V20" s="776">
        <f t="shared" si="1"/>
        <v>0</v>
      </c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>
        <v>0</v>
      </c>
      <c r="AI20" s="189">
        <f t="shared" si="2"/>
        <v>100000000</v>
      </c>
      <c r="AJ20" s="189">
        <f>+S20-T20-V20-AI20</f>
        <v>414920243</v>
      </c>
      <c r="AK20" s="796" t="s">
        <v>43</v>
      </c>
      <c r="AL20" s="796"/>
      <c r="AM20" s="796"/>
      <c r="AN20" s="799"/>
    </row>
    <row r="21" spans="1:42" s="33" customFormat="1" ht="25.5" hidden="1" customHeight="1" outlineLevel="2">
      <c r="A21" s="66"/>
      <c r="B21" s="66">
        <v>31</v>
      </c>
      <c r="C21" s="730"/>
      <c r="D21" s="66" t="s">
        <v>33</v>
      </c>
      <c r="E21" s="66" t="s">
        <v>69</v>
      </c>
      <c r="F21" s="730"/>
      <c r="G21" s="67"/>
      <c r="H21" s="68" t="s">
        <v>45</v>
      </c>
      <c r="I21" s="66" t="s">
        <v>38</v>
      </c>
      <c r="J21" s="66" t="s">
        <v>38</v>
      </c>
      <c r="K21" s="69">
        <v>1</v>
      </c>
      <c r="L21" s="66" t="s">
        <v>46</v>
      </c>
      <c r="M21" s="70" t="s">
        <v>40</v>
      </c>
      <c r="N21" s="68">
        <v>40008282</v>
      </c>
      <c r="O21" s="68"/>
      <c r="P21" s="68"/>
      <c r="Q21" s="742" t="s">
        <v>74</v>
      </c>
      <c r="R21" s="24"/>
      <c r="S21" s="71">
        <v>988704000</v>
      </c>
      <c r="T21" s="72">
        <v>0</v>
      </c>
      <c r="U21" s="72">
        <v>300000000</v>
      </c>
      <c r="V21" s="297">
        <f t="shared" si="1"/>
        <v>0</v>
      </c>
      <c r="W21" s="29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>
        <v>0</v>
      </c>
      <c r="AI21" s="72">
        <f t="shared" si="2"/>
        <v>300000000</v>
      </c>
      <c r="AJ21" s="72">
        <f>+S21-T21-V21-AI21</f>
        <v>688704000</v>
      </c>
      <c r="AK21" s="796" t="s">
        <v>43</v>
      </c>
      <c r="AL21" s="796" t="s">
        <v>66</v>
      </c>
      <c r="AM21" s="796"/>
      <c r="AN21" s="799"/>
      <c r="AO21" s="33">
        <f>VLOOKUP(N21,'CONVENIOS 2021'!A$1:A$53,1,FALSE)</f>
        <v>40008282</v>
      </c>
    </row>
    <row r="22" spans="1:42" s="33" customFormat="1" ht="25.5" hidden="1" customHeight="1" outlineLevel="2">
      <c r="A22" s="66"/>
      <c r="B22" s="66">
        <v>33</v>
      </c>
      <c r="C22" s="66"/>
      <c r="D22" s="66" t="s">
        <v>76</v>
      </c>
      <c r="E22" s="66" t="s">
        <v>69</v>
      </c>
      <c r="F22" s="66" t="s">
        <v>35</v>
      </c>
      <c r="G22" s="67" t="s">
        <v>49</v>
      </c>
      <c r="H22" s="68" t="s">
        <v>61</v>
      </c>
      <c r="I22" s="66" t="s">
        <v>38</v>
      </c>
      <c r="J22" s="66" t="s">
        <v>38</v>
      </c>
      <c r="K22" s="69">
        <v>1</v>
      </c>
      <c r="L22" s="66" t="s">
        <v>76</v>
      </c>
      <c r="M22" s="70" t="s">
        <v>40</v>
      </c>
      <c r="N22" s="68" t="s">
        <v>76</v>
      </c>
      <c r="O22" s="68"/>
      <c r="P22" s="177"/>
      <c r="Q22" s="74" t="s">
        <v>77</v>
      </c>
      <c r="R22" s="77"/>
      <c r="S22" s="75">
        <v>200000000</v>
      </c>
      <c r="T22" s="76">
        <v>0</v>
      </c>
      <c r="U22" s="76">
        <v>200000000</v>
      </c>
      <c r="V22" s="296">
        <f t="shared" si="1"/>
        <v>0</v>
      </c>
      <c r="W22" s="79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6">
        <f t="shared" si="2"/>
        <v>200000000</v>
      </c>
      <c r="AJ22" s="76">
        <f>+S22-T22-V22-AI22</f>
        <v>0</v>
      </c>
      <c r="AK22" s="796" t="s">
        <v>78</v>
      </c>
      <c r="AL22" s="796" t="s">
        <v>79</v>
      </c>
      <c r="AM22" s="796"/>
      <c r="AN22" s="799"/>
    </row>
    <row r="23" spans="1:42" s="38" customFormat="1" ht="25.5" hidden="1" customHeight="1" outlineLevel="1">
      <c r="A23" s="35"/>
      <c r="B23" s="35"/>
      <c r="C23" s="35"/>
      <c r="D23" s="35"/>
      <c r="E23" s="35"/>
      <c r="F23" s="36"/>
      <c r="G23" s="36"/>
      <c r="H23" s="37"/>
      <c r="I23" s="36"/>
      <c r="J23" s="36"/>
      <c r="K23" s="36"/>
      <c r="L23" s="35"/>
      <c r="N23" s="39"/>
      <c r="O23" s="39"/>
      <c r="P23" s="39"/>
      <c r="Q23" s="80" t="s">
        <v>80</v>
      </c>
      <c r="R23" s="42"/>
      <c r="S23" s="81">
        <f>SUBTOTAL(9,S18:S22)</f>
        <v>2009325000</v>
      </c>
      <c r="T23" s="81">
        <f>SUBTOTAL(9,T18:T22)</f>
        <v>0</v>
      </c>
      <c r="U23" s="81">
        <f t="shared" ref="U23:AJ23" si="22">SUBTOTAL(9,U18:U22)</f>
        <v>251466250</v>
      </c>
      <c r="V23" s="81">
        <f t="shared" si="22"/>
        <v>0</v>
      </c>
      <c r="W23" s="81">
        <f t="shared" si="22"/>
        <v>0</v>
      </c>
      <c r="X23" s="81">
        <f t="shared" si="22"/>
        <v>0</v>
      </c>
      <c r="Y23" s="81">
        <f t="shared" si="22"/>
        <v>0</v>
      </c>
      <c r="Z23" s="81">
        <f t="shared" si="22"/>
        <v>0</v>
      </c>
      <c r="AA23" s="81">
        <f t="shared" si="22"/>
        <v>0</v>
      </c>
      <c r="AB23" s="81">
        <f t="shared" si="22"/>
        <v>0</v>
      </c>
      <c r="AC23" s="81">
        <f t="shared" si="22"/>
        <v>0</v>
      </c>
      <c r="AD23" s="81">
        <f t="shared" si="22"/>
        <v>0</v>
      </c>
      <c r="AE23" s="81">
        <f t="shared" si="22"/>
        <v>0</v>
      </c>
      <c r="AF23" s="81">
        <f t="shared" si="22"/>
        <v>0</v>
      </c>
      <c r="AG23" s="81">
        <f t="shared" si="22"/>
        <v>0</v>
      </c>
      <c r="AH23" s="81">
        <v>0</v>
      </c>
      <c r="AI23" s="81">
        <f t="shared" si="22"/>
        <v>251466250</v>
      </c>
      <c r="AJ23" s="81">
        <f t="shared" si="22"/>
        <v>1757858750</v>
      </c>
      <c r="AK23" s="796"/>
      <c r="AL23" s="796"/>
      <c r="AM23" s="796"/>
      <c r="AN23" s="799"/>
    </row>
    <row r="24" spans="1:42" s="38" customFormat="1" ht="25.5" hidden="1" customHeight="1" outlineLevel="1">
      <c r="A24" s="35"/>
      <c r="B24" s="35"/>
      <c r="C24" s="35"/>
      <c r="D24" s="35"/>
      <c r="E24" s="35"/>
      <c r="F24" s="36"/>
      <c r="G24" s="36"/>
      <c r="H24" s="37"/>
      <c r="I24" s="36"/>
      <c r="J24" s="36"/>
      <c r="K24" s="36"/>
      <c r="L24" s="35"/>
      <c r="N24" s="39"/>
      <c r="O24" s="39"/>
      <c r="P24" s="39"/>
      <c r="Q24" s="46"/>
      <c r="R24" s="42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796"/>
      <c r="AL24" s="796"/>
      <c r="AM24" s="796"/>
      <c r="AN24" s="799"/>
    </row>
    <row r="25" spans="1:42" s="90" customFormat="1" ht="25.5" hidden="1" customHeight="1" outlineLevel="1">
      <c r="A25" s="82"/>
      <c r="B25" s="82"/>
      <c r="C25" s="82"/>
      <c r="D25" s="82"/>
      <c r="E25" s="82"/>
      <c r="F25" s="82"/>
      <c r="G25" s="82"/>
      <c r="H25" s="83"/>
      <c r="I25" s="82"/>
      <c r="J25" s="82"/>
      <c r="K25" s="82"/>
      <c r="L25" s="82"/>
      <c r="M25" s="84"/>
      <c r="N25" s="83"/>
      <c r="O25" s="39"/>
      <c r="P25" s="39"/>
      <c r="Q25" s="85" t="s">
        <v>81</v>
      </c>
      <c r="R25" s="86"/>
      <c r="S25" s="88">
        <f>S10+S15+S23</f>
        <v>6672911000</v>
      </c>
      <c r="T25" s="88">
        <f>T10+T15+T23</f>
        <v>0</v>
      </c>
      <c r="U25" s="88">
        <f t="shared" ref="U25:AJ25" si="23">U10+U15+U23</f>
        <v>1253082238.666667</v>
      </c>
      <c r="V25" s="88">
        <f t="shared" si="23"/>
        <v>0</v>
      </c>
      <c r="W25" s="88">
        <f t="shared" si="23"/>
        <v>0</v>
      </c>
      <c r="X25" s="88">
        <f t="shared" si="23"/>
        <v>0</v>
      </c>
      <c r="Y25" s="88">
        <f t="shared" si="23"/>
        <v>0</v>
      </c>
      <c r="Z25" s="88">
        <f t="shared" si="23"/>
        <v>0</v>
      </c>
      <c r="AA25" s="88">
        <f t="shared" si="23"/>
        <v>0</v>
      </c>
      <c r="AB25" s="88">
        <f t="shared" si="23"/>
        <v>0</v>
      </c>
      <c r="AC25" s="88">
        <f t="shared" si="23"/>
        <v>0</v>
      </c>
      <c r="AD25" s="88">
        <f t="shared" si="23"/>
        <v>0</v>
      </c>
      <c r="AE25" s="88">
        <f t="shared" si="23"/>
        <v>0</v>
      </c>
      <c r="AF25" s="88">
        <f t="shared" si="23"/>
        <v>0</v>
      </c>
      <c r="AG25" s="88">
        <f t="shared" si="23"/>
        <v>0</v>
      </c>
      <c r="AH25" s="88">
        <v>1300000</v>
      </c>
      <c r="AI25" s="88">
        <f t="shared" si="23"/>
        <v>1253082238.666667</v>
      </c>
      <c r="AJ25" s="88">
        <f t="shared" si="23"/>
        <v>5419828761.333333</v>
      </c>
      <c r="AK25" s="796"/>
      <c r="AL25" s="796"/>
      <c r="AM25" s="796"/>
      <c r="AN25" s="799"/>
    </row>
    <row r="26" spans="1:42" s="90" customFormat="1" ht="25.5" hidden="1" customHeight="1" outlineLevel="1">
      <c r="A26" s="82"/>
      <c r="B26" s="82"/>
      <c r="C26" s="82"/>
      <c r="D26" s="82"/>
      <c r="E26" s="82"/>
      <c r="F26" s="82"/>
      <c r="G26" s="82"/>
      <c r="H26" s="83"/>
      <c r="I26" s="82"/>
      <c r="J26" s="82"/>
      <c r="K26" s="82"/>
      <c r="L26" s="82"/>
      <c r="M26" s="84"/>
      <c r="N26" s="83"/>
      <c r="O26" s="39"/>
      <c r="P26" s="39"/>
      <c r="Q26" s="91"/>
      <c r="R26" s="87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796"/>
      <c r="AL26" s="796"/>
      <c r="AM26" s="796"/>
      <c r="AN26" s="799"/>
    </row>
    <row r="27" spans="1:42" s="90" customFormat="1" ht="25.5" hidden="1" customHeight="1" outlineLevel="1">
      <c r="A27" s="82"/>
      <c r="B27" s="82"/>
      <c r="C27" s="82"/>
      <c r="D27" s="82"/>
      <c r="E27" s="82"/>
      <c r="F27" s="82"/>
      <c r="G27" s="82"/>
      <c r="H27" s="83"/>
      <c r="I27" s="82"/>
      <c r="J27" s="82"/>
      <c r="K27" s="82"/>
      <c r="L27" s="82"/>
      <c r="M27" s="84"/>
      <c r="N27" s="83"/>
      <c r="O27" s="39"/>
      <c r="P27" s="39"/>
      <c r="Q27" s="596"/>
      <c r="R27" s="87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796"/>
      <c r="AL27" s="796"/>
      <c r="AM27" s="796"/>
      <c r="AN27" s="799"/>
    </row>
    <row r="28" spans="1:42" s="18" customFormat="1" ht="25.5" hidden="1" customHeight="1" outlineLevel="1">
      <c r="A28" s="36"/>
      <c r="B28" s="36"/>
      <c r="C28" s="36"/>
      <c r="D28" s="36"/>
      <c r="E28" s="36"/>
      <c r="F28" s="36"/>
      <c r="G28" s="36"/>
      <c r="H28" s="37"/>
      <c r="I28" s="36"/>
      <c r="J28" s="36"/>
      <c r="K28" s="36"/>
      <c r="L28" s="36"/>
      <c r="M28" s="95"/>
      <c r="N28" s="37"/>
      <c r="O28" s="39"/>
      <c r="P28" s="39"/>
      <c r="Q28" s="96" t="s">
        <v>82</v>
      </c>
      <c r="R28" s="50"/>
      <c r="S28" s="97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796"/>
      <c r="AL28" s="796"/>
      <c r="AM28" s="796"/>
      <c r="AN28" s="799"/>
    </row>
    <row r="29" spans="1:42" s="33" customFormat="1" ht="25.5" hidden="1" customHeight="1" outlineLevel="2">
      <c r="A29" s="35"/>
      <c r="B29" s="35"/>
      <c r="C29" s="35"/>
      <c r="D29" s="35"/>
      <c r="E29" s="35"/>
      <c r="F29" s="36"/>
      <c r="G29" s="36"/>
      <c r="H29" s="37"/>
      <c r="I29" s="36"/>
      <c r="J29" s="36"/>
      <c r="K29" s="36"/>
      <c r="L29" s="35"/>
      <c r="M29" s="38"/>
      <c r="N29" s="39"/>
      <c r="O29" s="39"/>
      <c r="P29" s="39"/>
      <c r="Q29" s="17" t="s">
        <v>32</v>
      </c>
      <c r="R29" s="50"/>
      <c r="S29" s="51"/>
      <c r="T29" s="52"/>
      <c r="U29" s="52"/>
      <c r="V29" s="52"/>
      <c r="W29" s="52"/>
      <c r="X29" s="52"/>
      <c r="Y29" s="52"/>
      <c r="Z29" s="53"/>
      <c r="AA29" s="53"/>
      <c r="AB29" s="53"/>
      <c r="AC29" s="53"/>
      <c r="AD29" s="53"/>
      <c r="AE29" s="53"/>
      <c r="AF29" s="53"/>
      <c r="AG29" s="53"/>
      <c r="AH29" s="53"/>
      <c r="AI29" s="52"/>
      <c r="AJ29" s="52"/>
      <c r="AK29" s="796"/>
      <c r="AL29" s="796"/>
      <c r="AM29" s="796"/>
      <c r="AN29" s="799"/>
    </row>
    <row r="30" spans="1:42" s="33" customFormat="1" ht="25.5" hidden="1" customHeight="1" outlineLevel="2">
      <c r="A30" s="19"/>
      <c r="B30" s="19">
        <v>31</v>
      </c>
      <c r="C30" s="19"/>
      <c r="D30" s="19" t="s">
        <v>33</v>
      </c>
      <c r="E30" s="19" t="s">
        <v>34</v>
      </c>
      <c r="F30" s="19" t="s">
        <v>84</v>
      </c>
      <c r="G30" s="20" t="s">
        <v>49</v>
      </c>
      <c r="H30" s="21" t="s">
        <v>85</v>
      </c>
      <c r="I30" s="19" t="s">
        <v>38</v>
      </c>
      <c r="J30" s="19" t="s">
        <v>86</v>
      </c>
      <c r="K30" s="22">
        <v>2</v>
      </c>
      <c r="L30" s="19" t="s">
        <v>46</v>
      </c>
      <c r="M30" s="21" t="s">
        <v>56</v>
      </c>
      <c r="N30" s="21">
        <v>30412923</v>
      </c>
      <c r="O30" s="21"/>
      <c r="P30" s="21"/>
      <c r="Q30" s="23" t="s">
        <v>87</v>
      </c>
      <c r="R30" s="24"/>
      <c r="S30" s="26">
        <v>19780000</v>
      </c>
      <c r="T30" s="26">
        <v>7512000</v>
      </c>
      <c r="U30" s="30">
        <v>12268000</v>
      </c>
      <c r="V30" s="285">
        <f t="shared" si="1"/>
        <v>0</v>
      </c>
      <c r="W30" s="29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>
        <v>0</v>
      </c>
      <c r="AI30" s="30">
        <f t="shared" si="2"/>
        <v>12268000</v>
      </c>
      <c r="AJ30" s="30">
        <f>+S30-T30-V30-AI30</f>
        <v>0</v>
      </c>
      <c r="AK30" s="796" t="s">
        <v>43</v>
      </c>
      <c r="AL30" s="796" t="s">
        <v>83</v>
      </c>
      <c r="AM30" s="796"/>
      <c r="AN30" s="799"/>
    </row>
    <row r="31" spans="1:42" s="33" customFormat="1" ht="25.5" hidden="1" customHeight="1" outlineLevel="2">
      <c r="A31" s="19"/>
      <c r="B31" s="19">
        <v>31</v>
      </c>
      <c r="C31" s="19"/>
      <c r="D31" s="19" t="s">
        <v>33</v>
      </c>
      <c r="E31" s="19" t="s">
        <v>34</v>
      </c>
      <c r="F31" s="19" t="s">
        <v>84</v>
      </c>
      <c r="G31" s="20" t="s">
        <v>49</v>
      </c>
      <c r="H31" s="21" t="s">
        <v>50</v>
      </c>
      <c r="I31" s="19" t="s">
        <v>38</v>
      </c>
      <c r="J31" s="19" t="s">
        <v>86</v>
      </c>
      <c r="K31" s="22">
        <v>2</v>
      </c>
      <c r="L31" s="19" t="s">
        <v>88</v>
      </c>
      <c r="M31" s="23" t="s">
        <v>40</v>
      </c>
      <c r="N31" s="21">
        <v>30478036</v>
      </c>
      <c r="O31" s="21" t="s">
        <v>685</v>
      </c>
      <c r="P31" s="21"/>
      <c r="Q31" s="23" t="s">
        <v>89</v>
      </c>
      <c r="R31" s="24"/>
      <c r="S31" s="26">
        <v>1264238764</v>
      </c>
      <c r="T31" s="30">
        <v>987598930</v>
      </c>
      <c r="U31" s="30">
        <f>594447162-317807328</f>
        <v>276639834</v>
      </c>
      <c r="V31" s="285">
        <f t="shared" si="1"/>
        <v>150000007</v>
      </c>
      <c r="W31" s="29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>
        <v>150000007</v>
      </c>
      <c r="AI31" s="30">
        <f t="shared" si="2"/>
        <v>126639827</v>
      </c>
      <c r="AJ31" s="30">
        <f>+S31-T31-V31-AI31</f>
        <v>0</v>
      </c>
      <c r="AK31" s="796" t="s">
        <v>43</v>
      </c>
      <c r="AL31" s="796" t="s">
        <v>44</v>
      </c>
      <c r="AM31" s="796"/>
      <c r="AN31" s="799"/>
    </row>
    <row r="32" spans="1:42" s="38" customFormat="1" ht="25.5" hidden="1" customHeight="1" outlineLevel="1">
      <c r="A32" s="35"/>
      <c r="B32" s="35"/>
      <c r="C32" s="35"/>
      <c r="D32" s="35"/>
      <c r="E32" s="35"/>
      <c r="F32" s="36"/>
      <c r="G32" s="36"/>
      <c r="H32" s="37"/>
      <c r="I32" s="36"/>
      <c r="J32" s="36"/>
      <c r="K32" s="36"/>
      <c r="L32" s="35"/>
      <c r="N32" s="39"/>
      <c r="O32" s="39"/>
      <c r="P32" s="39"/>
      <c r="Q32" s="40" t="s">
        <v>58</v>
      </c>
      <c r="R32" s="41"/>
      <c r="S32" s="44">
        <f>SUBTOTAL(9,S30:S31)</f>
        <v>0</v>
      </c>
      <c r="T32" s="44">
        <f>SUBTOTAL(9,T30:T31)</f>
        <v>0</v>
      </c>
      <c r="U32" s="44">
        <f>SUBTOTAL(9,U30:U31)</f>
        <v>0</v>
      </c>
      <c r="V32" s="44">
        <f t="shared" ref="V32:AJ32" si="24">SUBTOTAL(9,V30:V31)</f>
        <v>0</v>
      </c>
      <c r="W32" s="44">
        <f t="shared" si="24"/>
        <v>0</v>
      </c>
      <c r="X32" s="44">
        <f t="shared" si="24"/>
        <v>0</v>
      </c>
      <c r="Y32" s="44">
        <f t="shared" si="24"/>
        <v>0</v>
      </c>
      <c r="Z32" s="44">
        <f t="shared" si="24"/>
        <v>0</v>
      </c>
      <c r="AA32" s="44">
        <f t="shared" si="24"/>
        <v>0</v>
      </c>
      <c r="AB32" s="44">
        <f t="shared" si="24"/>
        <v>0</v>
      </c>
      <c r="AC32" s="44">
        <f t="shared" si="24"/>
        <v>0</v>
      </c>
      <c r="AD32" s="44">
        <f t="shared" si="24"/>
        <v>0</v>
      </c>
      <c r="AE32" s="44">
        <f t="shared" si="24"/>
        <v>0</v>
      </c>
      <c r="AF32" s="44">
        <f t="shared" si="24"/>
        <v>0</v>
      </c>
      <c r="AG32" s="44">
        <f t="shared" si="24"/>
        <v>0</v>
      </c>
      <c r="AH32" s="44">
        <v>150000007</v>
      </c>
      <c r="AI32" s="44">
        <f t="shared" si="24"/>
        <v>0</v>
      </c>
      <c r="AJ32" s="44">
        <f t="shared" si="24"/>
        <v>0</v>
      </c>
      <c r="AK32" s="796"/>
      <c r="AL32" s="796" t="s">
        <v>90</v>
      </c>
      <c r="AM32" s="796"/>
      <c r="AN32" s="799"/>
    </row>
    <row r="33" spans="1:40" s="18" customFormat="1" ht="25.5" hidden="1" customHeight="1" outlineLevel="1">
      <c r="A33" s="35"/>
      <c r="B33" s="35"/>
      <c r="C33" s="35"/>
      <c r="D33" s="35"/>
      <c r="E33" s="35"/>
      <c r="F33" s="36"/>
      <c r="G33" s="36"/>
      <c r="H33" s="37"/>
      <c r="I33" s="36"/>
      <c r="J33" s="36"/>
      <c r="K33" s="36"/>
      <c r="L33" s="35"/>
      <c r="M33" s="38"/>
      <c r="N33" s="39"/>
      <c r="O33" s="39"/>
      <c r="P33" s="39"/>
      <c r="Q33" s="46"/>
      <c r="R33" s="42"/>
      <c r="S33" s="47"/>
      <c r="T33" s="47"/>
      <c r="U33" s="47"/>
      <c r="V33" s="47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7"/>
      <c r="AJ33" s="47"/>
      <c r="AK33" s="796"/>
      <c r="AL33" s="796"/>
      <c r="AM33" s="796"/>
      <c r="AN33" s="799"/>
    </row>
    <row r="34" spans="1:40" s="33" customFormat="1" ht="25.5" hidden="1" customHeight="1" outlineLevel="2">
      <c r="A34" s="35"/>
      <c r="B34" s="35"/>
      <c r="C34" s="35"/>
      <c r="D34" s="35"/>
      <c r="E34" s="35"/>
      <c r="F34" s="36"/>
      <c r="G34" s="36"/>
      <c r="H34" s="37"/>
      <c r="I34" s="36"/>
      <c r="J34" s="36"/>
      <c r="K34" s="36"/>
      <c r="L34" s="35"/>
      <c r="M34" s="38"/>
      <c r="N34" s="39"/>
      <c r="O34" s="39"/>
      <c r="P34" s="39"/>
      <c r="Q34" s="49" t="s">
        <v>59</v>
      </c>
      <c r="R34" s="50"/>
      <c r="S34" s="51"/>
      <c r="T34" s="52"/>
      <c r="U34" s="52"/>
      <c r="V34" s="52"/>
      <c r="W34" s="52"/>
      <c r="X34" s="52"/>
      <c r="Y34" s="52"/>
      <c r="Z34" s="53"/>
      <c r="AA34" s="53"/>
      <c r="AB34" s="53"/>
      <c r="AC34" s="53"/>
      <c r="AD34" s="53"/>
      <c r="AE34" s="53"/>
      <c r="AF34" s="53"/>
      <c r="AG34" s="53"/>
      <c r="AH34" s="53"/>
      <c r="AI34" s="52"/>
      <c r="AJ34" s="52"/>
      <c r="AK34" s="796"/>
      <c r="AL34" s="796"/>
      <c r="AM34" s="796"/>
      <c r="AN34" s="799"/>
    </row>
    <row r="35" spans="1:40" s="18" customFormat="1" ht="25.5" hidden="1" customHeight="1" outlineLevel="1">
      <c r="A35" s="54"/>
      <c r="B35" s="54">
        <v>31</v>
      </c>
      <c r="C35" s="54"/>
      <c r="D35" s="54" t="s">
        <v>33</v>
      </c>
      <c r="E35" s="54" t="s">
        <v>60</v>
      </c>
      <c r="F35" s="54" t="s">
        <v>84</v>
      </c>
      <c r="G35" s="55" t="s">
        <v>36</v>
      </c>
      <c r="H35" s="56" t="s">
        <v>37</v>
      </c>
      <c r="I35" s="54" t="s">
        <v>38</v>
      </c>
      <c r="J35" s="54" t="s">
        <v>86</v>
      </c>
      <c r="K35" s="57">
        <v>2</v>
      </c>
      <c r="L35" s="54" t="s">
        <v>46</v>
      </c>
      <c r="M35" s="58" t="s">
        <v>40</v>
      </c>
      <c r="N35" s="56">
        <v>40013401</v>
      </c>
      <c r="O35" s="597" t="s">
        <v>685</v>
      </c>
      <c r="P35" s="597"/>
      <c r="Q35" s="98" t="s">
        <v>91</v>
      </c>
      <c r="R35" s="24"/>
      <c r="S35" s="99">
        <v>449112000</v>
      </c>
      <c r="T35" s="100">
        <v>77420517</v>
      </c>
      <c r="U35" s="100">
        <v>160543272</v>
      </c>
      <c r="V35" s="292">
        <f t="shared" si="1"/>
        <v>114277752</v>
      </c>
      <c r="W35" s="29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>
        <v>114277752</v>
      </c>
      <c r="AI35" s="100">
        <f t="shared" si="2"/>
        <v>46265520</v>
      </c>
      <c r="AJ35" s="100">
        <f>+S35-T35-V35-AI35</f>
        <v>211148211</v>
      </c>
      <c r="AK35" s="796" t="s">
        <v>48</v>
      </c>
      <c r="AL35" s="796" t="s">
        <v>63</v>
      </c>
      <c r="AM35" s="796"/>
      <c r="AN35" s="799"/>
    </row>
    <row r="36" spans="1:40" s="38" customFormat="1" ht="25.5" hidden="1" customHeight="1" outlineLevel="1">
      <c r="A36" s="35"/>
      <c r="B36" s="35"/>
      <c r="C36" s="35"/>
      <c r="D36" s="35"/>
      <c r="E36" s="35"/>
      <c r="F36" s="36"/>
      <c r="G36" s="36"/>
      <c r="H36" s="37"/>
      <c r="I36" s="36"/>
      <c r="J36" s="36"/>
      <c r="K36" s="36"/>
      <c r="L36" s="35"/>
      <c r="N36" s="39"/>
      <c r="O36" s="39"/>
      <c r="P36" s="39"/>
      <c r="Q36" s="63" t="s">
        <v>67</v>
      </c>
      <c r="R36" s="41"/>
      <c r="S36" s="65">
        <f t="shared" ref="S36:AJ36" si="25">SUBTOTAL(9,S35:S35)</f>
        <v>0</v>
      </c>
      <c r="T36" s="65">
        <f t="shared" si="25"/>
        <v>0</v>
      </c>
      <c r="U36" s="65">
        <f t="shared" si="25"/>
        <v>0</v>
      </c>
      <c r="V36" s="65">
        <f t="shared" si="25"/>
        <v>0</v>
      </c>
      <c r="W36" s="65">
        <f t="shared" si="25"/>
        <v>0</v>
      </c>
      <c r="X36" s="65">
        <f t="shared" si="25"/>
        <v>0</v>
      </c>
      <c r="Y36" s="65">
        <f t="shared" si="25"/>
        <v>0</v>
      </c>
      <c r="Z36" s="65">
        <f t="shared" si="25"/>
        <v>0</v>
      </c>
      <c r="AA36" s="65">
        <f t="shared" si="25"/>
        <v>0</v>
      </c>
      <c r="AB36" s="65">
        <f t="shared" si="25"/>
        <v>0</v>
      </c>
      <c r="AC36" s="65">
        <f t="shared" si="25"/>
        <v>0</v>
      </c>
      <c r="AD36" s="65">
        <f t="shared" si="25"/>
        <v>0</v>
      </c>
      <c r="AE36" s="65">
        <f t="shared" si="25"/>
        <v>0</v>
      </c>
      <c r="AF36" s="65">
        <f t="shared" si="25"/>
        <v>0</v>
      </c>
      <c r="AG36" s="65">
        <f t="shared" si="25"/>
        <v>0</v>
      </c>
      <c r="AH36" s="65">
        <v>114277752</v>
      </c>
      <c r="AI36" s="65">
        <f>SUBTOTAL(9,AI35:AI35)</f>
        <v>0</v>
      </c>
      <c r="AJ36" s="65">
        <f t="shared" si="25"/>
        <v>0</v>
      </c>
      <c r="AK36" s="796"/>
      <c r="AL36" s="796"/>
      <c r="AM36" s="796"/>
      <c r="AN36" s="799"/>
    </row>
    <row r="37" spans="1:40" s="90" customFormat="1" ht="24.75" hidden="1" customHeight="1" outlineLevel="1">
      <c r="A37" s="35"/>
      <c r="B37" s="35"/>
      <c r="C37" s="35"/>
      <c r="D37" s="35"/>
      <c r="E37" s="35"/>
      <c r="F37" s="36"/>
      <c r="G37" s="36"/>
      <c r="H37" s="37"/>
      <c r="I37" s="36"/>
      <c r="J37" s="36"/>
      <c r="K37" s="36"/>
      <c r="L37" s="35"/>
      <c r="M37" s="38"/>
      <c r="N37" s="39"/>
      <c r="O37" s="39"/>
      <c r="P37" s="39"/>
      <c r="Q37" s="46"/>
      <c r="R37" s="42"/>
      <c r="S37" s="47"/>
      <c r="T37" s="47"/>
      <c r="U37" s="47"/>
      <c r="V37" s="47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47"/>
      <c r="AJ37" s="47"/>
      <c r="AK37" s="796"/>
      <c r="AL37" s="796"/>
      <c r="AM37" s="796"/>
      <c r="AN37" s="799"/>
    </row>
    <row r="38" spans="1:40" s="90" customFormat="1" ht="24.75" hidden="1" customHeight="1" outlineLevel="1">
      <c r="A38" s="35"/>
      <c r="B38" s="35"/>
      <c r="C38" s="35"/>
      <c r="D38" s="35"/>
      <c r="E38" s="35"/>
      <c r="F38" s="36"/>
      <c r="G38" s="36"/>
      <c r="H38" s="37"/>
      <c r="I38" s="36"/>
      <c r="J38" s="36"/>
      <c r="K38" s="36"/>
      <c r="L38" s="35"/>
      <c r="M38" s="38"/>
      <c r="N38" s="39"/>
      <c r="O38" s="39"/>
      <c r="P38" s="39"/>
      <c r="Q38" s="49" t="s">
        <v>68</v>
      </c>
      <c r="R38" s="42"/>
      <c r="S38" s="47"/>
      <c r="T38" s="47"/>
      <c r="U38" s="47"/>
      <c r="V38" s="47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47"/>
      <c r="AJ38" s="47"/>
      <c r="AK38" s="796"/>
      <c r="AL38" s="796"/>
      <c r="AM38" s="796"/>
      <c r="AN38" s="799"/>
    </row>
    <row r="39" spans="1:40" s="90" customFormat="1" ht="24.75" hidden="1" customHeight="1" outlineLevel="1">
      <c r="A39" s="102"/>
      <c r="B39" s="102">
        <v>29</v>
      </c>
      <c r="C39" s="102"/>
      <c r="D39" s="102" t="s">
        <v>92</v>
      </c>
      <c r="E39" s="102" t="s">
        <v>69</v>
      </c>
      <c r="F39" s="103"/>
      <c r="G39" s="103"/>
      <c r="H39" s="68" t="s">
        <v>61</v>
      </c>
      <c r="I39" s="66" t="s">
        <v>38</v>
      </c>
      <c r="J39" s="66" t="s">
        <v>86</v>
      </c>
      <c r="K39" s="66">
        <v>2</v>
      </c>
      <c r="L39" s="102" t="s">
        <v>46</v>
      </c>
      <c r="M39" s="104" t="s">
        <v>40</v>
      </c>
      <c r="N39" s="105">
        <v>40018079</v>
      </c>
      <c r="O39" s="68"/>
      <c r="P39" s="68"/>
      <c r="Q39" s="104" t="s">
        <v>93</v>
      </c>
      <c r="R39" s="106"/>
      <c r="S39" s="71">
        <v>300000000</v>
      </c>
      <c r="T39" s="71">
        <v>0</v>
      </c>
      <c r="U39" s="71">
        <v>300000000</v>
      </c>
      <c r="V39" s="301">
        <f t="shared" si="1"/>
        <v>0</v>
      </c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28">
        <v>0</v>
      </c>
      <c r="AI39" s="71">
        <f t="shared" si="2"/>
        <v>300000000</v>
      </c>
      <c r="AJ39" s="71">
        <f>+S39-T39-V39-AI39</f>
        <v>0</v>
      </c>
      <c r="AK39" s="796" t="s">
        <v>48</v>
      </c>
      <c r="AL39" s="796"/>
      <c r="AM39" s="796"/>
      <c r="AN39" s="799"/>
    </row>
    <row r="40" spans="1:40" s="18" customFormat="1" ht="25.5" hidden="1" customHeight="1" outlineLevel="1">
      <c r="A40" s="66"/>
      <c r="B40" s="66">
        <v>33</v>
      </c>
      <c r="C40" s="66"/>
      <c r="D40" s="66" t="s">
        <v>76</v>
      </c>
      <c r="E40" s="66" t="s">
        <v>69</v>
      </c>
      <c r="F40" s="66" t="s">
        <v>35</v>
      </c>
      <c r="G40" s="66" t="s">
        <v>49</v>
      </c>
      <c r="H40" s="68" t="s">
        <v>61</v>
      </c>
      <c r="I40" s="66" t="s">
        <v>38</v>
      </c>
      <c r="J40" s="66" t="s">
        <v>86</v>
      </c>
      <c r="K40" s="66">
        <v>2</v>
      </c>
      <c r="L40" s="66" t="s">
        <v>76</v>
      </c>
      <c r="M40" s="70" t="s">
        <v>40</v>
      </c>
      <c r="N40" s="68" t="s">
        <v>76</v>
      </c>
      <c r="O40" s="68"/>
      <c r="P40" s="68"/>
      <c r="Q40" s="70" t="s">
        <v>77</v>
      </c>
      <c r="R40" s="78"/>
      <c r="S40" s="71">
        <v>200000000</v>
      </c>
      <c r="T40" s="72">
        <v>0</v>
      </c>
      <c r="U40" s="72">
        <v>200000000</v>
      </c>
      <c r="V40" s="297">
        <f t="shared" si="1"/>
        <v>66666202</v>
      </c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>
        <v>66666202</v>
      </c>
      <c r="AI40" s="72">
        <f t="shared" si="2"/>
        <v>133333798</v>
      </c>
      <c r="AJ40" s="72">
        <f>+S40-T40-V40-AI40</f>
        <v>0</v>
      </c>
      <c r="AK40" s="796" t="s">
        <v>78</v>
      </c>
      <c r="AL40" s="796"/>
      <c r="AM40" s="796"/>
      <c r="AN40" s="799"/>
    </row>
    <row r="41" spans="1:40" s="90" customFormat="1" ht="24.75" hidden="1" customHeight="1" outlineLevel="1">
      <c r="A41" s="35"/>
      <c r="B41" s="35"/>
      <c r="C41" s="35"/>
      <c r="D41" s="35"/>
      <c r="E41" s="35"/>
      <c r="F41" s="36"/>
      <c r="G41" s="36"/>
      <c r="H41" s="37"/>
      <c r="I41" s="36"/>
      <c r="J41" s="36"/>
      <c r="K41" s="36"/>
      <c r="L41" s="35"/>
      <c r="M41" s="38"/>
      <c r="N41" s="39"/>
      <c r="O41" s="39"/>
      <c r="P41" s="39"/>
      <c r="Q41" s="108" t="s">
        <v>80</v>
      </c>
      <c r="R41" s="109"/>
      <c r="S41" s="110">
        <f t="shared" ref="S41:AJ41" si="26">SUBTOTAL(9,S39:S40)</f>
        <v>0</v>
      </c>
      <c r="T41" s="110">
        <f t="shared" si="26"/>
        <v>0</v>
      </c>
      <c r="U41" s="110">
        <f t="shared" si="26"/>
        <v>0</v>
      </c>
      <c r="V41" s="110">
        <f t="shared" si="26"/>
        <v>0</v>
      </c>
      <c r="W41" s="110">
        <f t="shared" si="26"/>
        <v>0</v>
      </c>
      <c r="X41" s="110">
        <f t="shared" si="26"/>
        <v>0</v>
      </c>
      <c r="Y41" s="110">
        <f t="shared" si="26"/>
        <v>0</v>
      </c>
      <c r="Z41" s="110">
        <f t="shared" si="26"/>
        <v>0</v>
      </c>
      <c r="AA41" s="110">
        <f t="shared" si="26"/>
        <v>0</v>
      </c>
      <c r="AB41" s="110">
        <f t="shared" si="26"/>
        <v>0</v>
      </c>
      <c r="AC41" s="110">
        <f t="shared" si="26"/>
        <v>0</v>
      </c>
      <c r="AD41" s="110">
        <f t="shared" si="26"/>
        <v>0</v>
      </c>
      <c r="AE41" s="110">
        <f t="shared" si="26"/>
        <v>0</v>
      </c>
      <c r="AF41" s="110">
        <f t="shared" si="26"/>
        <v>0</v>
      </c>
      <c r="AG41" s="110">
        <f t="shared" si="26"/>
        <v>0</v>
      </c>
      <c r="AH41" s="110">
        <v>66666202</v>
      </c>
      <c r="AI41" s="110">
        <f t="shared" si="26"/>
        <v>0</v>
      </c>
      <c r="AJ41" s="110">
        <f t="shared" si="26"/>
        <v>0</v>
      </c>
      <c r="AK41" s="796"/>
      <c r="AL41" s="796"/>
      <c r="AM41" s="796"/>
      <c r="AN41" s="799"/>
    </row>
    <row r="42" spans="1:40" s="90" customFormat="1" ht="24.75" hidden="1" customHeight="1" outlineLevel="1">
      <c r="A42" s="35"/>
      <c r="B42" s="35"/>
      <c r="C42" s="35"/>
      <c r="D42" s="35"/>
      <c r="E42" s="35"/>
      <c r="F42" s="36"/>
      <c r="G42" s="36"/>
      <c r="H42" s="37"/>
      <c r="I42" s="36"/>
      <c r="J42" s="36"/>
      <c r="K42" s="36"/>
      <c r="L42" s="35"/>
      <c r="M42" s="38"/>
      <c r="N42" s="39"/>
      <c r="O42" s="39"/>
      <c r="P42" s="39"/>
      <c r="Q42" s="46"/>
      <c r="R42" s="42"/>
      <c r="S42" s="47"/>
      <c r="T42" s="47"/>
      <c r="U42" s="47"/>
      <c r="V42" s="47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47"/>
      <c r="AJ42" s="47"/>
      <c r="AK42" s="796"/>
      <c r="AL42" s="796"/>
      <c r="AM42" s="796"/>
      <c r="AN42" s="799"/>
    </row>
    <row r="43" spans="1:40" s="84" customFormat="1" ht="24.75" hidden="1" customHeight="1" outlineLevel="1">
      <c r="A43" s="36"/>
      <c r="B43" s="82"/>
      <c r="C43" s="82"/>
      <c r="D43" s="36"/>
      <c r="E43" s="36"/>
      <c r="F43" s="36"/>
      <c r="G43" s="36"/>
      <c r="H43" s="37"/>
      <c r="I43" s="36"/>
      <c r="J43" s="36"/>
      <c r="K43" s="36"/>
      <c r="L43" s="82"/>
      <c r="N43" s="83"/>
      <c r="O43" s="39"/>
      <c r="P43" s="39"/>
      <c r="Q43" s="85" t="s">
        <v>94</v>
      </c>
      <c r="R43" s="111"/>
      <c r="S43" s="88">
        <f>S36+S32+S41</f>
        <v>0</v>
      </c>
      <c r="T43" s="88">
        <f>T36+T32+T41</f>
        <v>0</v>
      </c>
      <c r="U43" s="88">
        <f t="shared" ref="U43" si="27">U36+U32+U41</f>
        <v>0</v>
      </c>
      <c r="V43" s="88">
        <f t="shared" si="1"/>
        <v>330943961</v>
      </c>
      <c r="W43" s="88">
        <f t="shared" ref="W43:AG43" si="28">W36+W32+W41</f>
        <v>0</v>
      </c>
      <c r="X43" s="88">
        <f t="shared" si="28"/>
        <v>0</v>
      </c>
      <c r="Y43" s="88">
        <f t="shared" si="28"/>
        <v>0</v>
      </c>
      <c r="Z43" s="88">
        <f t="shared" si="28"/>
        <v>0</v>
      </c>
      <c r="AA43" s="88">
        <f t="shared" si="28"/>
        <v>0</v>
      </c>
      <c r="AB43" s="88">
        <f t="shared" si="28"/>
        <v>0</v>
      </c>
      <c r="AC43" s="88">
        <f t="shared" si="28"/>
        <v>0</v>
      </c>
      <c r="AD43" s="88">
        <f t="shared" si="28"/>
        <v>0</v>
      </c>
      <c r="AE43" s="88">
        <f t="shared" si="28"/>
        <v>0</v>
      </c>
      <c r="AF43" s="88">
        <f t="shared" si="28"/>
        <v>0</v>
      </c>
      <c r="AG43" s="88">
        <f t="shared" si="28"/>
        <v>0</v>
      </c>
      <c r="AH43" s="88">
        <v>330943961</v>
      </c>
      <c r="AI43" s="88">
        <f t="shared" si="2"/>
        <v>-330943961</v>
      </c>
      <c r="AJ43" s="88">
        <f>+S43-T43-V43-AI43</f>
        <v>0</v>
      </c>
      <c r="AK43" s="796"/>
      <c r="AL43" s="796"/>
      <c r="AM43" s="796"/>
      <c r="AN43" s="799"/>
    </row>
    <row r="44" spans="1:40" s="84" customFormat="1" ht="24.75" hidden="1" customHeight="1" outlineLevel="1">
      <c r="A44" s="36"/>
      <c r="B44" s="82"/>
      <c r="C44" s="82"/>
      <c r="D44" s="36"/>
      <c r="E44" s="36"/>
      <c r="F44" s="36"/>
      <c r="G44" s="36"/>
      <c r="H44" s="37"/>
      <c r="I44" s="36"/>
      <c r="J44" s="36"/>
      <c r="K44" s="36"/>
      <c r="L44" s="82"/>
      <c r="N44" s="83"/>
      <c r="O44" s="39"/>
      <c r="P44" s="39"/>
      <c r="Q44" s="91"/>
      <c r="R44" s="87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796"/>
      <c r="AL44" s="796"/>
      <c r="AM44" s="796"/>
      <c r="AN44" s="799"/>
    </row>
    <row r="45" spans="1:40" s="18" customFormat="1" ht="25.5" hidden="1" customHeight="1" outlineLevel="1">
      <c r="A45" s="36"/>
      <c r="B45" s="36"/>
      <c r="C45" s="36"/>
      <c r="D45" s="36"/>
      <c r="E45" s="36"/>
      <c r="F45" s="36"/>
      <c r="G45" s="36"/>
      <c r="H45" s="37"/>
      <c r="I45" s="36"/>
      <c r="J45" s="36"/>
      <c r="K45" s="36"/>
      <c r="L45" s="36"/>
      <c r="M45" s="95"/>
      <c r="N45" s="37"/>
      <c r="O45" s="39"/>
      <c r="P45" s="39"/>
      <c r="Q45" s="96" t="s">
        <v>95</v>
      </c>
      <c r="R45" s="50"/>
      <c r="S45" s="97"/>
      <c r="T45" s="97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796"/>
      <c r="AL45" s="796"/>
      <c r="AM45" s="796"/>
      <c r="AN45" s="799"/>
    </row>
    <row r="46" spans="1:40" s="33" customFormat="1" ht="25.5" hidden="1" customHeight="1" outlineLevel="2">
      <c r="A46" s="35"/>
      <c r="B46" s="35"/>
      <c r="C46" s="35"/>
      <c r="D46" s="35"/>
      <c r="E46" s="35"/>
      <c r="F46" s="36"/>
      <c r="G46" s="36"/>
      <c r="H46" s="37"/>
      <c r="I46" s="36"/>
      <c r="J46" s="36"/>
      <c r="K46" s="36"/>
      <c r="L46" s="35"/>
      <c r="M46" s="38"/>
      <c r="N46" s="39"/>
      <c r="O46" s="39"/>
      <c r="P46" s="39"/>
      <c r="Q46" s="17" t="s">
        <v>32</v>
      </c>
      <c r="R46" s="50"/>
      <c r="S46" s="51"/>
      <c r="T46" s="51"/>
      <c r="U46" s="52"/>
      <c r="V46" s="52"/>
      <c r="W46" s="52"/>
      <c r="X46" s="52"/>
      <c r="Y46" s="52"/>
      <c r="Z46" s="53"/>
      <c r="AA46" s="53"/>
      <c r="AB46" s="53"/>
      <c r="AC46" s="53"/>
      <c r="AD46" s="53"/>
      <c r="AE46" s="53"/>
      <c r="AF46" s="53"/>
      <c r="AG46" s="53"/>
      <c r="AH46" s="53"/>
      <c r="AI46" s="52"/>
      <c r="AJ46" s="52"/>
      <c r="AK46" s="796"/>
      <c r="AL46" s="796"/>
      <c r="AM46" s="796"/>
      <c r="AN46" s="799"/>
    </row>
    <row r="47" spans="1:40" s="33" customFormat="1" ht="25.5" hidden="1" customHeight="1" outlineLevel="2">
      <c r="A47" s="19"/>
      <c r="B47" s="19">
        <v>31</v>
      </c>
      <c r="C47" s="19"/>
      <c r="D47" s="19" t="s">
        <v>33</v>
      </c>
      <c r="E47" s="19" t="s">
        <v>34</v>
      </c>
      <c r="F47" s="19" t="s">
        <v>84</v>
      </c>
      <c r="G47" s="20" t="s">
        <v>49</v>
      </c>
      <c r="H47" s="21" t="s">
        <v>53</v>
      </c>
      <c r="I47" s="19" t="s">
        <v>38</v>
      </c>
      <c r="J47" s="19" t="s">
        <v>96</v>
      </c>
      <c r="K47" s="22">
        <v>3</v>
      </c>
      <c r="L47" s="19" t="s">
        <v>46</v>
      </c>
      <c r="M47" s="23" t="s">
        <v>40</v>
      </c>
      <c r="N47" s="21">
        <v>30134930</v>
      </c>
      <c r="O47" s="21" t="s">
        <v>685</v>
      </c>
      <c r="P47" s="21"/>
      <c r="Q47" s="23" t="s">
        <v>97</v>
      </c>
      <c r="R47" s="24"/>
      <c r="S47" s="26">
        <v>1004973000</v>
      </c>
      <c r="T47" s="30">
        <v>917630386</v>
      </c>
      <c r="U47" s="30">
        <f>139745001-52402387</f>
        <v>87342614</v>
      </c>
      <c r="V47" s="285">
        <f t="shared" si="1"/>
        <v>0</v>
      </c>
      <c r="W47" s="29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>
        <v>0</v>
      </c>
      <c r="AI47" s="30">
        <f t="shared" si="2"/>
        <v>87342614</v>
      </c>
      <c r="AJ47" s="30">
        <f>+S47-T47-V47-AI47</f>
        <v>0</v>
      </c>
      <c r="AK47" s="796" t="s">
        <v>43</v>
      </c>
      <c r="AL47" s="796" t="s">
        <v>44</v>
      </c>
      <c r="AM47" s="796"/>
      <c r="AN47" s="799"/>
    </row>
    <row r="48" spans="1:40" s="33" customFormat="1" ht="25.5" hidden="1" customHeight="1" outlineLevel="2">
      <c r="A48" s="19"/>
      <c r="B48" s="19">
        <v>31</v>
      </c>
      <c r="C48" s="19"/>
      <c r="D48" s="19" t="s">
        <v>33</v>
      </c>
      <c r="E48" s="19" t="s">
        <v>34</v>
      </c>
      <c r="F48" s="19" t="s">
        <v>84</v>
      </c>
      <c r="G48" s="20" t="s">
        <v>49</v>
      </c>
      <c r="H48" s="21" t="s">
        <v>85</v>
      </c>
      <c r="I48" s="19" t="s">
        <v>38</v>
      </c>
      <c r="J48" s="19" t="s">
        <v>96</v>
      </c>
      <c r="K48" s="22">
        <v>3</v>
      </c>
      <c r="L48" s="19" t="s">
        <v>46</v>
      </c>
      <c r="M48" s="21" t="s">
        <v>56</v>
      </c>
      <c r="N48" s="21">
        <v>30171924</v>
      </c>
      <c r="O48" s="21" t="s">
        <v>753</v>
      </c>
      <c r="P48" s="21"/>
      <c r="Q48" s="23" t="s">
        <v>98</v>
      </c>
      <c r="R48" s="24"/>
      <c r="S48" s="26">
        <v>16859700</v>
      </c>
      <c r="T48" s="30">
        <v>16219730</v>
      </c>
      <c r="U48" s="30">
        <f>1685970-1046000</f>
        <v>639970</v>
      </c>
      <c r="V48" s="285">
        <f t="shared" si="1"/>
        <v>0</v>
      </c>
      <c r="W48" s="29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>
        <v>0</v>
      </c>
      <c r="AI48" s="30">
        <f t="shared" si="2"/>
        <v>639970</v>
      </c>
      <c r="AJ48" s="30">
        <f>+S48-T48-V48-AI48</f>
        <v>0</v>
      </c>
      <c r="AK48" s="796" t="s">
        <v>43</v>
      </c>
      <c r="AL48" s="796" t="s">
        <v>44</v>
      </c>
      <c r="AM48" s="796"/>
      <c r="AN48" s="799"/>
    </row>
    <row r="49" spans="1:42" s="33" customFormat="1" ht="25.5" hidden="1" customHeight="1" outlineLevel="2">
      <c r="A49" s="19"/>
      <c r="B49" s="19">
        <v>31</v>
      </c>
      <c r="C49" s="19"/>
      <c r="D49" s="19" t="s">
        <v>33</v>
      </c>
      <c r="E49" s="19" t="s">
        <v>34</v>
      </c>
      <c r="F49" s="19" t="s">
        <v>84</v>
      </c>
      <c r="G49" s="20" t="s">
        <v>49</v>
      </c>
      <c r="H49" s="21" t="s">
        <v>85</v>
      </c>
      <c r="I49" s="19" t="s">
        <v>38</v>
      </c>
      <c r="J49" s="19" t="s">
        <v>96</v>
      </c>
      <c r="K49" s="22">
        <v>3</v>
      </c>
      <c r="L49" s="19" t="s">
        <v>46</v>
      </c>
      <c r="M49" s="23" t="s">
        <v>56</v>
      </c>
      <c r="N49" s="21">
        <v>30171875</v>
      </c>
      <c r="O49" s="21" t="s">
        <v>753</v>
      </c>
      <c r="P49" s="21"/>
      <c r="Q49" s="23" t="s">
        <v>99</v>
      </c>
      <c r="R49" s="24"/>
      <c r="S49" s="26">
        <v>25140000</v>
      </c>
      <c r="T49" s="30">
        <v>4610000</v>
      </c>
      <c r="U49" s="30">
        <f>16760000+1046000</f>
        <v>17806000</v>
      </c>
      <c r="V49" s="285">
        <f t="shared" si="1"/>
        <v>0</v>
      </c>
      <c r="W49" s="29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>
        <v>0</v>
      </c>
      <c r="AI49" s="30">
        <f t="shared" si="2"/>
        <v>17806000</v>
      </c>
      <c r="AJ49" s="30">
        <f>+S49-T49-V49-AI49</f>
        <v>2724000</v>
      </c>
      <c r="AK49" s="796" t="s">
        <v>43</v>
      </c>
      <c r="AL49" s="796" t="s">
        <v>44</v>
      </c>
      <c r="AM49" s="796"/>
      <c r="AN49" s="799"/>
    </row>
    <row r="50" spans="1:42" s="33" customFormat="1" ht="25.5" hidden="1" customHeight="1" outlineLevel="2">
      <c r="A50" s="19"/>
      <c r="B50" s="19">
        <v>31</v>
      </c>
      <c r="C50" s="19"/>
      <c r="D50" s="19" t="s">
        <v>33</v>
      </c>
      <c r="E50" s="19" t="s">
        <v>34</v>
      </c>
      <c r="F50" s="19" t="s">
        <v>84</v>
      </c>
      <c r="G50" s="20" t="s">
        <v>49</v>
      </c>
      <c r="H50" s="21" t="s">
        <v>85</v>
      </c>
      <c r="I50" s="19" t="s">
        <v>38</v>
      </c>
      <c r="J50" s="19" t="s">
        <v>96</v>
      </c>
      <c r="K50" s="22">
        <v>3</v>
      </c>
      <c r="L50" s="19" t="s">
        <v>46</v>
      </c>
      <c r="M50" s="21" t="s">
        <v>56</v>
      </c>
      <c r="N50" s="21">
        <v>30171923</v>
      </c>
      <c r="O50" s="21" t="s">
        <v>753</v>
      </c>
      <c r="P50" s="21"/>
      <c r="Q50" s="23" t="s">
        <v>100</v>
      </c>
      <c r="R50" s="24"/>
      <c r="S50" s="26">
        <v>19500000</v>
      </c>
      <c r="T50" s="26">
        <v>7800000</v>
      </c>
      <c r="U50" s="30">
        <v>11700000</v>
      </c>
      <c r="V50" s="285">
        <f t="shared" si="1"/>
        <v>0</v>
      </c>
      <c r="W50" s="29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>
        <v>0</v>
      </c>
      <c r="AI50" s="30">
        <f t="shared" si="2"/>
        <v>11700000</v>
      </c>
      <c r="AJ50" s="30">
        <f>+S50-T50-V50-AI50</f>
        <v>0</v>
      </c>
      <c r="AK50" s="796" t="s">
        <v>43</v>
      </c>
      <c r="AL50" s="796" t="s">
        <v>44</v>
      </c>
      <c r="AM50" s="796"/>
      <c r="AN50" s="799"/>
    </row>
    <row r="51" spans="1:42" s="33" customFormat="1" ht="25.5" hidden="1" customHeight="1" outlineLevel="2">
      <c r="A51" s="19"/>
      <c r="B51" s="19">
        <v>31</v>
      </c>
      <c r="C51" s="19"/>
      <c r="D51" s="19" t="s">
        <v>33</v>
      </c>
      <c r="E51" s="19" t="s">
        <v>34</v>
      </c>
      <c r="F51" s="19"/>
      <c r="G51" s="20"/>
      <c r="H51" s="21" t="s">
        <v>72</v>
      </c>
      <c r="I51" s="19" t="s">
        <v>38</v>
      </c>
      <c r="J51" s="19" t="s">
        <v>96</v>
      </c>
      <c r="K51" s="22">
        <v>3</v>
      </c>
      <c r="L51" s="19" t="s">
        <v>46</v>
      </c>
      <c r="M51" s="21" t="s">
        <v>40</v>
      </c>
      <c r="N51" s="21">
        <v>30397335</v>
      </c>
      <c r="O51" s="200" t="s">
        <v>685</v>
      </c>
      <c r="P51" s="200"/>
      <c r="Q51" s="112" t="s">
        <v>101</v>
      </c>
      <c r="R51" s="24"/>
      <c r="S51" s="113">
        <v>529939000</v>
      </c>
      <c r="T51" s="113">
        <v>481879563</v>
      </c>
      <c r="U51" s="114">
        <v>48059437</v>
      </c>
      <c r="V51" s="285">
        <f t="shared" si="1"/>
        <v>0</v>
      </c>
      <c r="W51" s="29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>
        <v>0</v>
      </c>
      <c r="AI51" s="30">
        <f t="shared" si="2"/>
        <v>48059437</v>
      </c>
      <c r="AJ51" s="30">
        <f>+S51-T51-V51-AI51</f>
        <v>0</v>
      </c>
      <c r="AK51" s="796" t="s">
        <v>43</v>
      </c>
      <c r="AL51" s="796" t="s">
        <v>79</v>
      </c>
      <c r="AM51" s="796"/>
      <c r="AN51" s="799"/>
    </row>
    <row r="52" spans="1:42" s="38" customFormat="1" ht="25.5" hidden="1" customHeight="1" outlineLevel="1">
      <c r="A52" s="35"/>
      <c r="B52" s="35"/>
      <c r="C52" s="35"/>
      <c r="D52" s="35"/>
      <c r="E52" s="35"/>
      <c r="F52" s="36"/>
      <c r="G52" s="36"/>
      <c r="H52" s="37"/>
      <c r="I52" s="36"/>
      <c r="J52" s="36"/>
      <c r="K52" s="36"/>
      <c r="L52" s="35"/>
      <c r="N52" s="39"/>
      <c r="O52" s="39"/>
      <c r="P52" s="39"/>
      <c r="Q52" s="40" t="s">
        <v>58</v>
      </c>
      <c r="R52" s="41"/>
      <c r="S52" s="44">
        <f t="shared" ref="S52:AJ52" si="29">SUBTOTAL(9,S47:S51)</f>
        <v>0</v>
      </c>
      <c r="T52" s="44">
        <f t="shared" ref="T52" si="30">SUBTOTAL(9,T47:T51)</f>
        <v>0</v>
      </c>
      <c r="U52" s="44">
        <f t="shared" si="29"/>
        <v>0</v>
      </c>
      <c r="V52" s="44">
        <f t="shared" si="29"/>
        <v>0</v>
      </c>
      <c r="W52" s="44">
        <f t="shared" si="29"/>
        <v>0</v>
      </c>
      <c r="X52" s="44">
        <f t="shared" si="29"/>
        <v>0</v>
      </c>
      <c r="Y52" s="44">
        <f t="shared" si="29"/>
        <v>0</v>
      </c>
      <c r="Z52" s="44">
        <f t="shared" si="29"/>
        <v>0</v>
      </c>
      <c r="AA52" s="44">
        <f t="shared" si="29"/>
        <v>0</v>
      </c>
      <c r="AB52" s="44">
        <f t="shared" si="29"/>
        <v>0</v>
      </c>
      <c r="AC52" s="44">
        <f t="shared" si="29"/>
        <v>0</v>
      </c>
      <c r="AD52" s="44">
        <f t="shared" si="29"/>
        <v>0</v>
      </c>
      <c r="AE52" s="44">
        <f t="shared" si="29"/>
        <v>0</v>
      </c>
      <c r="AF52" s="44">
        <f t="shared" si="29"/>
        <v>0</v>
      </c>
      <c r="AG52" s="44">
        <f t="shared" si="29"/>
        <v>0</v>
      </c>
      <c r="AH52" s="44">
        <v>0</v>
      </c>
      <c r="AI52" s="44">
        <f t="shared" si="29"/>
        <v>0</v>
      </c>
      <c r="AJ52" s="44">
        <f t="shared" si="29"/>
        <v>0</v>
      </c>
      <c r="AK52" s="796"/>
      <c r="AL52" s="796"/>
      <c r="AM52" s="796"/>
      <c r="AN52" s="799"/>
    </row>
    <row r="53" spans="1:42" s="18" customFormat="1" ht="25.5" hidden="1" customHeight="1" outlineLevel="1">
      <c r="A53" s="35"/>
      <c r="B53" s="35"/>
      <c r="C53" s="35"/>
      <c r="D53" s="35"/>
      <c r="E53" s="35"/>
      <c r="F53" s="36"/>
      <c r="G53" s="36"/>
      <c r="H53" s="37"/>
      <c r="I53" s="36"/>
      <c r="J53" s="36"/>
      <c r="K53" s="36"/>
      <c r="L53" s="35"/>
      <c r="M53" s="38"/>
      <c r="N53" s="39"/>
      <c r="O53" s="39"/>
      <c r="P53" s="39"/>
      <c r="Q53" s="46"/>
      <c r="R53" s="42"/>
      <c r="S53" s="47"/>
      <c r="T53" s="47"/>
      <c r="U53" s="47"/>
      <c r="V53" s="47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7"/>
      <c r="AJ53" s="47"/>
      <c r="AK53" s="796"/>
      <c r="AL53" s="796"/>
      <c r="AM53" s="796"/>
      <c r="AN53" s="799"/>
    </row>
    <row r="54" spans="1:42" s="33" customFormat="1" ht="25.5" hidden="1" customHeight="1" outlineLevel="2">
      <c r="A54" s="35"/>
      <c r="B54" s="35"/>
      <c r="C54" s="35"/>
      <c r="D54" s="35"/>
      <c r="E54" s="35"/>
      <c r="F54" s="36"/>
      <c r="G54" s="36"/>
      <c r="H54" s="37"/>
      <c r="I54" s="36"/>
      <c r="J54" s="36"/>
      <c r="K54" s="36"/>
      <c r="L54" s="35"/>
      <c r="M54" s="38"/>
      <c r="N54" s="39"/>
      <c r="O54" s="39"/>
      <c r="P54" s="39"/>
      <c r="Q54" s="49" t="s">
        <v>59</v>
      </c>
      <c r="R54" s="42"/>
      <c r="S54" s="47"/>
      <c r="T54" s="47"/>
      <c r="U54" s="47"/>
      <c r="V54" s="47"/>
      <c r="W54" s="47"/>
      <c r="X54" s="47"/>
      <c r="Y54" s="47"/>
      <c r="Z54" s="115"/>
      <c r="AA54" s="115"/>
      <c r="AB54" s="115"/>
      <c r="AC54" s="115"/>
      <c r="AD54" s="115"/>
      <c r="AE54" s="115"/>
      <c r="AF54" s="115"/>
      <c r="AG54" s="115"/>
      <c r="AH54" s="115"/>
      <c r="AI54" s="47"/>
      <c r="AJ54" s="47"/>
      <c r="AK54" s="796"/>
      <c r="AL54" s="796"/>
      <c r="AM54" s="796"/>
      <c r="AN54" s="799"/>
    </row>
    <row r="55" spans="1:42" s="33" customFormat="1" ht="25.5" hidden="1" customHeight="1" outlineLevel="2">
      <c r="A55" s="54"/>
      <c r="B55" s="54">
        <v>31</v>
      </c>
      <c r="C55" s="729"/>
      <c r="D55" s="54" t="s">
        <v>33</v>
      </c>
      <c r="E55" s="54" t="s">
        <v>60</v>
      </c>
      <c r="F55" s="729" t="s">
        <v>84</v>
      </c>
      <c r="G55" s="55" t="s">
        <v>49</v>
      </c>
      <c r="H55" s="56" t="s">
        <v>85</v>
      </c>
      <c r="I55" s="54" t="s">
        <v>38</v>
      </c>
      <c r="J55" s="54" t="s">
        <v>96</v>
      </c>
      <c r="K55" s="57">
        <v>3</v>
      </c>
      <c r="L55" s="54" t="s">
        <v>46</v>
      </c>
      <c r="M55" s="58" t="s">
        <v>56</v>
      </c>
      <c r="N55" s="56">
        <v>30068433</v>
      </c>
      <c r="O55" s="56" t="s">
        <v>753</v>
      </c>
      <c r="P55" s="56"/>
      <c r="Q55" s="32" t="s">
        <v>102</v>
      </c>
      <c r="R55" s="24"/>
      <c r="S55" s="59">
        <v>20374000</v>
      </c>
      <c r="T55" s="60">
        <v>0</v>
      </c>
      <c r="U55" s="60">
        <v>13582666.66666667</v>
      </c>
      <c r="V55" s="293">
        <f t="shared" si="1"/>
        <v>0</v>
      </c>
      <c r="W55" s="29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>
        <v>0</v>
      </c>
      <c r="AI55" s="60">
        <f t="shared" si="2"/>
        <v>13582666.66666667</v>
      </c>
      <c r="AJ55" s="60">
        <f>+S55-T55-V55-AI55</f>
        <v>6791333.3333333302</v>
      </c>
      <c r="AK55" s="796" t="s">
        <v>43</v>
      </c>
      <c r="AL55" s="796" t="s">
        <v>774</v>
      </c>
      <c r="AM55" s="796"/>
      <c r="AN55" s="799"/>
      <c r="AO55" s="33" t="e">
        <f>VLOOKUP(N55,'CONVENIOS 2021'!A$1:A$53,1,FALSE)</f>
        <v>#N/A</v>
      </c>
      <c r="AP55" s="33" t="e">
        <f>VLOOKUP(N55,'CONVENIOS 2020'!A$2:A$72,1,FALSE)</f>
        <v>#N/A</v>
      </c>
    </row>
    <row r="56" spans="1:42" s="33" customFormat="1" ht="25.5" customHeight="1" outlineLevel="2">
      <c r="A56" s="54"/>
      <c r="B56" s="801">
        <v>31</v>
      </c>
      <c r="C56" s="729"/>
      <c r="D56" s="54" t="s">
        <v>33</v>
      </c>
      <c r="E56" s="801" t="s">
        <v>60</v>
      </c>
      <c r="F56" s="729" t="s">
        <v>84</v>
      </c>
      <c r="G56" s="55" t="s">
        <v>36</v>
      </c>
      <c r="H56" s="56" t="s">
        <v>37</v>
      </c>
      <c r="I56" s="801" t="s">
        <v>38</v>
      </c>
      <c r="J56" s="801" t="s">
        <v>96</v>
      </c>
      <c r="K56" s="57">
        <v>3</v>
      </c>
      <c r="L56" s="54" t="s">
        <v>46</v>
      </c>
      <c r="M56" s="802" t="s">
        <v>40</v>
      </c>
      <c r="N56" s="803">
        <v>40019354</v>
      </c>
      <c r="O56" s="770"/>
      <c r="P56" s="56"/>
      <c r="Q56" s="802" t="s">
        <v>103</v>
      </c>
      <c r="R56" s="62"/>
      <c r="S56" s="804">
        <v>500000000</v>
      </c>
      <c r="T56" s="805">
        <v>0</v>
      </c>
      <c r="U56" s="805">
        <v>200000000</v>
      </c>
      <c r="V56" s="805">
        <f t="shared" si="1"/>
        <v>0</v>
      </c>
      <c r="W56" s="157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28">
        <v>0</v>
      </c>
      <c r="AI56" s="805">
        <f t="shared" si="2"/>
        <v>200000000</v>
      </c>
      <c r="AJ56" s="805">
        <f>+S56-T56-V56-AI56</f>
        <v>300000000</v>
      </c>
      <c r="AK56" s="806" t="s">
        <v>48</v>
      </c>
      <c r="AL56" s="806" t="s">
        <v>759</v>
      </c>
      <c r="AM56" s="806" t="str">
        <f t="shared" ref="AM55:AM56" si="31">HYPERLINK(CONCATENATE("DOCUMENTOS\ACTA-",N56,".PDF"))</f>
        <v>DOCUMENTOS\ACTA-40019354.PDF</v>
      </c>
      <c r="AN56" s="807"/>
      <c r="AO56" s="33" t="e">
        <f>VLOOKUP(N56,'CONVENIOS 2021'!A$1:A$53,1,FALSE)</f>
        <v>#N/A</v>
      </c>
      <c r="AP56" s="33" t="e">
        <f>VLOOKUP(N56,'CONVENIOS 2020'!A$2:A$72,1,FALSE)</f>
        <v>#N/A</v>
      </c>
    </row>
    <row r="57" spans="1:42" s="38" customFormat="1" ht="25.5" hidden="1" customHeight="1" outlineLevel="1">
      <c r="A57" s="35"/>
      <c r="B57" s="35"/>
      <c r="C57" s="35"/>
      <c r="D57" s="35"/>
      <c r="E57" s="35"/>
      <c r="F57" s="36"/>
      <c r="G57" s="36"/>
      <c r="H57" s="37"/>
      <c r="I57" s="36"/>
      <c r="J57" s="36"/>
      <c r="K57" s="36"/>
      <c r="L57" s="35"/>
      <c r="N57" s="39"/>
      <c r="O57" s="39"/>
      <c r="P57" s="39"/>
      <c r="Q57" s="139" t="s">
        <v>67</v>
      </c>
      <c r="R57" s="41"/>
      <c r="S57" s="140">
        <f t="shared" ref="S57:AJ57" si="32">SUBTOTAL(9,S55:S56)</f>
        <v>500000000</v>
      </c>
      <c r="T57" s="140">
        <f t="shared" ref="T57" si="33">SUBTOTAL(9,T55:T56)</f>
        <v>0</v>
      </c>
      <c r="U57" s="140">
        <f t="shared" si="32"/>
        <v>200000000</v>
      </c>
      <c r="V57" s="140">
        <f t="shared" si="32"/>
        <v>0</v>
      </c>
      <c r="W57" s="65">
        <f t="shared" si="32"/>
        <v>0</v>
      </c>
      <c r="X57" s="65">
        <f t="shared" si="32"/>
        <v>0</v>
      </c>
      <c r="Y57" s="65">
        <f t="shared" si="32"/>
        <v>0</v>
      </c>
      <c r="Z57" s="65">
        <f t="shared" si="32"/>
        <v>0</v>
      </c>
      <c r="AA57" s="65">
        <f t="shared" si="32"/>
        <v>0</v>
      </c>
      <c r="AB57" s="65">
        <f t="shared" si="32"/>
        <v>0</v>
      </c>
      <c r="AC57" s="65">
        <f t="shared" si="32"/>
        <v>0</v>
      </c>
      <c r="AD57" s="65">
        <f t="shared" si="32"/>
        <v>0</v>
      </c>
      <c r="AE57" s="65">
        <f t="shared" si="32"/>
        <v>0</v>
      </c>
      <c r="AF57" s="65">
        <f t="shared" si="32"/>
        <v>0</v>
      </c>
      <c r="AG57" s="65">
        <f t="shared" si="32"/>
        <v>0</v>
      </c>
      <c r="AH57" s="65">
        <v>0</v>
      </c>
      <c r="AI57" s="140">
        <f t="shared" si="32"/>
        <v>200000000</v>
      </c>
      <c r="AJ57" s="140">
        <f t="shared" si="32"/>
        <v>300000000</v>
      </c>
      <c r="AK57" s="796"/>
      <c r="AL57" s="796" t="s">
        <v>75</v>
      </c>
      <c r="AM57" s="796"/>
      <c r="AN57" s="799"/>
    </row>
    <row r="58" spans="1:42" s="38" customFormat="1" ht="25.5" hidden="1" customHeight="1" outlineLevel="1">
      <c r="A58" s="35"/>
      <c r="B58" s="35"/>
      <c r="C58" s="35"/>
      <c r="D58" s="35"/>
      <c r="E58" s="35"/>
      <c r="F58" s="36"/>
      <c r="G58" s="36"/>
      <c r="H58" s="37"/>
      <c r="I58" s="36"/>
      <c r="J58" s="36"/>
      <c r="K58" s="36"/>
      <c r="L58" s="35"/>
      <c r="N58" s="39"/>
      <c r="O58" s="39"/>
      <c r="P58" s="39"/>
      <c r="Q58" s="46"/>
      <c r="R58" s="42"/>
      <c r="S58" s="47"/>
      <c r="T58" s="47"/>
      <c r="U58" s="47"/>
      <c r="V58" s="47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47"/>
      <c r="AJ58" s="47"/>
      <c r="AK58" s="796"/>
      <c r="AL58" s="796"/>
      <c r="AM58" s="796"/>
      <c r="AN58" s="799"/>
    </row>
    <row r="59" spans="1:42" s="33" customFormat="1" ht="25.5" hidden="1" customHeight="1" outlineLevel="2">
      <c r="A59" s="35"/>
      <c r="B59" s="35"/>
      <c r="C59" s="35"/>
      <c r="D59" s="35"/>
      <c r="E59" s="35"/>
      <c r="F59" s="36"/>
      <c r="G59" s="36"/>
      <c r="H59" s="37"/>
      <c r="I59" s="36"/>
      <c r="J59" s="36"/>
      <c r="K59" s="36"/>
      <c r="L59" s="35"/>
      <c r="M59" s="38"/>
      <c r="N59" s="39"/>
      <c r="O59" s="39"/>
      <c r="P59" s="39"/>
      <c r="Q59" s="49" t="s">
        <v>68</v>
      </c>
      <c r="R59" s="116"/>
      <c r="S59" s="47"/>
      <c r="T59" s="47"/>
      <c r="U59" s="47"/>
      <c r="V59" s="47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47"/>
      <c r="AJ59" s="47"/>
      <c r="AK59" s="796"/>
      <c r="AL59" s="796"/>
      <c r="AM59" s="796"/>
      <c r="AN59" s="799"/>
    </row>
    <row r="60" spans="1:42" s="33" customFormat="1" ht="25.5" hidden="1" customHeight="1" outlineLevel="2">
      <c r="A60" s="66"/>
      <c r="B60" s="66">
        <v>31</v>
      </c>
      <c r="C60" s="730"/>
      <c r="D60" s="66" t="s">
        <v>33</v>
      </c>
      <c r="E60" s="66" t="s">
        <v>69</v>
      </c>
      <c r="F60" s="730" t="s">
        <v>35</v>
      </c>
      <c r="G60" s="67" t="s">
        <v>49</v>
      </c>
      <c r="H60" s="68" t="s">
        <v>64</v>
      </c>
      <c r="I60" s="66" t="s">
        <v>38</v>
      </c>
      <c r="J60" s="66" t="s">
        <v>96</v>
      </c>
      <c r="K60" s="69">
        <v>3</v>
      </c>
      <c r="L60" s="66" t="s">
        <v>46</v>
      </c>
      <c r="M60" s="70" t="s">
        <v>40</v>
      </c>
      <c r="N60" s="68">
        <v>40019095</v>
      </c>
      <c r="O60" s="68"/>
      <c r="P60" s="68"/>
      <c r="Q60" s="32" t="s">
        <v>105</v>
      </c>
      <c r="R60" s="24"/>
      <c r="S60" s="71">
        <v>694291000</v>
      </c>
      <c r="T60" s="72">
        <v>0</v>
      </c>
      <c r="U60" s="72">
        <v>100714550</v>
      </c>
      <c r="V60" s="297">
        <f t="shared" si="1"/>
        <v>0</v>
      </c>
      <c r="W60" s="29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>
        <v>0</v>
      </c>
      <c r="AI60" s="72">
        <f t="shared" si="2"/>
        <v>100714550</v>
      </c>
      <c r="AJ60" s="72">
        <f t="shared" ref="AJ60:AJ66" si="34">+S60-T60-V60-AI60</f>
        <v>593576450</v>
      </c>
      <c r="AK60" s="796" t="s">
        <v>48</v>
      </c>
      <c r="AL60" s="796" t="s">
        <v>773</v>
      </c>
      <c r="AM60" s="796"/>
      <c r="AN60" s="799"/>
      <c r="AO60" s="33" t="e">
        <f>VLOOKUP(N60,'CONVENIOS 2021'!A$1:A$53,1,FALSE)</f>
        <v>#N/A</v>
      </c>
      <c r="AP60" s="33">
        <f>VLOOKUP(N60,'CONVENIOS 2020'!A$2:A$72,1,FALSE)</f>
        <v>40019095</v>
      </c>
    </row>
    <row r="61" spans="1:42" s="33" customFormat="1" ht="25.5" customHeight="1" outlineLevel="2">
      <c r="A61" s="66"/>
      <c r="B61" s="801">
        <v>31</v>
      </c>
      <c r="C61" s="730"/>
      <c r="D61" s="66" t="s">
        <v>33</v>
      </c>
      <c r="E61" s="801" t="s">
        <v>69</v>
      </c>
      <c r="F61" s="730"/>
      <c r="G61" s="67"/>
      <c r="H61" s="68" t="s">
        <v>37</v>
      </c>
      <c r="I61" s="801" t="s">
        <v>38</v>
      </c>
      <c r="J61" s="801" t="s">
        <v>96</v>
      </c>
      <c r="K61" s="69">
        <v>3</v>
      </c>
      <c r="L61" s="66" t="s">
        <v>46</v>
      </c>
      <c r="M61" s="802" t="s">
        <v>40</v>
      </c>
      <c r="N61" s="803">
        <v>40013127</v>
      </c>
      <c r="O61" s="771"/>
      <c r="P61" s="68"/>
      <c r="Q61" s="802" t="s">
        <v>106</v>
      </c>
      <c r="R61" s="24"/>
      <c r="S61" s="804">
        <v>135500000</v>
      </c>
      <c r="T61" s="805">
        <v>0</v>
      </c>
      <c r="U61" s="805">
        <v>40000000</v>
      </c>
      <c r="V61" s="805">
        <f t="shared" si="1"/>
        <v>0</v>
      </c>
      <c r="W61" s="29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>
        <v>0</v>
      </c>
      <c r="AI61" s="805">
        <f t="shared" si="2"/>
        <v>40000000</v>
      </c>
      <c r="AJ61" s="805">
        <f t="shared" si="34"/>
        <v>95500000</v>
      </c>
      <c r="AK61" s="806" t="s">
        <v>43</v>
      </c>
      <c r="AL61" s="806" t="s">
        <v>771</v>
      </c>
      <c r="AM61" s="806"/>
      <c r="AN61" s="807"/>
      <c r="AO61" s="33" t="e">
        <f>VLOOKUP(N61,'CONVENIOS 2021'!A$1:A$53,1,FALSE)</f>
        <v>#N/A</v>
      </c>
      <c r="AP61" s="33" t="e">
        <f>VLOOKUP(N61,'CONVENIOS 2020'!A$2:A$72,1,FALSE)</f>
        <v>#N/A</v>
      </c>
    </row>
    <row r="62" spans="1:42" s="33" customFormat="1" ht="25.5" hidden="1" customHeight="1" outlineLevel="2">
      <c r="A62" s="66"/>
      <c r="B62" s="180">
        <v>31</v>
      </c>
      <c r="C62" s="730"/>
      <c r="D62" s="66" t="s">
        <v>33</v>
      </c>
      <c r="E62" s="180" t="s">
        <v>69</v>
      </c>
      <c r="F62" s="730"/>
      <c r="G62" s="67"/>
      <c r="H62" s="68" t="s">
        <v>64</v>
      </c>
      <c r="I62" s="180" t="s">
        <v>38</v>
      </c>
      <c r="J62" s="180" t="s">
        <v>96</v>
      </c>
      <c r="K62" s="69">
        <v>3</v>
      </c>
      <c r="L62" s="66" t="s">
        <v>46</v>
      </c>
      <c r="M62" s="184" t="s">
        <v>40</v>
      </c>
      <c r="N62" s="182">
        <v>40019355</v>
      </c>
      <c r="O62" s="68"/>
      <c r="P62" s="68"/>
      <c r="Q62" s="777" t="s">
        <v>107</v>
      </c>
      <c r="R62" s="24"/>
      <c r="S62" s="188">
        <v>625991000</v>
      </c>
      <c r="T62" s="189">
        <v>0</v>
      </c>
      <c r="U62" s="189">
        <v>200000000</v>
      </c>
      <c r="V62" s="300">
        <f t="shared" si="1"/>
        <v>0</v>
      </c>
      <c r="W62" s="29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>
        <v>0</v>
      </c>
      <c r="AI62" s="189">
        <f t="shared" si="2"/>
        <v>200000000</v>
      </c>
      <c r="AJ62" s="189">
        <f t="shared" si="34"/>
        <v>425991000</v>
      </c>
      <c r="AK62" s="796" t="s">
        <v>48</v>
      </c>
      <c r="AL62" s="796" t="s">
        <v>66</v>
      </c>
      <c r="AM62" s="796"/>
      <c r="AN62" s="799"/>
      <c r="AO62" s="33">
        <f>VLOOKUP(N62,'CONVENIOS 2021'!A$1:A$53,1,FALSE)</f>
        <v>40019355</v>
      </c>
    </row>
    <row r="63" spans="1:42" s="38" customFormat="1" ht="25.5" hidden="1" customHeight="1" outlineLevel="1">
      <c r="A63" s="66"/>
      <c r="B63" s="66">
        <v>29</v>
      </c>
      <c r="C63" s="66"/>
      <c r="D63" s="66" t="s">
        <v>92</v>
      </c>
      <c r="E63" s="66" t="s">
        <v>69</v>
      </c>
      <c r="F63" s="66"/>
      <c r="G63" s="67"/>
      <c r="H63" s="68" t="s">
        <v>45</v>
      </c>
      <c r="I63" s="66" t="s">
        <v>38</v>
      </c>
      <c r="J63" s="66" t="s">
        <v>96</v>
      </c>
      <c r="K63" s="69">
        <v>3</v>
      </c>
      <c r="L63" s="66" t="s">
        <v>46</v>
      </c>
      <c r="M63" s="70" t="s">
        <v>40</v>
      </c>
      <c r="N63" s="68">
        <v>40005408</v>
      </c>
      <c r="O63" s="177" t="s">
        <v>685</v>
      </c>
      <c r="P63" s="177"/>
      <c r="Q63" s="74" t="s">
        <v>108</v>
      </c>
      <c r="R63" s="24"/>
      <c r="S63" s="75">
        <v>516681732</v>
      </c>
      <c r="T63" s="76">
        <v>0</v>
      </c>
      <c r="U63" s="76">
        <v>200000000</v>
      </c>
      <c r="V63" s="296">
        <f t="shared" si="1"/>
        <v>0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>
        <v>0</v>
      </c>
      <c r="AI63" s="72">
        <f t="shared" si="2"/>
        <v>200000000</v>
      </c>
      <c r="AJ63" s="72">
        <f t="shared" si="34"/>
        <v>316681732</v>
      </c>
      <c r="AK63" s="796" t="s">
        <v>48</v>
      </c>
      <c r="AL63" s="796"/>
      <c r="AM63" s="796"/>
      <c r="AN63" s="799"/>
    </row>
    <row r="64" spans="1:42" s="38" customFormat="1" ht="25.5" hidden="1" customHeight="1" outlineLevel="1">
      <c r="A64" s="66"/>
      <c r="B64" s="66">
        <v>29</v>
      </c>
      <c r="C64" s="66"/>
      <c r="D64" s="102" t="s">
        <v>92</v>
      </c>
      <c r="E64" s="66" t="s">
        <v>69</v>
      </c>
      <c r="F64" s="66"/>
      <c r="G64" s="67"/>
      <c r="H64" s="68" t="s">
        <v>37</v>
      </c>
      <c r="I64" s="66" t="s">
        <v>38</v>
      </c>
      <c r="J64" s="66" t="s">
        <v>96</v>
      </c>
      <c r="K64" s="69">
        <v>3</v>
      </c>
      <c r="L64" s="66" t="s">
        <v>46</v>
      </c>
      <c r="M64" s="70" t="s">
        <v>40</v>
      </c>
      <c r="N64" s="68">
        <v>40016563</v>
      </c>
      <c r="O64" s="68"/>
      <c r="P64" s="177"/>
      <c r="Q64" s="74" t="s">
        <v>109</v>
      </c>
      <c r="R64" s="24"/>
      <c r="S64" s="75">
        <v>79000000</v>
      </c>
      <c r="T64" s="76">
        <v>0</v>
      </c>
      <c r="U64" s="76">
        <v>79000000</v>
      </c>
      <c r="V64" s="296">
        <f t="shared" si="1"/>
        <v>0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>
        <v>0</v>
      </c>
      <c r="AI64" s="72">
        <f t="shared" si="2"/>
        <v>79000000</v>
      </c>
      <c r="AJ64" s="72">
        <f t="shared" si="34"/>
        <v>0</v>
      </c>
      <c r="AK64" s="796" t="s">
        <v>48</v>
      </c>
      <c r="AL64" s="796"/>
      <c r="AM64" s="796"/>
      <c r="AN64" s="799"/>
    </row>
    <row r="65" spans="1:42" s="38" customFormat="1" ht="25.5" customHeight="1" outlineLevel="1">
      <c r="A65" s="66"/>
      <c r="B65" s="801">
        <v>31</v>
      </c>
      <c r="C65" s="730"/>
      <c r="D65" s="102" t="s">
        <v>33</v>
      </c>
      <c r="E65" s="801" t="s">
        <v>69</v>
      </c>
      <c r="F65" s="730"/>
      <c r="G65" s="67"/>
      <c r="H65" s="68" t="s">
        <v>64</v>
      </c>
      <c r="I65" s="801" t="s">
        <v>38</v>
      </c>
      <c r="J65" s="801" t="s">
        <v>96</v>
      </c>
      <c r="K65" s="69">
        <v>3</v>
      </c>
      <c r="L65" s="66" t="s">
        <v>46</v>
      </c>
      <c r="M65" s="802" t="s">
        <v>40</v>
      </c>
      <c r="N65" s="803">
        <v>40012751</v>
      </c>
      <c r="O65" s="771"/>
      <c r="P65" s="68"/>
      <c r="Q65" s="802" t="s">
        <v>110</v>
      </c>
      <c r="R65" s="24"/>
      <c r="S65" s="804">
        <v>4117790000</v>
      </c>
      <c r="T65" s="805">
        <v>0</v>
      </c>
      <c r="U65" s="805">
        <v>100000000</v>
      </c>
      <c r="V65" s="805">
        <f t="shared" si="1"/>
        <v>0</v>
      </c>
      <c r="W65" s="29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>
        <v>0</v>
      </c>
      <c r="AI65" s="805">
        <f t="shared" si="2"/>
        <v>100000000</v>
      </c>
      <c r="AJ65" s="805">
        <f t="shared" si="34"/>
        <v>4017790000</v>
      </c>
      <c r="AK65" s="806" t="s">
        <v>43</v>
      </c>
      <c r="AL65" s="806" t="s">
        <v>771</v>
      </c>
      <c r="AM65" s="806"/>
      <c r="AN65" s="807"/>
      <c r="AO65" s="33" t="e">
        <f>VLOOKUP(N65,'CONVENIOS 2021'!A$1:A$53,1,FALSE)</f>
        <v>#N/A</v>
      </c>
      <c r="AP65" s="33" t="e">
        <f>VLOOKUP(N65,'CONVENIOS 2020'!A$2:A$72,1,FALSE)</f>
        <v>#N/A</v>
      </c>
    </row>
    <row r="66" spans="1:42" s="18" customFormat="1" ht="25.5" hidden="1" customHeight="1" outlineLevel="1">
      <c r="A66" s="66"/>
      <c r="B66" s="180">
        <v>33</v>
      </c>
      <c r="C66" s="66"/>
      <c r="D66" s="66" t="s">
        <v>76</v>
      </c>
      <c r="E66" s="180" t="s">
        <v>69</v>
      </c>
      <c r="F66" s="66" t="s">
        <v>35</v>
      </c>
      <c r="G66" s="67" t="s">
        <v>49</v>
      </c>
      <c r="H66" s="68" t="s">
        <v>61</v>
      </c>
      <c r="I66" s="180" t="s">
        <v>38</v>
      </c>
      <c r="J66" s="180" t="s">
        <v>96</v>
      </c>
      <c r="K66" s="69">
        <v>3</v>
      </c>
      <c r="L66" s="66" t="s">
        <v>76</v>
      </c>
      <c r="M66" s="184" t="s">
        <v>40</v>
      </c>
      <c r="N66" s="182" t="s">
        <v>76</v>
      </c>
      <c r="O66" s="68"/>
      <c r="P66" s="177"/>
      <c r="Q66" s="773" t="s">
        <v>77</v>
      </c>
      <c r="R66" s="77"/>
      <c r="S66" s="774">
        <v>200000000</v>
      </c>
      <c r="T66" s="775">
        <v>0</v>
      </c>
      <c r="U66" s="775">
        <v>200000000</v>
      </c>
      <c r="V66" s="776">
        <f t="shared" si="1"/>
        <v>25212039</v>
      </c>
      <c r="W66" s="79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>
        <v>25212039</v>
      </c>
      <c r="AI66" s="189">
        <f t="shared" si="2"/>
        <v>174787961</v>
      </c>
      <c r="AJ66" s="189">
        <f t="shared" si="34"/>
        <v>0</v>
      </c>
      <c r="AK66" s="796" t="s">
        <v>78</v>
      </c>
      <c r="AL66" s="796"/>
      <c r="AM66" s="796"/>
      <c r="AN66" s="799"/>
    </row>
    <row r="67" spans="1:42" s="38" customFormat="1" ht="25.5" hidden="1" customHeight="1" outlineLevel="1">
      <c r="A67" s="35"/>
      <c r="B67" s="35"/>
      <c r="C67" s="35"/>
      <c r="D67" s="35"/>
      <c r="E67" s="35"/>
      <c r="F67" s="36"/>
      <c r="G67" s="36"/>
      <c r="H67" s="37"/>
      <c r="I67" s="36"/>
      <c r="J67" s="36"/>
      <c r="K67" s="36"/>
      <c r="L67" s="35"/>
      <c r="N67" s="39"/>
      <c r="O67" s="39"/>
      <c r="P67" s="39"/>
      <c r="Q67" s="80" t="s">
        <v>80</v>
      </c>
      <c r="R67" s="116"/>
      <c r="S67" s="81">
        <f t="shared" ref="S67:AJ67" si="35">SUBTOTAL(9,S60:S66)</f>
        <v>4253290000</v>
      </c>
      <c r="T67" s="81">
        <f t="shared" ref="T67" si="36">SUBTOTAL(9,T60:T66)</f>
        <v>0</v>
      </c>
      <c r="U67" s="81">
        <f t="shared" si="35"/>
        <v>140000000</v>
      </c>
      <c r="V67" s="81">
        <f t="shared" si="35"/>
        <v>0</v>
      </c>
      <c r="W67" s="81">
        <f t="shared" si="35"/>
        <v>0</v>
      </c>
      <c r="X67" s="81">
        <f t="shared" si="35"/>
        <v>0</v>
      </c>
      <c r="Y67" s="81">
        <f t="shared" si="35"/>
        <v>0</v>
      </c>
      <c r="Z67" s="81">
        <f t="shared" si="35"/>
        <v>0</v>
      </c>
      <c r="AA67" s="81">
        <f t="shared" si="35"/>
        <v>0</v>
      </c>
      <c r="AB67" s="81">
        <f t="shared" si="35"/>
        <v>0</v>
      </c>
      <c r="AC67" s="81">
        <f t="shared" si="35"/>
        <v>0</v>
      </c>
      <c r="AD67" s="81">
        <f t="shared" si="35"/>
        <v>0</v>
      </c>
      <c r="AE67" s="81">
        <f t="shared" si="35"/>
        <v>0</v>
      </c>
      <c r="AF67" s="81">
        <f t="shared" si="35"/>
        <v>0</v>
      </c>
      <c r="AG67" s="81">
        <f t="shared" si="35"/>
        <v>0</v>
      </c>
      <c r="AH67" s="81">
        <v>25212039</v>
      </c>
      <c r="AI67" s="81">
        <f t="shared" si="35"/>
        <v>140000000</v>
      </c>
      <c r="AJ67" s="81">
        <f t="shared" si="35"/>
        <v>4113290000</v>
      </c>
      <c r="AK67" s="796"/>
      <c r="AL67" s="796"/>
      <c r="AM67" s="796"/>
      <c r="AN67" s="799"/>
    </row>
    <row r="68" spans="1:42" s="90" customFormat="1" ht="24.75" hidden="1" customHeight="1" outlineLevel="1">
      <c r="A68" s="35"/>
      <c r="B68" s="35"/>
      <c r="C68" s="35"/>
      <c r="D68" s="35"/>
      <c r="E68" s="35"/>
      <c r="F68" s="36"/>
      <c r="G68" s="36"/>
      <c r="H68" s="37"/>
      <c r="I68" s="36"/>
      <c r="J68" s="36"/>
      <c r="K68" s="36"/>
      <c r="L68" s="35"/>
      <c r="M68" s="38"/>
      <c r="N68" s="39"/>
      <c r="O68" s="39"/>
      <c r="P68" s="39"/>
      <c r="Q68" s="46"/>
      <c r="R68" s="42"/>
      <c r="S68" s="47"/>
      <c r="T68" s="47"/>
      <c r="U68" s="47"/>
      <c r="V68" s="47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47"/>
      <c r="AJ68" s="47"/>
      <c r="AK68" s="796"/>
      <c r="AL68" s="796"/>
      <c r="AM68" s="796"/>
      <c r="AN68" s="799"/>
    </row>
    <row r="69" spans="1:42" s="84" customFormat="1" ht="24.75" hidden="1" customHeight="1" outlineLevel="1">
      <c r="A69" s="36"/>
      <c r="B69" s="82"/>
      <c r="C69" s="82"/>
      <c r="D69" s="36"/>
      <c r="E69" s="36"/>
      <c r="F69" s="36"/>
      <c r="G69" s="36"/>
      <c r="H69" s="37"/>
      <c r="I69" s="36"/>
      <c r="J69" s="36"/>
      <c r="K69" s="36"/>
      <c r="L69" s="82"/>
      <c r="N69" s="83"/>
      <c r="O69" s="39"/>
      <c r="P69" s="39"/>
      <c r="Q69" s="85" t="s">
        <v>111</v>
      </c>
      <c r="R69" s="111"/>
      <c r="S69" s="88">
        <f t="shared" ref="S69:AJ69" si="37">S52+S57+S67</f>
        <v>4753290000</v>
      </c>
      <c r="T69" s="88">
        <f t="shared" ref="T69" si="38">T52+T57+T67</f>
        <v>0</v>
      </c>
      <c r="U69" s="88">
        <f t="shared" si="37"/>
        <v>340000000</v>
      </c>
      <c r="V69" s="88">
        <f t="shared" si="37"/>
        <v>0</v>
      </c>
      <c r="W69" s="88">
        <f t="shared" si="37"/>
        <v>0</v>
      </c>
      <c r="X69" s="88">
        <f t="shared" si="37"/>
        <v>0</v>
      </c>
      <c r="Y69" s="88">
        <f t="shared" si="37"/>
        <v>0</v>
      </c>
      <c r="Z69" s="88">
        <f t="shared" si="37"/>
        <v>0</v>
      </c>
      <c r="AA69" s="88">
        <f t="shared" si="37"/>
        <v>0</v>
      </c>
      <c r="AB69" s="88">
        <f t="shared" si="37"/>
        <v>0</v>
      </c>
      <c r="AC69" s="88">
        <f t="shared" si="37"/>
        <v>0</v>
      </c>
      <c r="AD69" s="88">
        <f t="shared" si="37"/>
        <v>0</v>
      </c>
      <c r="AE69" s="88">
        <f t="shared" si="37"/>
        <v>0</v>
      </c>
      <c r="AF69" s="88">
        <f t="shared" si="37"/>
        <v>0</v>
      </c>
      <c r="AG69" s="88">
        <f t="shared" si="37"/>
        <v>0</v>
      </c>
      <c r="AH69" s="88">
        <v>25212039</v>
      </c>
      <c r="AI69" s="88">
        <f>AI52+AI57+AI67</f>
        <v>340000000</v>
      </c>
      <c r="AJ69" s="88">
        <f t="shared" si="37"/>
        <v>4413290000</v>
      </c>
      <c r="AK69" s="796"/>
      <c r="AL69" s="796"/>
      <c r="AM69" s="796"/>
      <c r="AN69" s="799"/>
    </row>
    <row r="70" spans="1:42" s="84" customFormat="1" ht="24.75" hidden="1" customHeight="1" outlineLevel="1">
      <c r="A70" s="36"/>
      <c r="B70" s="82"/>
      <c r="C70" s="82"/>
      <c r="D70" s="36"/>
      <c r="E70" s="36"/>
      <c r="F70" s="36"/>
      <c r="G70" s="36"/>
      <c r="H70" s="37"/>
      <c r="I70" s="36"/>
      <c r="J70" s="36"/>
      <c r="K70" s="36"/>
      <c r="L70" s="82"/>
      <c r="N70" s="83"/>
      <c r="O70" s="39"/>
      <c r="P70" s="39"/>
      <c r="Q70" s="91"/>
      <c r="R70" s="87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796"/>
      <c r="AL70" s="796"/>
      <c r="AM70" s="796"/>
      <c r="AN70" s="799"/>
    </row>
    <row r="71" spans="1:42" s="84" customFormat="1" ht="24.75" hidden="1" customHeight="1" outlineLevel="1">
      <c r="A71" s="36"/>
      <c r="B71" s="82"/>
      <c r="C71" s="82"/>
      <c r="D71" s="36"/>
      <c r="E71" s="36"/>
      <c r="F71" s="36"/>
      <c r="G71" s="36"/>
      <c r="H71" s="37"/>
      <c r="I71" s="36"/>
      <c r="J71" s="36"/>
      <c r="K71" s="36"/>
      <c r="L71" s="82"/>
      <c r="N71" s="83"/>
      <c r="O71" s="39"/>
      <c r="P71" s="39"/>
      <c r="Q71" s="596"/>
      <c r="R71" s="87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796"/>
      <c r="AL71" s="796"/>
      <c r="AM71" s="796"/>
      <c r="AN71" s="799"/>
    </row>
    <row r="72" spans="1:42" s="18" customFormat="1" ht="25.5" hidden="1" customHeight="1" outlineLevel="1">
      <c r="A72" s="36"/>
      <c r="B72" s="36"/>
      <c r="C72" s="36"/>
      <c r="D72" s="36"/>
      <c r="E72" s="36"/>
      <c r="F72" s="36"/>
      <c r="G72" s="36"/>
      <c r="H72" s="37"/>
      <c r="I72" s="36"/>
      <c r="J72" s="36"/>
      <c r="K72" s="36"/>
      <c r="L72" s="36"/>
      <c r="M72" s="95"/>
      <c r="N72" s="37"/>
      <c r="O72" s="39"/>
      <c r="P72" s="39"/>
      <c r="Q72" s="96" t="s">
        <v>112</v>
      </c>
      <c r="R72" s="50"/>
      <c r="S72" s="97"/>
      <c r="T72" s="97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796"/>
      <c r="AL72" s="796"/>
      <c r="AM72" s="796"/>
      <c r="AN72" s="799"/>
    </row>
    <row r="73" spans="1:42" s="33" customFormat="1" ht="25.5" hidden="1" customHeight="1" outlineLevel="2">
      <c r="A73" s="35"/>
      <c r="B73" s="35"/>
      <c r="C73" s="35"/>
      <c r="D73" s="35"/>
      <c r="E73" s="35"/>
      <c r="F73" s="36"/>
      <c r="G73" s="36"/>
      <c r="H73" s="37"/>
      <c r="I73" s="36"/>
      <c r="J73" s="36"/>
      <c r="K73" s="36"/>
      <c r="L73" s="35"/>
      <c r="M73" s="38"/>
      <c r="N73" s="39"/>
      <c r="O73" s="39"/>
      <c r="P73" s="39"/>
      <c r="Q73" s="17" t="s">
        <v>32</v>
      </c>
      <c r="R73" s="50"/>
      <c r="S73" s="51"/>
      <c r="T73" s="51"/>
      <c r="U73" s="52"/>
      <c r="V73" s="52"/>
      <c r="W73" s="52"/>
      <c r="X73" s="52"/>
      <c r="Y73" s="52"/>
      <c r="Z73" s="53"/>
      <c r="AA73" s="53"/>
      <c r="AB73" s="53"/>
      <c r="AC73" s="53"/>
      <c r="AD73" s="53"/>
      <c r="AE73" s="53"/>
      <c r="AF73" s="53"/>
      <c r="AG73" s="53"/>
      <c r="AH73" s="53"/>
      <c r="AI73" s="52"/>
      <c r="AJ73" s="52"/>
      <c r="AK73" s="796"/>
      <c r="AL73" s="796"/>
      <c r="AM73" s="796"/>
      <c r="AN73" s="799"/>
    </row>
    <row r="74" spans="1:42" s="33" customFormat="1" ht="25.5" hidden="1" customHeight="1" outlineLevel="2">
      <c r="A74" s="19"/>
      <c r="B74" s="19">
        <v>31</v>
      </c>
      <c r="C74" s="19"/>
      <c r="D74" s="19" t="s">
        <v>33</v>
      </c>
      <c r="E74" s="19" t="s">
        <v>34</v>
      </c>
      <c r="F74" s="19" t="s">
        <v>84</v>
      </c>
      <c r="G74" s="20" t="s">
        <v>49</v>
      </c>
      <c r="H74" s="21" t="s">
        <v>50</v>
      </c>
      <c r="I74" s="19" t="s">
        <v>38</v>
      </c>
      <c r="J74" s="19" t="s">
        <v>113</v>
      </c>
      <c r="K74" s="22">
        <v>4</v>
      </c>
      <c r="L74" s="19" t="s">
        <v>46</v>
      </c>
      <c r="M74" s="23" t="s">
        <v>40</v>
      </c>
      <c r="N74" s="21">
        <v>30067012</v>
      </c>
      <c r="O74" s="21" t="s">
        <v>753</v>
      </c>
      <c r="P74" s="21"/>
      <c r="Q74" s="23" t="s">
        <v>114</v>
      </c>
      <c r="R74" s="24"/>
      <c r="S74" s="26">
        <v>3101704930</v>
      </c>
      <c r="T74" s="30">
        <v>3077979670</v>
      </c>
      <c r="U74" s="30">
        <f>28050309-4325049</f>
        <v>23725260</v>
      </c>
      <c r="V74" s="285">
        <f t="shared" ref="V74:V127" si="39">+SUM(W74:AH74)</f>
        <v>0</v>
      </c>
      <c r="W74" s="29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>
        <v>0</v>
      </c>
      <c r="AI74" s="30">
        <f t="shared" ref="AI74:AI127" si="40">+U74-V74</f>
        <v>23725260</v>
      </c>
      <c r="AJ74" s="30">
        <f>+S74-T74-V74-AI74</f>
        <v>0</v>
      </c>
      <c r="AK74" s="796" t="s">
        <v>115</v>
      </c>
      <c r="AL74" s="796" t="s">
        <v>44</v>
      </c>
      <c r="AM74" s="796"/>
      <c r="AN74" s="799"/>
    </row>
    <row r="75" spans="1:42" s="38" customFormat="1" ht="25.5" hidden="1" customHeight="1" outlineLevel="1">
      <c r="A75" s="35"/>
      <c r="B75" s="35"/>
      <c r="C75" s="35"/>
      <c r="D75" s="35"/>
      <c r="E75" s="35"/>
      <c r="F75" s="36"/>
      <c r="G75" s="36"/>
      <c r="H75" s="37"/>
      <c r="I75" s="36"/>
      <c r="J75" s="36"/>
      <c r="K75" s="36"/>
      <c r="L75" s="35"/>
      <c r="N75" s="39"/>
      <c r="O75" s="39"/>
      <c r="P75" s="39"/>
      <c r="Q75" s="40" t="s">
        <v>58</v>
      </c>
      <c r="R75" s="41"/>
      <c r="S75" s="44">
        <f t="shared" ref="S75:AJ75" si="41">SUBTOTAL(9,S74:S74)</f>
        <v>0</v>
      </c>
      <c r="T75" s="44">
        <f t="shared" ref="T75" si="42">SUBTOTAL(9,T74:T74)</f>
        <v>0</v>
      </c>
      <c r="U75" s="44">
        <f t="shared" si="41"/>
        <v>0</v>
      </c>
      <c r="V75" s="44">
        <f t="shared" si="41"/>
        <v>0</v>
      </c>
      <c r="W75" s="44">
        <f t="shared" si="41"/>
        <v>0</v>
      </c>
      <c r="X75" s="44">
        <f t="shared" si="41"/>
        <v>0</v>
      </c>
      <c r="Y75" s="44">
        <f t="shared" si="41"/>
        <v>0</v>
      </c>
      <c r="Z75" s="44">
        <f t="shared" si="41"/>
        <v>0</v>
      </c>
      <c r="AA75" s="44">
        <f t="shared" si="41"/>
        <v>0</v>
      </c>
      <c r="AB75" s="44">
        <f t="shared" si="41"/>
        <v>0</v>
      </c>
      <c r="AC75" s="44">
        <f t="shared" si="41"/>
        <v>0</v>
      </c>
      <c r="AD75" s="44">
        <f t="shared" si="41"/>
        <v>0</v>
      </c>
      <c r="AE75" s="44">
        <f t="shared" si="41"/>
        <v>0</v>
      </c>
      <c r="AF75" s="44">
        <f t="shared" si="41"/>
        <v>0</v>
      </c>
      <c r="AG75" s="44">
        <f t="shared" si="41"/>
        <v>0</v>
      </c>
      <c r="AH75" s="44">
        <v>0</v>
      </c>
      <c r="AI75" s="44">
        <f t="shared" si="41"/>
        <v>0</v>
      </c>
      <c r="AJ75" s="44">
        <f t="shared" si="41"/>
        <v>0</v>
      </c>
      <c r="AK75" s="796"/>
      <c r="AL75" s="796" t="s">
        <v>79</v>
      </c>
      <c r="AM75" s="796"/>
      <c r="AN75" s="799"/>
    </row>
    <row r="76" spans="1:42" s="18" customFormat="1" ht="25.5" hidden="1" customHeight="1" outlineLevel="1">
      <c r="A76" s="35"/>
      <c r="B76" s="35"/>
      <c r="C76" s="35"/>
      <c r="D76" s="35"/>
      <c r="E76" s="35"/>
      <c r="F76" s="36"/>
      <c r="G76" s="36"/>
      <c r="H76" s="37"/>
      <c r="I76" s="36"/>
      <c r="J76" s="36"/>
      <c r="K76" s="36"/>
      <c r="L76" s="35"/>
      <c r="M76" s="38"/>
      <c r="N76" s="39"/>
      <c r="O76" s="39"/>
      <c r="P76" s="39"/>
      <c r="Q76" s="46"/>
      <c r="R76" s="42"/>
      <c r="S76" s="47"/>
      <c r="T76" s="47"/>
      <c r="U76" s="47"/>
      <c r="V76" s="47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7"/>
      <c r="AJ76" s="47"/>
      <c r="AK76" s="796"/>
      <c r="AL76" s="796"/>
      <c r="AM76" s="796"/>
      <c r="AN76" s="799"/>
    </row>
    <row r="77" spans="1:42" s="33" customFormat="1" ht="25.5" hidden="1" customHeight="1" outlineLevel="2">
      <c r="A77" s="35"/>
      <c r="B77" s="35"/>
      <c r="C77" s="35"/>
      <c r="D77" s="35"/>
      <c r="E77" s="35"/>
      <c r="F77" s="36"/>
      <c r="G77" s="36"/>
      <c r="H77" s="37"/>
      <c r="I77" s="36"/>
      <c r="J77" s="36"/>
      <c r="K77" s="36"/>
      <c r="L77" s="35"/>
      <c r="M77" s="38"/>
      <c r="N77" s="39"/>
      <c r="O77" s="39"/>
      <c r="P77" s="39"/>
      <c r="Q77" s="49" t="s">
        <v>59</v>
      </c>
      <c r="R77" s="50"/>
      <c r="S77" s="51"/>
      <c r="T77" s="51"/>
      <c r="U77" s="52"/>
      <c r="V77" s="52"/>
      <c r="W77" s="52"/>
      <c r="X77" s="52"/>
      <c r="Y77" s="52"/>
      <c r="Z77" s="53"/>
      <c r="AA77" s="53"/>
      <c r="AB77" s="53"/>
      <c r="AC77" s="53"/>
      <c r="AD77" s="53"/>
      <c r="AE77" s="53"/>
      <c r="AF77" s="53"/>
      <c r="AG77" s="53"/>
      <c r="AH77" s="53"/>
      <c r="AI77" s="52"/>
      <c r="AJ77" s="52"/>
      <c r="AK77" s="796"/>
      <c r="AL77" s="796"/>
      <c r="AM77" s="796"/>
      <c r="AN77" s="799"/>
    </row>
    <row r="78" spans="1:42" s="18" customFormat="1" ht="25.5" hidden="1" customHeight="1" outlineLevel="1" collapsed="1">
      <c r="A78" s="54"/>
      <c r="B78" s="54">
        <v>31</v>
      </c>
      <c r="C78" s="54"/>
      <c r="D78" s="54" t="s">
        <v>33</v>
      </c>
      <c r="E78" s="54" t="s">
        <v>60</v>
      </c>
      <c r="F78" s="54" t="s">
        <v>84</v>
      </c>
      <c r="G78" s="55" t="s">
        <v>85</v>
      </c>
      <c r="H78" s="56" t="s">
        <v>85</v>
      </c>
      <c r="I78" s="54" t="s">
        <v>38</v>
      </c>
      <c r="J78" s="54" t="s">
        <v>113</v>
      </c>
      <c r="K78" s="57">
        <v>4</v>
      </c>
      <c r="L78" s="54" t="s">
        <v>46</v>
      </c>
      <c r="M78" s="58" t="s">
        <v>56</v>
      </c>
      <c r="N78" s="56">
        <v>40007052</v>
      </c>
      <c r="O78" s="597" t="s">
        <v>685</v>
      </c>
      <c r="P78" s="597"/>
      <c r="Q78" s="98" t="s">
        <v>117</v>
      </c>
      <c r="R78" s="118"/>
      <c r="S78" s="99">
        <v>26527000</v>
      </c>
      <c r="T78" s="100">
        <v>15510000</v>
      </c>
      <c r="U78" s="100">
        <f>13276230-2259230</f>
        <v>11017000</v>
      </c>
      <c r="V78" s="292">
        <f t="shared" si="39"/>
        <v>0</v>
      </c>
      <c r="W78" s="119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28">
        <v>0</v>
      </c>
      <c r="AI78" s="100">
        <f t="shared" si="40"/>
        <v>11017000</v>
      </c>
      <c r="AJ78" s="100">
        <f>+S78-T78-V78-AI78</f>
        <v>0</v>
      </c>
      <c r="AK78" s="796" t="s">
        <v>43</v>
      </c>
      <c r="AL78" s="796" t="s">
        <v>116</v>
      </c>
      <c r="AM78" s="796"/>
      <c r="AN78" s="799"/>
    </row>
    <row r="79" spans="1:42" s="38" customFormat="1" ht="25.5" hidden="1" customHeight="1" outlineLevel="1">
      <c r="A79" s="35"/>
      <c r="B79" s="35"/>
      <c r="C79" s="35"/>
      <c r="D79" s="35"/>
      <c r="E79" s="35"/>
      <c r="F79" s="36"/>
      <c r="G79" s="36"/>
      <c r="H79" s="37"/>
      <c r="I79" s="36"/>
      <c r="J79" s="36"/>
      <c r="K79" s="36"/>
      <c r="L79" s="35"/>
      <c r="N79" s="39"/>
      <c r="O79" s="39"/>
      <c r="P79" s="39"/>
      <c r="Q79" s="63" t="s">
        <v>67</v>
      </c>
      <c r="R79" s="64"/>
      <c r="S79" s="65">
        <f t="shared" ref="S79:AJ79" si="43">SUBTOTAL(9,S78:S78)</f>
        <v>0</v>
      </c>
      <c r="T79" s="65">
        <f t="shared" ref="T79" si="44">SUBTOTAL(9,T78:T78)</f>
        <v>0</v>
      </c>
      <c r="U79" s="65">
        <f t="shared" si="43"/>
        <v>0</v>
      </c>
      <c r="V79" s="65">
        <f t="shared" si="43"/>
        <v>0</v>
      </c>
      <c r="W79" s="65">
        <f t="shared" si="43"/>
        <v>0</v>
      </c>
      <c r="X79" s="65">
        <f t="shared" si="43"/>
        <v>0</v>
      </c>
      <c r="Y79" s="65">
        <f t="shared" si="43"/>
        <v>0</v>
      </c>
      <c r="Z79" s="65">
        <f t="shared" si="43"/>
        <v>0</v>
      </c>
      <c r="AA79" s="65">
        <f t="shared" si="43"/>
        <v>0</v>
      </c>
      <c r="AB79" s="65">
        <f t="shared" si="43"/>
        <v>0</v>
      </c>
      <c r="AC79" s="65">
        <f t="shared" si="43"/>
        <v>0</v>
      </c>
      <c r="AD79" s="65">
        <f t="shared" si="43"/>
        <v>0</v>
      </c>
      <c r="AE79" s="65">
        <f t="shared" si="43"/>
        <v>0</v>
      </c>
      <c r="AF79" s="65">
        <f t="shared" si="43"/>
        <v>0</v>
      </c>
      <c r="AG79" s="65">
        <f t="shared" si="43"/>
        <v>0</v>
      </c>
      <c r="AH79" s="65">
        <v>0</v>
      </c>
      <c r="AI79" s="65">
        <f t="shared" si="43"/>
        <v>0</v>
      </c>
      <c r="AJ79" s="65">
        <f t="shared" si="43"/>
        <v>0</v>
      </c>
      <c r="AK79" s="796"/>
      <c r="AL79" s="796"/>
      <c r="AM79" s="796"/>
      <c r="AN79" s="799"/>
    </row>
    <row r="80" spans="1:42" s="38" customFormat="1" ht="25.5" hidden="1" customHeight="1" outlineLevel="1">
      <c r="A80" s="35"/>
      <c r="B80" s="35"/>
      <c r="C80" s="35"/>
      <c r="D80" s="35"/>
      <c r="E80" s="35"/>
      <c r="F80" s="36"/>
      <c r="G80" s="36"/>
      <c r="H80" s="37"/>
      <c r="I80" s="36"/>
      <c r="J80" s="36"/>
      <c r="K80" s="36"/>
      <c r="L80" s="35"/>
      <c r="N80" s="39"/>
      <c r="O80" s="39"/>
      <c r="P80" s="39"/>
      <c r="Q80" s="46"/>
      <c r="R80" s="42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796"/>
      <c r="AL80" s="796"/>
      <c r="AM80" s="796"/>
      <c r="AN80" s="799"/>
    </row>
    <row r="81" spans="1:42" s="38" customFormat="1" ht="25.5" hidden="1" customHeight="1" outlineLevel="1">
      <c r="A81" s="35"/>
      <c r="B81" s="35"/>
      <c r="C81" s="35"/>
      <c r="D81" s="35"/>
      <c r="E81" s="35"/>
      <c r="F81" s="36"/>
      <c r="G81" s="36"/>
      <c r="H81" s="37"/>
      <c r="I81" s="36"/>
      <c r="J81" s="36"/>
      <c r="K81" s="36"/>
      <c r="L81" s="35"/>
      <c r="N81" s="39"/>
      <c r="O81" s="39"/>
      <c r="P81" s="39"/>
      <c r="Q81" s="49" t="s">
        <v>68</v>
      </c>
      <c r="R81" s="42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796"/>
      <c r="AL81" s="796"/>
      <c r="AM81" s="796"/>
      <c r="AN81" s="799"/>
    </row>
    <row r="82" spans="1:42" s="33" customFormat="1" ht="25.5" customHeight="1" outlineLevel="2">
      <c r="A82" s="66" t="s">
        <v>118</v>
      </c>
      <c r="B82" s="801">
        <v>31</v>
      </c>
      <c r="C82" s="730"/>
      <c r="D82" s="66" t="s">
        <v>33</v>
      </c>
      <c r="E82" s="801" t="s">
        <v>69</v>
      </c>
      <c r="F82" s="730" t="s">
        <v>84</v>
      </c>
      <c r="G82" s="66" t="s">
        <v>36</v>
      </c>
      <c r="H82" s="68" t="s">
        <v>37</v>
      </c>
      <c r="I82" s="801" t="s">
        <v>38</v>
      </c>
      <c r="J82" s="801" t="s">
        <v>113</v>
      </c>
      <c r="K82" s="730">
        <v>4</v>
      </c>
      <c r="L82" s="66" t="s">
        <v>46</v>
      </c>
      <c r="M82" s="802" t="s">
        <v>40</v>
      </c>
      <c r="N82" s="803">
        <v>30359222</v>
      </c>
      <c r="O82" s="771"/>
      <c r="P82" s="68"/>
      <c r="Q82" s="802" t="s">
        <v>119</v>
      </c>
      <c r="R82" s="146"/>
      <c r="S82" s="804">
        <v>378086000</v>
      </c>
      <c r="T82" s="805">
        <v>0</v>
      </c>
      <c r="U82" s="805">
        <f>130904300+4325049</f>
        <v>135229349</v>
      </c>
      <c r="V82" s="805">
        <f t="shared" si="39"/>
        <v>0</v>
      </c>
      <c r="W82" s="147"/>
      <c r="X82" s="121"/>
      <c r="Y82" s="121"/>
      <c r="Z82" s="121"/>
      <c r="AA82" s="28"/>
      <c r="AB82" s="121"/>
      <c r="AC82" s="121"/>
      <c r="AD82" s="121"/>
      <c r="AE82" s="121"/>
      <c r="AF82" s="121"/>
      <c r="AG82" s="121"/>
      <c r="AH82" s="28">
        <v>0</v>
      </c>
      <c r="AI82" s="805">
        <f t="shared" si="40"/>
        <v>135229349</v>
      </c>
      <c r="AJ82" s="805">
        <f>+S82-T82-V82-AI82</f>
        <v>242856651</v>
      </c>
      <c r="AK82" s="806" t="s">
        <v>48</v>
      </c>
      <c r="AL82" s="806" t="s">
        <v>767</v>
      </c>
      <c r="AM82" s="806"/>
      <c r="AN82" s="807">
        <v>44242</v>
      </c>
      <c r="AO82" s="33" t="e">
        <f>VLOOKUP(N82,'CONVENIOS 2021'!A$1:A$53,1,FALSE)</f>
        <v>#N/A</v>
      </c>
      <c r="AP82" s="33" t="e">
        <f>VLOOKUP(N82,'CONVENIOS 2020'!A$2:A$72,1,FALSE)</f>
        <v>#N/A</v>
      </c>
    </row>
    <row r="83" spans="1:42" s="33" customFormat="1" ht="25.5" hidden="1" customHeight="1" outlineLevel="2">
      <c r="A83" s="66"/>
      <c r="B83" s="180">
        <v>29</v>
      </c>
      <c r="C83" s="66"/>
      <c r="D83" s="66" t="s">
        <v>92</v>
      </c>
      <c r="E83" s="180" t="s">
        <v>69</v>
      </c>
      <c r="F83" s="66"/>
      <c r="G83" s="66"/>
      <c r="H83" s="68" t="s">
        <v>50</v>
      </c>
      <c r="I83" s="180" t="s">
        <v>38</v>
      </c>
      <c r="J83" s="180" t="s">
        <v>113</v>
      </c>
      <c r="K83" s="66">
        <v>4</v>
      </c>
      <c r="L83" s="66" t="s">
        <v>46</v>
      </c>
      <c r="M83" s="184" t="s">
        <v>40</v>
      </c>
      <c r="N83" s="182">
        <v>40002959</v>
      </c>
      <c r="O83" s="68"/>
      <c r="P83" s="68"/>
      <c r="Q83" s="184" t="s">
        <v>120</v>
      </c>
      <c r="R83" s="78"/>
      <c r="S83" s="188">
        <v>296391000</v>
      </c>
      <c r="T83" s="189">
        <v>0</v>
      </c>
      <c r="U83" s="188">
        <v>106391000</v>
      </c>
      <c r="V83" s="300">
        <f t="shared" si="39"/>
        <v>0</v>
      </c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28">
        <v>0</v>
      </c>
      <c r="AI83" s="189">
        <f t="shared" si="40"/>
        <v>106391000</v>
      </c>
      <c r="AJ83" s="189">
        <f>+S83-T83-V83-AI83</f>
        <v>190000000</v>
      </c>
      <c r="AK83" s="796" t="s">
        <v>48</v>
      </c>
      <c r="AL83" s="796"/>
      <c r="AM83" s="796"/>
      <c r="AN83" s="799"/>
    </row>
    <row r="84" spans="1:42" s="38" customFormat="1" ht="25.5" hidden="1" customHeight="1" outlineLevel="1">
      <c r="A84" s="66"/>
      <c r="B84" s="66">
        <v>29</v>
      </c>
      <c r="C84" s="66"/>
      <c r="D84" s="66" t="s">
        <v>92</v>
      </c>
      <c r="E84" s="66" t="s">
        <v>69</v>
      </c>
      <c r="F84" s="66"/>
      <c r="G84" s="66"/>
      <c r="H84" s="68" t="s">
        <v>85</v>
      </c>
      <c r="I84" s="66" t="s">
        <v>38</v>
      </c>
      <c r="J84" s="66" t="s">
        <v>113</v>
      </c>
      <c r="K84" s="66">
        <v>4</v>
      </c>
      <c r="L84" s="66" t="s">
        <v>46</v>
      </c>
      <c r="M84" s="70" t="s">
        <v>40</v>
      </c>
      <c r="N84" s="68">
        <v>40020898</v>
      </c>
      <c r="O84" s="68"/>
      <c r="P84" s="177"/>
      <c r="Q84" s="74" t="s">
        <v>121</v>
      </c>
      <c r="R84" s="78"/>
      <c r="S84" s="75">
        <v>66045000</v>
      </c>
      <c r="T84" s="76">
        <v>0</v>
      </c>
      <c r="U84" s="75">
        <v>66045000</v>
      </c>
      <c r="V84" s="297">
        <f t="shared" si="39"/>
        <v>0</v>
      </c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28">
        <v>0</v>
      </c>
      <c r="AI84" s="72">
        <f t="shared" si="40"/>
        <v>66045000</v>
      </c>
      <c r="AJ84" s="72">
        <f>+S84-T84-V84-AI84</f>
        <v>0</v>
      </c>
      <c r="AK84" s="796" t="s">
        <v>48</v>
      </c>
      <c r="AL84" s="796"/>
      <c r="AM84" s="796"/>
      <c r="AN84" s="799"/>
    </row>
    <row r="85" spans="1:42" s="38" customFormat="1" ht="25.5" hidden="1" customHeight="1" outlineLevel="1">
      <c r="A85" s="66"/>
      <c r="B85" s="66">
        <v>31</v>
      </c>
      <c r="C85" s="730"/>
      <c r="D85" s="66" t="s">
        <v>33</v>
      </c>
      <c r="E85" s="66" t="s">
        <v>69</v>
      </c>
      <c r="F85" s="730"/>
      <c r="G85" s="67"/>
      <c r="H85" s="68" t="s">
        <v>72</v>
      </c>
      <c r="I85" s="66" t="s">
        <v>38</v>
      </c>
      <c r="J85" s="66" t="s">
        <v>113</v>
      </c>
      <c r="K85" s="69">
        <v>4</v>
      </c>
      <c r="L85" s="66" t="s">
        <v>46</v>
      </c>
      <c r="M85" s="70" t="s">
        <v>40</v>
      </c>
      <c r="N85" s="68">
        <v>40018773</v>
      </c>
      <c r="O85" s="68"/>
      <c r="P85" s="68"/>
      <c r="Q85" s="742" t="s">
        <v>122</v>
      </c>
      <c r="R85" s="77"/>
      <c r="S85" s="71">
        <v>365923000</v>
      </c>
      <c r="T85" s="72">
        <v>0</v>
      </c>
      <c r="U85" s="71">
        <f>20000000+2259230</f>
        <v>22259230</v>
      </c>
      <c r="V85" s="297">
        <f t="shared" si="39"/>
        <v>0</v>
      </c>
      <c r="W85" s="79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28">
        <v>0</v>
      </c>
      <c r="AI85" s="72">
        <f t="shared" si="40"/>
        <v>22259230</v>
      </c>
      <c r="AJ85" s="72">
        <f>+S85-T85-V85-AI85</f>
        <v>343663770</v>
      </c>
      <c r="AK85" s="796" t="s">
        <v>43</v>
      </c>
      <c r="AL85" s="796" t="s">
        <v>66</v>
      </c>
      <c r="AM85" s="796"/>
      <c r="AN85" s="799"/>
      <c r="AO85" s="33">
        <f>VLOOKUP(N85,'CONVENIOS 2021'!A$1:A$53,1,FALSE)</f>
        <v>40018773</v>
      </c>
    </row>
    <row r="86" spans="1:42" s="18" customFormat="1" ht="25.5" hidden="1" customHeight="1" outlineLevel="1">
      <c r="A86" s="66"/>
      <c r="B86" s="66">
        <v>33</v>
      </c>
      <c r="C86" s="66"/>
      <c r="D86" s="66" t="s">
        <v>76</v>
      </c>
      <c r="E86" s="66" t="s">
        <v>69</v>
      </c>
      <c r="F86" s="66" t="s">
        <v>35</v>
      </c>
      <c r="G86" s="67" t="s">
        <v>49</v>
      </c>
      <c r="H86" s="68" t="s">
        <v>61</v>
      </c>
      <c r="I86" s="66" t="s">
        <v>38</v>
      </c>
      <c r="J86" s="66" t="s">
        <v>113</v>
      </c>
      <c r="K86" s="69">
        <v>4</v>
      </c>
      <c r="L86" s="66" t="s">
        <v>76</v>
      </c>
      <c r="M86" s="70" t="s">
        <v>40</v>
      </c>
      <c r="N86" s="68" t="s">
        <v>76</v>
      </c>
      <c r="O86" s="68"/>
      <c r="P86" s="177"/>
      <c r="Q86" s="74" t="s">
        <v>77</v>
      </c>
      <c r="R86" s="77"/>
      <c r="S86" s="75">
        <v>200000000</v>
      </c>
      <c r="T86" s="76">
        <v>0</v>
      </c>
      <c r="U86" s="76">
        <v>200000000</v>
      </c>
      <c r="V86" s="296">
        <f t="shared" si="39"/>
        <v>0</v>
      </c>
      <c r="W86" s="79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6">
        <f t="shared" si="40"/>
        <v>200000000</v>
      </c>
      <c r="AJ86" s="76">
        <f>+S86-T86-V86-AI86</f>
        <v>0</v>
      </c>
      <c r="AK86" s="796" t="s">
        <v>78</v>
      </c>
      <c r="AL86" s="796"/>
      <c r="AM86" s="796"/>
      <c r="AN86" s="799"/>
    </row>
    <row r="87" spans="1:42" s="38" customFormat="1" ht="25.5" hidden="1" customHeight="1" outlineLevel="1">
      <c r="A87" s="35"/>
      <c r="B87" s="35"/>
      <c r="C87" s="35"/>
      <c r="D87" s="35"/>
      <c r="E87" s="35"/>
      <c r="F87" s="36"/>
      <c r="G87" s="36"/>
      <c r="H87" s="37"/>
      <c r="I87" s="36"/>
      <c r="J87" s="36"/>
      <c r="K87" s="36"/>
      <c r="L87" s="35"/>
      <c r="N87" s="39"/>
      <c r="O87" s="39"/>
      <c r="P87" s="39"/>
      <c r="Q87" s="80" t="s">
        <v>80</v>
      </c>
      <c r="R87" s="42"/>
      <c r="S87" s="81">
        <f t="shared" ref="S87:AJ87" si="45">SUBTOTAL(9,S82:S86)</f>
        <v>378086000</v>
      </c>
      <c r="T87" s="81">
        <f t="shared" ref="T87" si="46">SUBTOTAL(9,T82:T86)</f>
        <v>0</v>
      </c>
      <c r="U87" s="81">
        <f t="shared" si="45"/>
        <v>135229349</v>
      </c>
      <c r="V87" s="81">
        <f t="shared" si="45"/>
        <v>0</v>
      </c>
      <c r="W87" s="81">
        <f t="shared" si="45"/>
        <v>0</v>
      </c>
      <c r="X87" s="81">
        <f t="shared" si="45"/>
        <v>0</v>
      </c>
      <c r="Y87" s="81">
        <f t="shared" si="45"/>
        <v>0</v>
      </c>
      <c r="Z87" s="81">
        <f t="shared" si="45"/>
        <v>0</v>
      </c>
      <c r="AA87" s="81">
        <f t="shared" si="45"/>
        <v>0</v>
      </c>
      <c r="AB87" s="81">
        <f t="shared" si="45"/>
        <v>0</v>
      </c>
      <c r="AC87" s="81">
        <f t="shared" si="45"/>
        <v>0</v>
      </c>
      <c r="AD87" s="81">
        <f t="shared" si="45"/>
        <v>0</v>
      </c>
      <c r="AE87" s="81">
        <f t="shared" si="45"/>
        <v>0</v>
      </c>
      <c r="AF87" s="81">
        <f t="shared" si="45"/>
        <v>0</v>
      </c>
      <c r="AG87" s="81">
        <f t="shared" si="45"/>
        <v>0</v>
      </c>
      <c r="AH87" s="81">
        <v>0</v>
      </c>
      <c r="AI87" s="81">
        <f t="shared" si="45"/>
        <v>135229349</v>
      </c>
      <c r="AJ87" s="81">
        <f t="shared" si="45"/>
        <v>242856651</v>
      </c>
      <c r="AK87" s="796"/>
      <c r="AL87" s="796"/>
      <c r="AM87" s="796"/>
      <c r="AN87" s="799"/>
    </row>
    <row r="88" spans="1:42" s="90" customFormat="1" ht="24.75" hidden="1" customHeight="1" outlineLevel="1">
      <c r="A88" s="35"/>
      <c r="B88" s="35"/>
      <c r="C88" s="35"/>
      <c r="D88" s="35"/>
      <c r="E88" s="35"/>
      <c r="F88" s="36"/>
      <c r="G88" s="36"/>
      <c r="H88" s="37"/>
      <c r="I88" s="36"/>
      <c r="J88" s="36"/>
      <c r="K88" s="36"/>
      <c r="L88" s="35"/>
      <c r="M88" s="38"/>
      <c r="N88" s="39"/>
      <c r="O88" s="39"/>
      <c r="P88" s="39"/>
      <c r="Q88" s="46"/>
      <c r="R88" s="42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796"/>
      <c r="AL88" s="796"/>
      <c r="AM88" s="796"/>
      <c r="AN88" s="799"/>
    </row>
    <row r="89" spans="1:42" s="84" customFormat="1" ht="24.75" hidden="1" customHeight="1" outlineLevel="1">
      <c r="A89" s="36"/>
      <c r="B89" s="82"/>
      <c r="C89" s="82"/>
      <c r="D89" s="36"/>
      <c r="E89" s="36"/>
      <c r="F89" s="36"/>
      <c r="G89" s="36"/>
      <c r="H89" s="37"/>
      <c r="I89" s="36"/>
      <c r="J89" s="36"/>
      <c r="K89" s="36"/>
      <c r="L89" s="82"/>
      <c r="N89" s="83"/>
      <c r="O89" s="39"/>
      <c r="P89" s="39"/>
      <c r="Q89" s="85" t="s">
        <v>123</v>
      </c>
      <c r="R89" s="111"/>
      <c r="S89" s="88">
        <f t="shared" ref="S89:AJ89" si="47">S75+S79+S87</f>
        <v>378086000</v>
      </c>
      <c r="T89" s="88">
        <f t="shared" ref="T89" si="48">T75+T79+T87</f>
        <v>0</v>
      </c>
      <c r="U89" s="88">
        <f t="shared" si="47"/>
        <v>135229349</v>
      </c>
      <c r="V89" s="88">
        <f t="shared" si="47"/>
        <v>0</v>
      </c>
      <c r="W89" s="88">
        <f t="shared" si="47"/>
        <v>0</v>
      </c>
      <c r="X89" s="88">
        <f t="shared" si="47"/>
        <v>0</v>
      </c>
      <c r="Y89" s="88">
        <f t="shared" si="47"/>
        <v>0</v>
      </c>
      <c r="Z89" s="88">
        <f t="shared" si="47"/>
        <v>0</v>
      </c>
      <c r="AA89" s="88">
        <f t="shared" si="47"/>
        <v>0</v>
      </c>
      <c r="AB89" s="88">
        <f t="shared" si="47"/>
        <v>0</v>
      </c>
      <c r="AC89" s="88">
        <f t="shared" si="47"/>
        <v>0</v>
      </c>
      <c r="AD89" s="88">
        <f t="shared" si="47"/>
        <v>0</v>
      </c>
      <c r="AE89" s="88">
        <f t="shared" si="47"/>
        <v>0</v>
      </c>
      <c r="AF89" s="88">
        <f t="shared" si="47"/>
        <v>0</v>
      </c>
      <c r="AG89" s="88">
        <f t="shared" si="47"/>
        <v>0</v>
      </c>
      <c r="AH89" s="88">
        <v>0</v>
      </c>
      <c r="AI89" s="88">
        <f t="shared" si="47"/>
        <v>135229349</v>
      </c>
      <c r="AJ89" s="88">
        <f t="shared" si="47"/>
        <v>242856651</v>
      </c>
      <c r="AK89" s="796"/>
      <c r="AL89" s="796"/>
      <c r="AM89" s="796"/>
      <c r="AN89" s="799"/>
    </row>
    <row r="90" spans="1:42" s="84" customFormat="1" ht="24.75" hidden="1" customHeight="1" outlineLevel="1">
      <c r="A90" s="36"/>
      <c r="B90" s="82"/>
      <c r="C90" s="82"/>
      <c r="D90" s="36"/>
      <c r="E90" s="36"/>
      <c r="F90" s="36"/>
      <c r="G90" s="36"/>
      <c r="H90" s="37"/>
      <c r="I90" s="36"/>
      <c r="J90" s="36"/>
      <c r="K90" s="36"/>
      <c r="L90" s="82"/>
      <c r="N90" s="83"/>
      <c r="O90" s="39"/>
      <c r="P90" s="39"/>
      <c r="Q90" s="91"/>
      <c r="R90" s="87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796"/>
      <c r="AL90" s="796"/>
      <c r="AM90" s="796"/>
      <c r="AN90" s="799"/>
    </row>
    <row r="91" spans="1:42" s="18" customFormat="1" ht="25.5" hidden="1" customHeight="1" outlineLevel="1">
      <c r="A91" s="36"/>
      <c r="B91" s="36"/>
      <c r="C91" s="36"/>
      <c r="D91" s="36"/>
      <c r="E91" s="36"/>
      <c r="F91" s="36"/>
      <c r="G91" s="36"/>
      <c r="H91" s="37"/>
      <c r="I91" s="36"/>
      <c r="J91" s="36"/>
      <c r="K91" s="36"/>
      <c r="L91" s="36"/>
      <c r="M91" s="95"/>
      <c r="N91" s="37"/>
      <c r="O91" s="39"/>
      <c r="P91" s="39"/>
      <c r="Q91" s="96" t="s">
        <v>124</v>
      </c>
      <c r="R91" s="50"/>
      <c r="S91" s="97"/>
      <c r="T91" s="97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796"/>
      <c r="AL91" s="796"/>
      <c r="AM91" s="796"/>
      <c r="AN91" s="799"/>
    </row>
    <row r="92" spans="1:42" s="33" customFormat="1" ht="25.5" hidden="1" customHeight="1" outlineLevel="2">
      <c r="A92" s="35"/>
      <c r="B92" s="35"/>
      <c r="C92" s="35"/>
      <c r="D92" s="35"/>
      <c r="E92" s="35"/>
      <c r="F92" s="36"/>
      <c r="G92" s="36"/>
      <c r="H92" s="37"/>
      <c r="I92" s="36"/>
      <c r="J92" s="36"/>
      <c r="K92" s="36"/>
      <c r="L92" s="35"/>
      <c r="M92" s="38"/>
      <c r="N92" s="39"/>
      <c r="O92" s="39"/>
      <c r="P92" s="39"/>
      <c r="Q92" s="17" t="s">
        <v>32</v>
      </c>
      <c r="R92" s="50"/>
      <c r="S92" s="51"/>
      <c r="T92" s="51"/>
      <c r="U92" s="52"/>
      <c r="V92" s="52"/>
      <c r="W92" s="52"/>
      <c r="X92" s="52"/>
      <c r="Y92" s="52"/>
      <c r="Z92" s="53"/>
      <c r="AA92" s="53"/>
      <c r="AB92" s="53"/>
      <c r="AC92" s="53"/>
      <c r="AD92" s="53"/>
      <c r="AE92" s="53"/>
      <c r="AF92" s="53"/>
      <c r="AG92" s="53"/>
      <c r="AH92" s="53"/>
      <c r="AI92" s="52"/>
      <c r="AJ92" s="52"/>
      <c r="AK92" s="796"/>
      <c r="AL92" s="796"/>
      <c r="AM92" s="796"/>
      <c r="AN92" s="799"/>
    </row>
    <row r="93" spans="1:42" s="33" customFormat="1" ht="25.5" hidden="1" customHeight="1" outlineLevel="2">
      <c r="A93" s="19"/>
      <c r="B93" s="19">
        <v>31</v>
      </c>
      <c r="C93" s="19"/>
      <c r="D93" s="19" t="s">
        <v>33</v>
      </c>
      <c r="E93" s="19" t="s">
        <v>34</v>
      </c>
      <c r="F93" s="19" t="s">
        <v>35</v>
      </c>
      <c r="G93" s="20" t="s">
        <v>49</v>
      </c>
      <c r="H93" s="21" t="s">
        <v>64</v>
      </c>
      <c r="I93" s="19" t="s">
        <v>38</v>
      </c>
      <c r="J93" s="19" t="s">
        <v>125</v>
      </c>
      <c r="K93" s="22">
        <v>5</v>
      </c>
      <c r="L93" s="19" t="s">
        <v>46</v>
      </c>
      <c r="M93" s="23" t="s">
        <v>40</v>
      </c>
      <c r="N93" s="21">
        <v>30284622</v>
      </c>
      <c r="O93" s="21" t="s">
        <v>685</v>
      </c>
      <c r="P93" s="21"/>
      <c r="Q93" s="23" t="s">
        <v>126</v>
      </c>
      <c r="R93" s="24"/>
      <c r="S93" s="26">
        <v>731185907</v>
      </c>
      <c r="T93" s="30">
        <v>668131467</v>
      </c>
      <c r="U93" s="30">
        <v>63054440</v>
      </c>
      <c r="V93" s="285">
        <f t="shared" si="39"/>
        <v>0</v>
      </c>
      <c r="W93" s="29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>
        <v>0</v>
      </c>
      <c r="AI93" s="30">
        <f t="shared" si="40"/>
        <v>63054440</v>
      </c>
      <c r="AJ93" s="30">
        <f>+S93-T93-V93-AI93</f>
        <v>0</v>
      </c>
      <c r="AK93" s="796" t="s">
        <v>43</v>
      </c>
      <c r="AL93" s="796" t="s">
        <v>44</v>
      </c>
      <c r="AM93" s="796"/>
      <c r="AN93" s="799"/>
    </row>
    <row r="94" spans="1:42" s="33" customFormat="1" ht="25.5" hidden="1" customHeight="1" outlineLevel="2">
      <c r="A94" s="19"/>
      <c r="B94" s="19">
        <v>31</v>
      </c>
      <c r="C94" s="19"/>
      <c r="D94" s="19" t="s">
        <v>33</v>
      </c>
      <c r="E94" s="19" t="s">
        <v>34</v>
      </c>
      <c r="F94" s="19" t="s">
        <v>35</v>
      </c>
      <c r="G94" s="20" t="s">
        <v>49</v>
      </c>
      <c r="H94" s="21" t="s">
        <v>53</v>
      </c>
      <c r="I94" s="19" t="s">
        <v>38</v>
      </c>
      <c r="J94" s="19" t="s">
        <v>125</v>
      </c>
      <c r="K94" s="22">
        <v>5</v>
      </c>
      <c r="L94" s="19" t="s">
        <v>46</v>
      </c>
      <c r="M94" s="23" t="s">
        <v>40</v>
      </c>
      <c r="N94" s="21">
        <v>30102235</v>
      </c>
      <c r="O94" s="21" t="s">
        <v>753</v>
      </c>
      <c r="P94" s="21"/>
      <c r="Q94" s="23" t="s">
        <v>127</v>
      </c>
      <c r="R94" s="24"/>
      <c r="S94" s="26">
        <v>397780901</v>
      </c>
      <c r="T94" s="30">
        <v>357639153</v>
      </c>
      <c r="U94" s="30">
        <v>7000000</v>
      </c>
      <c r="V94" s="285">
        <f t="shared" si="39"/>
        <v>0</v>
      </c>
      <c r="W94" s="29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>
        <v>0</v>
      </c>
      <c r="AI94" s="30">
        <f t="shared" si="40"/>
        <v>7000000</v>
      </c>
      <c r="AJ94" s="30">
        <f>+S94-T94-V94-AI94</f>
        <v>33141748</v>
      </c>
      <c r="AK94" s="796" t="s">
        <v>48</v>
      </c>
      <c r="AL94" s="796" t="s">
        <v>44</v>
      </c>
      <c r="AM94" s="796"/>
      <c r="AN94" s="799"/>
    </row>
    <row r="95" spans="1:42" s="33" customFormat="1" ht="25.5" hidden="1" customHeight="1" outlineLevel="2">
      <c r="A95" s="19"/>
      <c r="B95" s="19">
        <v>31</v>
      </c>
      <c r="C95" s="19"/>
      <c r="D95" s="19" t="s">
        <v>33</v>
      </c>
      <c r="E95" s="19" t="s">
        <v>34</v>
      </c>
      <c r="F95" s="19"/>
      <c r="G95" s="20"/>
      <c r="H95" s="21" t="s">
        <v>50</v>
      </c>
      <c r="I95" s="19" t="s">
        <v>38</v>
      </c>
      <c r="J95" s="19" t="s">
        <v>125</v>
      </c>
      <c r="K95" s="22">
        <v>5</v>
      </c>
      <c r="L95" s="19" t="s">
        <v>46</v>
      </c>
      <c r="M95" s="23" t="s">
        <v>56</v>
      </c>
      <c r="N95" s="122">
        <v>30088194</v>
      </c>
      <c r="O95" s="122" t="s">
        <v>753</v>
      </c>
      <c r="P95" s="122"/>
      <c r="Q95" s="23" t="s">
        <v>128</v>
      </c>
      <c r="R95" s="24"/>
      <c r="S95" s="26">
        <v>175662361</v>
      </c>
      <c r="T95" s="30">
        <v>154554067</v>
      </c>
      <c r="U95" s="30">
        <v>21108294</v>
      </c>
      <c r="V95" s="285">
        <f t="shared" si="39"/>
        <v>16886636</v>
      </c>
      <c r="W95" s="29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>
        <v>16886636</v>
      </c>
      <c r="AI95" s="30">
        <f t="shared" si="40"/>
        <v>4221658</v>
      </c>
      <c r="AJ95" s="30">
        <f>+S95-T95-V95-AI95</f>
        <v>0</v>
      </c>
      <c r="AK95" s="796" t="s">
        <v>43</v>
      </c>
      <c r="AL95" s="796" t="s">
        <v>90</v>
      </c>
      <c r="AM95" s="796"/>
      <c r="AN95" s="799"/>
    </row>
    <row r="96" spans="1:42" s="38" customFormat="1" ht="25.5" hidden="1" customHeight="1" outlineLevel="1">
      <c r="A96" s="35"/>
      <c r="B96" s="35"/>
      <c r="C96" s="35"/>
      <c r="D96" s="35"/>
      <c r="E96" s="35"/>
      <c r="F96" s="36"/>
      <c r="G96" s="36"/>
      <c r="H96" s="37"/>
      <c r="I96" s="36"/>
      <c r="J96" s="36"/>
      <c r="K96" s="36"/>
      <c r="L96" s="35"/>
      <c r="N96" s="39"/>
      <c r="O96" s="39"/>
      <c r="P96" s="39"/>
      <c r="Q96" s="40" t="s">
        <v>58</v>
      </c>
      <c r="R96" s="41"/>
      <c r="S96" s="44">
        <f t="shared" ref="S96:AJ96" si="49">SUBTOTAL(9,S93:S95)</f>
        <v>0</v>
      </c>
      <c r="T96" s="44">
        <f t="shared" ref="T96" si="50">SUBTOTAL(9,T93:T95)</f>
        <v>0</v>
      </c>
      <c r="U96" s="44">
        <f t="shared" si="49"/>
        <v>0</v>
      </c>
      <c r="V96" s="44">
        <f t="shared" si="49"/>
        <v>0</v>
      </c>
      <c r="W96" s="44">
        <f t="shared" si="49"/>
        <v>0</v>
      </c>
      <c r="X96" s="44">
        <f t="shared" si="49"/>
        <v>0</v>
      </c>
      <c r="Y96" s="44">
        <f t="shared" si="49"/>
        <v>0</v>
      </c>
      <c r="Z96" s="44">
        <f t="shared" si="49"/>
        <v>0</v>
      </c>
      <c r="AA96" s="44">
        <f t="shared" si="49"/>
        <v>0</v>
      </c>
      <c r="AB96" s="44">
        <f t="shared" si="49"/>
        <v>0</v>
      </c>
      <c r="AC96" s="44">
        <f t="shared" si="49"/>
        <v>0</v>
      </c>
      <c r="AD96" s="44">
        <f t="shared" si="49"/>
        <v>0</v>
      </c>
      <c r="AE96" s="44">
        <f t="shared" si="49"/>
        <v>0</v>
      </c>
      <c r="AF96" s="44">
        <f t="shared" si="49"/>
        <v>0</v>
      </c>
      <c r="AG96" s="44">
        <f t="shared" si="49"/>
        <v>0</v>
      </c>
      <c r="AH96" s="44">
        <v>16886636</v>
      </c>
      <c r="AI96" s="44">
        <f t="shared" si="49"/>
        <v>0</v>
      </c>
      <c r="AJ96" s="44">
        <f t="shared" si="49"/>
        <v>0</v>
      </c>
      <c r="AK96" s="796"/>
      <c r="AL96" s="796"/>
      <c r="AM96" s="796"/>
      <c r="AN96" s="799"/>
    </row>
    <row r="97" spans="1:42" s="18" customFormat="1" ht="25.5" hidden="1" customHeight="1" outlineLevel="1">
      <c r="A97" s="35"/>
      <c r="B97" s="35"/>
      <c r="C97" s="35"/>
      <c r="D97" s="35"/>
      <c r="E97" s="35"/>
      <c r="F97" s="36"/>
      <c r="G97" s="36"/>
      <c r="H97" s="37"/>
      <c r="I97" s="36"/>
      <c r="J97" s="36"/>
      <c r="K97" s="36"/>
      <c r="L97" s="35"/>
      <c r="M97" s="38"/>
      <c r="N97" s="39"/>
      <c r="O97" s="39"/>
      <c r="P97" s="39"/>
      <c r="Q97" s="46"/>
      <c r="R97" s="42"/>
      <c r="S97" s="47"/>
      <c r="T97" s="47"/>
      <c r="U97" s="47"/>
      <c r="V97" s="47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7"/>
      <c r="AJ97" s="47"/>
      <c r="AK97" s="796"/>
      <c r="AL97" s="796"/>
      <c r="AM97" s="796"/>
      <c r="AN97" s="799"/>
    </row>
    <row r="98" spans="1:42" s="18" customFormat="1" ht="25.5" hidden="1" customHeight="1" outlineLevel="1">
      <c r="A98" s="35"/>
      <c r="B98" s="35"/>
      <c r="C98" s="35"/>
      <c r="D98" s="35"/>
      <c r="E98" s="35"/>
      <c r="F98" s="36"/>
      <c r="G98" s="36"/>
      <c r="H98" s="37"/>
      <c r="I98" s="36"/>
      <c r="J98" s="36"/>
      <c r="K98" s="36"/>
      <c r="L98" s="35"/>
      <c r="M98" s="38"/>
      <c r="N98" s="39"/>
      <c r="O98" s="39"/>
      <c r="P98" s="39"/>
      <c r="Q98" s="17" t="s">
        <v>59</v>
      </c>
      <c r="R98" s="50"/>
      <c r="S98" s="51"/>
      <c r="T98" s="51"/>
      <c r="U98" s="52"/>
      <c r="V98" s="52"/>
      <c r="W98" s="52"/>
      <c r="X98" s="52"/>
      <c r="Y98" s="52"/>
      <c r="Z98" s="53"/>
      <c r="AA98" s="53"/>
      <c r="AB98" s="53"/>
      <c r="AC98" s="53"/>
      <c r="AD98" s="53"/>
      <c r="AE98" s="53"/>
      <c r="AF98" s="53"/>
      <c r="AG98" s="53"/>
      <c r="AH98" s="53"/>
      <c r="AI98" s="52"/>
      <c r="AJ98" s="52"/>
      <c r="AK98" s="796"/>
      <c r="AL98" s="796"/>
      <c r="AM98" s="796"/>
      <c r="AN98" s="799"/>
    </row>
    <row r="99" spans="1:42" s="18" customFormat="1" ht="25.5" customHeight="1" outlineLevel="1">
      <c r="A99" s="54"/>
      <c r="B99" s="801">
        <v>31</v>
      </c>
      <c r="C99" s="729"/>
      <c r="D99" s="54" t="s">
        <v>33</v>
      </c>
      <c r="E99" s="801" t="s">
        <v>60</v>
      </c>
      <c r="F99" s="729" t="s">
        <v>84</v>
      </c>
      <c r="G99" s="55" t="s">
        <v>49</v>
      </c>
      <c r="H99" s="56" t="s">
        <v>85</v>
      </c>
      <c r="I99" s="801" t="s">
        <v>38</v>
      </c>
      <c r="J99" s="801" t="s">
        <v>125</v>
      </c>
      <c r="K99" s="57">
        <v>5</v>
      </c>
      <c r="L99" s="54" t="s">
        <v>46</v>
      </c>
      <c r="M99" s="802" t="s">
        <v>56</v>
      </c>
      <c r="N99" s="803">
        <v>40010103</v>
      </c>
      <c r="O99" s="770" t="s">
        <v>685</v>
      </c>
      <c r="P99" s="56"/>
      <c r="Q99" s="802" t="s">
        <v>129</v>
      </c>
      <c r="R99" s="118"/>
      <c r="S99" s="804">
        <v>34340000</v>
      </c>
      <c r="T99" s="805">
        <v>0</v>
      </c>
      <c r="U99" s="805">
        <v>34340000</v>
      </c>
      <c r="V99" s="805">
        <f t="shared" si="39"/>
        <v>0</v>
      </c>
      <c r="W99" s="119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28">
        <v>0</v>
      </c>
      <c r="AI99" s="805">
        <f t="shared" si="40"/>
        <v>34340000</v>
      </c>
      <c r="AJ99" s="805">
        <f>+S99-T99-V99-AI99</f>
        <v>0</v>
      </c>
      <c r="AK99" s="806" t="s">
        <v>43</v>
      </c>
      <c r="AL99" s="806" t="s">
        <v>759</v>
      </c>
      <c r="AM99" s="806" t="str">
        <f>HYPERLINK(CONCATENATE("DOCUMENTOS\ACTA-",N99,".PDF"))</f>
        <v>DOCUMENTOS\ACTA-40010103.PDF</v>
      </c>
      <c r="AN99" s="807"/>
      <c r="AO99" s="33" t="e">
        <f>VLOOKUP(N99,'CONVENIOS 2021'!A$1:A$53,1,FALSE)</f>
        <v>#N/A</v>
      </c>
      <c r="AP99" s="33" t="e">
        <f>VLOOKUP(N99,'CONVENIOS 2020'!A$2:A$72,1,FALSE)</f>
        <v>#N/A</v>
      </c>
    </row>
    <row r="100" spans="1:42" s="38" customFormat="1" ht="25.5" hidden="1" customHeight="1" outlineLevel="1">
      <c r="A100" s="35"/>
      <c r="B100" s="35"/>
      <c r="C100" s="35"/>
      <c r="D100" s="35"/>
      <c r="E100" s="35"/>
      <c r="F100" s="36"/>
      <c r="G100" s="36"/>
      <c r="H100" s="37"/>
      <c r="I100" s="36"/>
      <c r="J100" s="36"/>
      <c r="K100" s="36"/>
      <c r="L100" s="35"/>
      <c r="N100" s="39"/>
      <c r="O100" s="39"/>
      <c r="P100" s="39"/>
      <c r="Q100" s="139" t="s">
        <v>67</v>
      </c>
      <c r="R100" s="64"/>
      <c r="S100" s="140">
        <f t="shared" ref="S100:AJ100" si="51">SUBTOTAL(9,S99:S99)</f>
        <v>34340000</v>
      </c>
      <c r="T100" s="140">
        <f t="shared" ref="T100" si="52">SUBTOTAL(9,T99:T99)</f>
        <v>0</v>
      </c>
      <c r="U100" s="140">
        <f t="shared" si="51"/>
        <v>34340000</v>
      </c>
      <c r="V100" s="140">
        <f t="shared" si="51"/>
        <v>0</v>
      </c>
      <c r="W100" s="65">
        <f t="shared" si="51"/>
        <v>0</v>
      </c>
      <c r="X100" s="65">
        <f t="shared" si="51"/>
        <v>0</v>
      </c>
      <c r="Y100" s="65">
        <f t="shared" si="51"/>
        <v>0</v>
      </c>
      <c r="Z100" s="65">
        <f t="shared" si="51"/>
        <v>0</v>
      </c>
      <c r="AA100" s="65">
        <f t="shared" si="51"/>
        <v>0</v>
      </c>
      <c r="AB100" s="65">
        <f t="shared" si="51"/>
        <v>0</v>
      </c>
      <c r="AC100" s="65">
        <f t="shared" si="51"/>
        <v>0</v>
      </c>
      <c r="AD100" s="65">
        <f t="shared" si="51"/>
        <v>0</v>
      </c>
      <c r="AE100" s="65">
        <f t="shared" si="51"/>
        <v>0</v>
      </c>
      <c r="AF100" s="65">
        <f t="shared" si="51"/>
        <v>0</v>
      </c>
      <c r="AG100" s="65">
        <f t="shared" si="51"/>
        <v>0</v>
      </c>
      <c r="AH100" s="65">
        <v>0</v>
      </c>
      <c r="AI100" s="140">
        <f t="shared" si="51"/>
        <v>34340000</v>
      </c>
      <c r="AJ100" s="140">
        <f t="shared" si="51"/>
        <v>0</v>
      </c>
      <c r="AK100" s="796"/>
      <c r="AL100" s="796"/>
      <c r="AM100" s="796"/>
      <c r="AN100" s="799"/>
    </row>
    <row r="101" spans="1:42" s="38" customFormat="1" ht="25.5" hidden="1" customHeight="1" outlineLevel="1">
      <c r="A101" s="35"/>
      <c r="B101" s="35"/>
      <c r="C101" s="35"/>
      <c r="D101" s="35"/>
      <c r="E101" s="35"/>
      <c r="F101" s="36"/>
      <c r="G101" s="36"/>
      <c r="H101" s="37"/>
      <c r="I101" s="36"/>
      <c r="J101" s="36"/>
      <c r="K101" s="36"/>
      <c r="L101" s="35"/>
      <c r="N101" s="39"/>
      <c r="O101" s="39"/>
      <c r="P101" s="39"/>
      <c r="Q101" s="46"/>
      <c r="R101" s="42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796"/>
      <c r="AL101" s="796"/>
      <c r="AM101" s="796"/>
      <c r="AN101" s="799"/>
    </row>
    <row r="102" spans="1:42" s="38" customFormat="1" ht="25.5" hidden="1" customHeight="1" outlineLevel="1">
      <c r="A102" s="35"/>
      <c r="B102" s="35"/>
      <c r="C102" s="35"/>
      <c r="D102" s="35"/>
      <c r="E102" s="35"/>
      <c r="F102" s="36"/>
      <c r="G102" s="36"/>
      <c r="H102" s="37"/>
      <c r="I102" s="36"/>
      <c r="J102" s="36"/>
      <c r="K102" s="36"/>
      <c r="L102" s="35"/>
      <c r="N102" s="39"/>
      <c r="O102" s="39"/>
      <c r="P102" s="39"/>
      <c r="Q102" s="17" t="s">
        <v>68</v>
      </c>
      <c r="R102" s="42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796"/>
      <c r="AL102" s="796"/>
      <c r="AM102" s="796"/>
      <c r="AN102" s="799"/>
    </row>
    <row r="103" spans="1:42" s="38" customFormat="1" ht="25.5" customHeight="1" outlineLevel="1">
      <c r="A103" s="102"/>
      <c r="B103" s="808">
        <v>31</v>
      </c>
      <c r="C103" s="731"/>
      <c r="D103" s="66" t="s">
        <v>33</v>
      </c>
      <c r="E103" s="808" t="s">
        <v>69</v>
      </c>
      <c r="F103" s="732"/>
      <c r="G103" s="103"/>
      <c r="H103" s="68" t="s">
        <v>85</v>
      </c>
      <c r="I103" s="801" t="s">
        <v>38</v>
      </c>
      <c r="J103" s="801" t="s">
        <v>125</v>
      </c>
      <c r="K103" s="69">
        <v>5</v>
      </c>
      <c r="L103" s="66" t="s">
        <v>46</v>
      </c>
      <c r="M103" s="809" t="s">
        <v>56</v>
      </c>
      <c r="N103" s="810">
        <v>40008370</v>
      </c>
      <c r="O103" s="771"/>
      <c r="P103" s="68"/>
      <c r="Q103" s="809" t="s">
        <v>130</v>
      </c>
      <c r="R103" s="733"/>
      <c r="S103" s="804">
        <v>26204000</v>
      </c>
      <c r="T103" s="804">
        <v>0</v>
      </c>
      <c r="U103" s="804">
        <v>26204000</v>
      </c>
      <c r="V103" s="811">
        <f t="shared" si="39"/>
        <v>0</v>
      </c>
      <c r="W103" s="73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28">
        <v>0</v>
      </c>
      <c r="AI103" s="805">
        <f t="shared" si="40"/>
        <v>26204000</v>
      </c>
      <c r="AJ103" s="805">
        <f>+S103-T103-V103-AI103</f>
        <v>0</v>
      </c>
      <c r="AK103" s="806" t="s">
        <v>43</v>
      </c>
      <c r="AL103" s="806" t="s">
        <v>771</v>
      </c>
      <c r="AM103" s="806"/>
      <c r="AN103" s="807"/>
      <c r="AO103" s="33" t="e">
        <f>VLOOKUP(N103,'CONVENIOS 2021'!A$1:A$53,1,FALSE)</f>
        <v>#N/A</v>
      </c>
      <c r="AP103" s="33" t="e">
        <f>VLOOKUP(N103,'CONVENIOS 2020'!A$2:A$72,1,FALSE)</f>
        <v>#N/A</v>
      </c>
    </row>
    <row r="104" spans="1:42" s="38" customFormat="1" ht="25.5" hidden="1" customHeight="1" outlineLevel="1">
      <c r="A104" s="102"/>
      <c r="B104" s="778">
        <v>29</v>
      </c>
      <c r="C104" s="102"/>
      <c r="D104" s="66" t="s">
        <v>92</v>
      </c>
      <c r="E104" s="778" t="s">
        <v>69</v>
      </c>
      <c r="F104" s="103"/>
      <c r="G104" s="103"/>
      <c r="H104" s="68" t="s">
        <v>61</v>
      </c>
      <c r="I104" s="180" t="s">
        <v>38</v>
      </c>
      <c r="J104" s="180" t="s">
        <v>125</v>
      </c>
      <c r="K104" s="69">
        <v>5</v>
      </c>
      <c r="L104" s="66" t="s">
        <v>131</v>
      </c>
      <c r="M104" s="779" t="s">
        <v>40</v>
      </c>
      <c r="N104" s="780">
        <v>40018072</v>
      </c>
      <c r="O104" s="68"/>
      <c r="P104" s="177"/>
      <c r="Q104" s="781" t="s">
        <v>132</v>
      </c>
      <c r="R104" s="106"/>
      <c r="S104" s="774">
        <v>39198000</v>
      </c>
      <c r="T104" s="774">
        <v>0</v>
      </c>
      <c r="U104" s="774">
        <v>39198000</v>
      </c>
      <c r="V104" s="722">
        <f t="shared" si="39"/>
        <v>0</v>
      </c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28">
        <v>0</v>
      </c>
      <c r="AI104" s="775">
        <f t="shared" si="40"/>
        <v>39198000</v>
      </c>
      <c r="AJ104" s="775">
        <f>+S104-T104-V104-AI104</f>
        <v>0</v>
      </c>
      <c r="AK104" s="796" t="s">
        <v>48</v>
      </c>
      <c r="AL104" s="796"/>
      <c r="AM104" s="796"/>
      <c r="AN104" s="799"/>
    </row>
    <row r="105" spans="1:42" s="38" customFormat="1" ht="25.5" customHeight="1" outlineLevel="1">
      <c r="A105" s="102" t="s">
        <v>133</v>
      </c>
      <c r="B105" s="808">
        <v>31</v>
      </c>
      <c r="C105" s="731"/>
      <c r="D105" s="66" t="s">
        <v>33</v>
      </c>
      <c r="E105" s="808" t="s">
        <v>69</v>
      </c>
      <c r="F105" s="732"/>
      <c r="G105" s="126"/>
      <c r="H105" s="68" t="s">
        <v>85</v>
      </c>
      <c r="I105" s="801" t="s">
        <v>38</v>
      </c>
      <c r="J105" s="801" t="s">
        <v>125</v>
      </c>
      <c r="K105" s="69">
        <v>5</v>
      </c>
      <c r="L105" s="66" t="s">
        <v>46</v>
      </c>
      <c r="M105" s="809" t="s">
        <v>40</v>
      </c>
      <c r="N105" s="810">
        <v>30280673</v>
      </c>
      <c r="O105" s="771"/>
      <c r="P105" s="68"/>
      <c r="Q105" s="809" t="s">
        <v>134</v>
      </c>
      <c r="R105" s="127"/>
      <c r="S105" s="804">
        <v>569080000</v>
      </c>
      <c r="T105" s="804">
        <v>0</v>
      </c>
      <c r="U105" s="804">
        <v>50000000</v>
      </c>
      <c r="V105" s="811">
        <f t="shared" si="39"/>
        <v>0</v>
      </c>
      <c r="W105" s="129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28">
        <v>0</v>
      </c>
      <c r="AI105" s="805">
        <f t="shared" si="40"/>
        <v>50000000</v>
      </c>
      <c r="AJ105" s="805">
        <f>+S105-T105-V105-AI105</f>
        <v>519080000</v>
      </c>
      <c r="AK105" s="806" t="s">
        <v>43</v>
      </c>
      <c r="AL105" s="806" t="s">
        <v>773</v>
      </c>
      <c r="AM105" s="806"/>
      <c r="AN105" s="807"/>
      <c r="AO105" s="33" t="e">
        <f>VLOOKUP(N105,'CONVENIOS 2021'!A$1:A$53,1,FALSE)</f>
        <v>#N/A</v>
      </c>
      <c r="AP105" s="33" t="e">
        <f>VLOOKUP(N105,'CONVENIOS 2020'!A$2:A$72,1,FALSE)</f>
        <v>#N/A</v>
      </c>
    </row>
    <row r="106" spans="1:42" s="18" customFormat="1" ht="25.5" hidden="1" customHeight="1" outlineLevel="1">
      <c r="A106" s="66"/>
      <c r="B106" s="180">
        <v>33</v>
      </c>
      <c r="C106" s="66"/>
      <c r="D106" s="66" t="s">
        <v>76</v>
      </c>
      <c r="E106" s="180" t="s">
        <v>69</v>
      </c>
      <c r="F106" s="66" t="s">
        <v>35</v>
      </c>
      <c r="G106" s="67" t="s">
        <v>49</v>
      </c>
      <c r="H106" s="68" t="s">
        <v>61</v>
      </c>
      <c r="I106" s="180" t="s">
        <v>38</v>
      </c>
      <c r="J106" s="180" t="s">
        <v>125</v>
      </c>
      <c r="K106" s="69">
        <v>5</v>
      </c>
      <c r="L106" s="66" t="s">
        <v>76</v>
      </c>
      <c r="M106" s="184" t="s">
        <v>40</v>
      </c>
      <c r="N106" s="182" t="s">
        <v>76</v>
      </c>
      <c r="O106" s="68"/>
      <c r="P106" s="177"/>
      <c r="Q106" s="773" t="s">
        <v>77</v>
      </c>
      <c r="R106" s="24"/>
      <c r="S106" s="774">
        <v>200000000</v>
      </c>
      <c r="T106" s="775">
        <v>0</v>
      </c>
      <c r="U106" s="775">
        <v>200000000</v>
      </c>
      <c r="V106" s="776">
        <f t="shared" si="39"/>
        <v>45055390</v>
      </c>
      <c r="W106" s="29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72">
        <v>45055390</v>
      </c>
      <c r="AI106" s="775">
        <f t="shared" si="40"/>
        <v>154944610</v>
      </c>
      <c r="AJ106" s="775">
        <f>+S106-T106-V106-AI106</f>
        <v>0</v>
      </c>
      <c r="AK106" s="796" t="s">
        <v>78</v>
      </c>
      <c r="AL106" s="796"/>
      <c r="AM106" s="796"/>
      <c r="AN106" s="799"/>
    </row>
    <row r="107" spans="1:42" s="38" customFormat="1" ht="25.5" hidden="1" customHeight="1" outlineLevel="1">
      <c r="A107" s="35"/>
      <c r="B107" s="35"/>
      <c r="C107" s="35"/>
      <c r="D107" s="35"/>
      <c r="E107" s="35"/>
      <c r="F107" s="36"/>
      <c r="G107" s="36"/>
      <c r="H107" s="37"/>
      <c r="I107" s="36"/>
      <c r="J107" s="36"/>
      <c r="K107" s="36"/>
      <c r="L107" s="35"/>
      <c r="N107" s="39"/>
      <c r="O107" s="39"/>
      <c r="P107" s="39"/>
      <c r="Q107" s="80" t="s">
        <v>80</v>
      </c>
      <c r="R107" s="42"/>
      <c r="S107" s="81">
        <f t="shared" ref="S107:AJ107" si="53">SUBTOTAL(9,S103:S106)</f>
        <v>595284000</v>
      </c>
      <c r="T107" s="81">
        <f t="shared" ref="T107" si="54">SUBTOTAL(9,T103:T106)</f>
        <v>0</v>
      </c>
      <c r="U107" s="81">
        <f t="shared" si="53"/>
        <v>76204000</v>
      </c>
      <c r="V107" s="81">
        <f t="shared" si="53"/>
        <v>0</v>
      </c>
      <c r="W107" s="81">
        <f t="shared" si="53"/>
        <v>0</v>
      </c>
      <c r="X107" s="81">
        <f t="shared" si="53"/>
        <v>0</v>
      </c>
      <c r="Y107" s="81">
        <f t="shared" si="53"/>
        <v>0</v>
      </c>
      <c r="Z107" s="81">
        <f t="shared" si="53"/>
        <v>0</v>
      </c>
      <c r="AA107" s="81">
        <f t="shared" si="53"/>
        <v>0</v>
      </c>
      <c r="AB107" s="81">
        <f t="shared" si="53"/>
        <v>0</v>
      </c>
      <c r="AC107" s="81">
        <f t="shared" si="53"/>
        <v>0</v>
      </c>
      <c r="AD107" s="81">
        <f t="shared" si="53"/>
        <v>0</v>
      </c>
      <c r="AE107" s="81">
        <f t="shared" si="53"/>
        <v>0</v>
      </c>
      <c r="AF107" s="81">
        <f t="shared" si="53"/>
        <v>0</v>
      </c>
      <c r="AG107" s="81">
        <f t="shared" si="53"/>
        <v>0</v>
      </c>
      <c r="AH107" s="81">
        <v>45055390</v>
      </c>
      <c r="AI107" s="81">
        <f t="shared" si="53"/>
        <v>76204000</v>
      </c>
      <c r="AJ107" s="81">
        <f t="shared" si="53"/>
        <v>519080000</v>
      </c>
      <c r="AK107" s="796"/>
      <c r="AL107" s="796"/>
      <c r="AM107" s="796"/>
      <c r="AN107" s="799"/>
    </row>
    <row r="108" spans="1:42" s="90" customFormat="1" ht="24.75" hidden="1" customHeight="1" outlineLevel="1">
      <c r="A108" s="35"/>
      <c r="B108" s="35"/>
      <c r="C108" s="35"/>
      <c r="D108" s="35"/>
      <c r="E108" s="35"/>
      <c r="F108" s="36"/>
      <c r="G108" s="36"/>
      <c r="H108" s="37"/>
      <c r="I108" s="36"/>
      <c r="J108" s="36"/>
      <c r="K108" s="36"/>
      <c r="L108" s="35"/>
      <c r="M108" s="38"/>
      <c r="N108" s="39"/>
      <c r="O108" s="39"/>
      <c r="P108" s="39"/>
      <c r="Q108" s="46"/>
      <c r="R108" s="42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796"/>
      <c r="AL108" s="796"/>
      <c r="AM108" s="796"/>
      <c r="AN108" s="799"/>
    </row>
    <row r="109" spans="1:42" s="84" customFormat="1" ht="24.75" hidden="1" customHeight="1" outlineLevel="1">
      <c r="A109" s="36"/>
      <c r="B109" s="82"/>
      <c r="C109" s="82"/>
      <c r="D109" s="36"/>
      <c r="E109" s="36"/>
      <c r="F109" s="36"/>
      <c r="G109" s="36"/>
      <c r="H109" s="37"/>
      <c r="I109" s="36"/>
      <c r="J109" s="36"/>
      <c r="K109" s="36"/>
      <c r="L109" s="82"/>
      <c r="N109" s="83"/>
      <c r="O109" s="39"/>
      <c r="P109" s="39"/>
      <c r="Q109" s="85" t="s">
        <v>135</v>
      </c>
      <c r="R109" s="111"/>
      <c r="S109" s="88">
        <f t="shared" ref="S109:AJ109" si="55">S100+S96+S107</f>
        <v>629624000</v>
      </c>
      <c r="T109" s="88">
        <f t="shared" ref="T109" si="56">T100+T96+T107</f>
        <v>0</v>
      </c>
      <c r="U109" s="88">
        <f t="shared" si="55"/>
        <v>110544000</v>
      </c>
      <c r="V109" s="88">
        <f t="shared" si="55"/>
        <v>0</v>
      </c>
      <c r="W109" s="88">
        <f t="shared" si="55"/>
        <v>0</v>
      </c>
      <c r="X109" s="88">
        <f t="shared" si="55"/>
        <v>0</v>
      </c>
      <c r="Y109" s="88">
        <f t="shared" si="55"/>
        <v>0</v>
      </c>
      <c r="Z109" s="88">
        <f t="shared" si="55"/>
        <v>0</v>
      </c>
      <c r="AA109" s="88">
        <f t="shared" si="55"/>
        <v>0</v>
      </c>
      <c r="AB109" s="88">
        <f t="shared" si="55"/>
        <v>0</v>
      </c>
      <c r="AC109" s="88">
        <f t="shared" si="55"/>
        <v>0</v>
      </c>
      <c r="AD109" s="88">
        <f t="shared" si="55"/>
        <v>0</v>
      </c>
      <c r="AE109" s="88">
        <f t="shared" si="55"/>
        <v>0</v>
      </c>
      <c r="AF109" s="88">
        <f t="shared" si="55"/>
        <v>0</v>
      </c>
      <c r="AG109" s="88">
        <f t="shared" si="55"/>
        <v>0</v>
      </c>
      <c r="AH109" s="88">
        <v>61942026</v>
      </c>
      <c r="AI109" s="88">
        <f t="shared" si="55"/>
        <v>110544000</v>
      </c>
      <c r="AJ109" s="88">
        <f t="shared" si="55"/>
        <v>519080000</v>
      </c>
      <c r="AK109" s="796"/>
      <c r="AL109" s="796"/>
      <c r="AM109" s="796"/>
      <c r="AN109" s="799"/>
    </row>
    <row r="110" spans="1:42" s="84" customFormat="1" ht="24.75" hidden="1" customHeight="1" outlineLevel="1">
      <c r="A110" s="36"/>
      <c r="B110" s="82"/>
      <c r="C110" s="82"/>
      <c r="D110" s="36"/>
      <c r="E110" s="36"/>
      <c r="F110" s="36"/>
      <c r="G110" s="36"/>
      <c r="H110" s="37"/>
      <c r="I110" s="36"/>
      <c r="J110" s="36"/>
      <c r="K110" s="36"/>
      <c r="L110" s="82"/>
      <c r="N110" s="83"/>
      <c r="O110" s="39"/>
      <c r="P110" s="39"/>
      <c r="Q110" s="91"/>
      <c r="R110" s="87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796"/>
      <c r="AL110" s="796"/>
      <c r="AM110" s="796"/>
      <c r="AN110" s="799"/>
    </row>
    <row r="111" spans="1:42" s="84" customFormat="1" ht="24.75" hidden="1" customHeight="1" outlineLevel="1">
      <c r="A111" s="36"/>
      <c r="B111" s="82"/>
      <c r="C111" s="82"/>
      <c r="D111" s="36"/>
      <c r="E111" s="36"/>
      <c r="F111" s="36"/>
      <c r="G111" s="36"/>
      <c r="H111" s="37"/>
      <c r="I111" s="36"/>
      <c r="J111" s="36"/>
      <c r="K111" s="36"/>
      <c r="L111" s="82"/>
      <c r="N111" s="83"/>
      <c r="O111" s="39"/>
      <c r="P111" s="39"/>
      <c r="Q111" s="596"/>
      <c r="R111" s="87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796"/>
      <c r="AL111" s="796"/>
      <c r="AM111" s="796"/>
      <c r="AN111" s="799"/>
    </row>
    <row r="112" spans="1:42" s="18" customFormat="1" ht="25.5" hidden="1" customHeight="1" outlineLevel="1">
      <c r="A112" s="36"/>
      <c r="B112" s="36"/>
      <c r="C112" s="36"/>
      <c r="D112" s="36"/>
      <c r="E112" s="36"/>
      <c r="F112" s="36"/>
      <c r="G112" s="36"/>
      <c r="H112" s="37"/>
      <c r="I112" s="36"/>
      <c r="J112" s="36"/>
      <c r="K112" s="36"/>
      <c r="L112" s="36"/>
      <c r="M112" s="95"/>
      <c r="N112" s="37"/>
      <c r="O112" s="39"/>
      <c r="P112" s="39"/>
      <c r="Q112" s="96" t="s">
        <v>136</v>
      </c>
      <c r="R112" s="50"/>
      <c r="S112" s="97"/>
      <c r="T112" s="97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796"/>
      <c r="AL112" s="796"/>
      <c r="AM112" s="796"/>
      <c r="AN112" s="799"/>
    </row>
    <row r="113" spans="1:42" s="33" customFormat="1" ht="25.5" hidden="1" customHeight="1" outlineLevel="2">
      <c r="A113" s="35"/>
      <c r="B113" s="35"/>
      <c r="C113" s="35"/>
      <c r="D113" s="35"/>
      <c r="E113" s="35"/>
      <c r="F113" s="36"/>
      <c r="G113" s="36"/>
      <c r="H113" s="37"/>
      <c r="I113" s="36"/>
      <c r="J113" s="36"/>
      <c r="K113" s="36"/>
      <c r="L113" s="35"/>
      <c r="M113" s="38"/>
      <c r="N113" s="39"/>
      <c r="O113" s="39"/>
      <c r="P113" s="39"/>
      <c r="Q113" s="17" t="s">
        <v>32</v>
      </c>
      <c r="R113" s="50"/>
      <c r="S113" s="51"/>
      <c r="T113" s="51"/>
      <c r="U113" s="52"/>
      <c r="V113" s="52"/>
      <c r="W113" s="52"/>
      <c r="X113" s="52"/>
      <c r="Y113" s="52"/>
      <c r="Z113" s="53"/>
      <c r="AA113" s="53"/>
      <c r="AB113" s="53"/>
      <c r="AC113" s="53"/>
      <c r="AD113" s="53"/>
      <c r="AE113" s="53"/>
      <c r="AF113" s="53"/>
      <c r="AG113" s="53"/>
      <c r="AH113" s="53"/>
      <c r="AI113" s="52"/>
      <c r="AJ113" s="52"/>
      <c r="AK113" s="796"/>
      <c r="AL113" s="796"/>
      <c r="AM113" s="796"/>
      <c r="AN113" s="799"/>
    </row>
    <row r="114" spans="1:42" s="33" customFormat="1" ht="25.5" hidden="1" customHeight="1" outlineLevel="2">
      <c r="A114" s="19"/>
      <c r="B114" s="19">
        <v>31</v>
      </c>
      <c r="C114" s="19"/>
      <c r="D114" s="19" t="s">
        <v>33</v>
      </c>
      <c r="E114" s="19" t="s">
        <v>34</v>
      </c>
      <c r="F114" s="19" t="s">
        <v>84</v>
      </c>
      <c r="G114" s="20" t="s">
        <v>49</v>
      </c>
      <c r="H114" s="21" t="s">
        <v>50</v>
      </c>
      <c r="I114" s="19" t="s">
        <v>38</v>
      </c>
      <c r="J114" s="19" t="s">
        <v>139</v>
      </c>
      <c r="K114" s="22">
        <v>6</v>
      </c>
      <c r="L114" s="19" t="s">
        <v>88</v>
      </c>
      <c r="M114" s="23" t="s">
        <v>40</v>
      </c>
      <c r="N114" s="21">
        <v>30110580</v>
      </c>
      <c r="O114" s="21" t="s">
        <v>753</v>
      </c>
      <c r="P114" s="21"/>
      <c r="Q114" s="23" t="s">
        <v>140</v>
      </c>
      <c r="R114" s="24"/>
      <c r="S114" s="26">
        <v>3749709000</v>
      </c>
      <c r="T114" s="30">
        <v>3204904217</v>
      </c>
      <c r="U114" s="30">
        <f>200932000+141834000</f>
        <v>342766000</v>
      </c>
      <c r="V114" s="285">
        <f t="shared" si="39"/>
        <v>0</v>
      </c>
      <c r="W114" s="29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>
        <v>0</v>
      </c>
      <c r="AI114" s="30">
        <f t="shared" si="40"/>
        <v>342766000</v>
      </c>
      <c r="AJ114" s="30">
        <f>+S114-T114-V114-AI114</f>
        <v>202038783</v>
      </c>
      <c r="AK114" s="796" t="s">
        <v>43</v>
      </c>
      <c r="AL114" s="796" t="s">
        <v>138</v>
      </c>
      <c r="AM114" s="796"/>
      <c r="AN114" s="799"/>
    </row>
    <row r="115" spans="1:42" s="33" customFormat="1" ht="25.5" hidden="1" customHeight="1" outlineLevel="2">
      <c r="A115" s="19" t="s">
        <v>133</v>
      </c>
      <c r="B115" s="19">
        <v>31</v>
      </c>
      <c r="C115" s="19"/>
      <c r="D115" s="19" t="s">
        <v>33</v>
      </c>
      <c r="E115" s="19" t="s">
        <v>34</v>
      </c>
      <c r="F115" s="19" t="s">
        <v>84</v>
      </c>
      <c r="G115" s="20" t="s">
        <v>49</v>
      </c>
      <c r="H115" s="21" t="s">
        <v>85</v>
      </c>
      <c r="I115" s="19" t="s">
        <v>38</v>
      </c>
      <c r="J115" s="19" t="s">
        <v>139</v>
      </c>
      <c r="K115" s="22">
        <v>6</v>
      </c>
      <c r="L115" s="19" t="s">
        <v>46</v>
      </c>
      <c r="M115" s="23" t="s">
        <v>40</v>
      </c>
      <c r="N115" s="21">
        <v>30071878</v>
      </c>
      <c r="O115" s="21" t="s">
        <v>685</v>
      </c>
      <c r="P115" s="21"/>
      <c r="Q115" s="23" t="s">
        <v>141</v>
      </c>
      <c r="R115" s="24"/>
      <c r="S115" s="26">
        <v>2587228000</v>
      </c>
      <c r="T115" s="30">
        <v>26644784</v>
      </c>
      <c r="U115" s="30">
        <v>650360699</v>
      </c>
      <c r="V115" s="285">
        <f t="shared" si="39"/>
        <v>0</v>
      </c>
      <c r="W115" s="29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>
        <v>0</v>
      </c>
      <c r="AI115" s="30">
        <f t="shared" si="40"/>
        <v>650360699</v>
      </c>
      <c r="AJ115" s="30">
        <f>+S115-T115-V115-AI115</f>
        <v>1910222517</v>
      </c>
      <c r="AK115" s="796" t="s">
        <v>43</v>
      </c>
      <c r="AL115" s="796" t="s">
        <v>44</v>
      </c>
      <c r="AM115" s="796"/>
      <c r="AN115" s="799"/>
    </row>
    <row r="116" spans="1:42" s="38" customFormat="1" ht="25.5" hidden="1" customHeight="1" outlineLevel="1">
      <c r="A116" s="35"/>
      <c r="B116" s="35"/>
      <c r="C116" s="35"/>
      <c r="D116" s="35"/>
      <c r="E116" s="35"/>
      <c r="F116" s="36"/>
      <c r="G116" s="36"/>
      <c r="H116" s="37"/>
      <c r="I116" s="36"/>
      <c r="J116" s="36"/>
      <c r="K116" s="36"/>
      <c r="L116" s="35"/>
      <c r="N116" s="39"/>
      <c r="O116" s="39"/>
      <c r="P116" s="39"/>
      <c r="Q116" s="40" t="s">
        <v>58</v>
      </c>
      <c r="R116" s="64"/>
      <c r="S116" s="44">
        <f t="shared" ref="S116:AJ116" si="57">SUBTOTAL(9,S114:S115)</f>
        <v>0</v>
      </c>
      <c r="T116" s="44">
        <f t="shared" ref="T116" si="58">SUBTOTAL(9,T114:T115)</f>
        <v>0</v>
      </c>
      <c r="U116" s="44">
        <f t="shared" si="57"/>
        <v>0</v>
      </c>
      <c r="V116" s="44">
        <f t="shared" si="57"/>
        <v>0</v>
      </c>
      <c r="W116" s="44">
        <f t="shared" si="57"/>
        <v>0</v>
      </c>
      <c r="X116" s="44">
        <f t="shared" si="57"/>
        <v>0</v>
      </c>
      <c r="Y116" s="44">
        <f t="shared" si="57"/>
        <v>0</v>
      </c>
      <c r="Z116" s="44">
        <f t="shared" si="57"/>
        <v>0</v>
      </c>
      <c r="AA116" s="44">
        <f t="shared" si="57"/>
        <v>0</v>
      </c>
      <c r="AB116" s="44">
        <f t="shared" si="57"/>
        <v>0</v>
      </c>
      <c r="AC116" s="44">
        <f t="shared" si="57"/>
        <v>0</v>
      </c>
      <c r="AD116" s="44">
        <f t="shared" si="57"/>
        <v>0</v>
      </c>
      <c r="AE116" s="44">
        <f t="shared" si="57"/>
        <v>0</v>
      </c>
      <c r="AF116" s="44">
        <f t="shared" si="57"/>
        <v>0</v>
      </c>
      <c r="AG116" s="44">
        <f t="shared" si="57"/>
        <v>0</v>
      </c>
      <c r="AH116" s="44">
        <v>0</v>
      </c>
      <c r="AI116" s="44">
        <f t="shared" si="57"/>
        <v>0</v>
      </c>
      <c r="AJ116" s="44">
        <f t="shared" si="57"/>
        <v>0</v>
      </c>
      <c r="AK116" s="796"/>
      <c r="AL116" s="796" t="s">
        <v>90</v>
      </c>
      <c r="AM116" s="796"/>
      <c r="AN116" s="799"/>
    </row>
    <row r="117" spans="1:42" s="90" customFormat="1" ht="24.75" hidden="1" customHeight="1" outlineLevel="1">
      <c r="A117" s="35"/>
      <c r="B117" s="35"/>
      <c r="C117" s="35"/>
      <c r="D117" s="35"/>
      <c r="E117" s="35"/>
      <c r="F117" s="36"/>
      <c r="G117" s="36"/>
      <c r="H117" s="37"/>
      <c r="I117" s="36"/>
      <c r="J117" s="36"/>
      <c r="K117" s="36"/>
      <c r="L117" s="35"/>
      <c r="M117" s="38"/>
      <c r="N117" s="39"/>
      <c r="O117" s="39"/>
      <c r="P117" s="39"/>
      <c r="Q117" s="46"/>
      <c r="R117" s="42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796"/>
      <c r="AL117" s="796"/>
      <c r="AM117" s="796"/>
      <c r="AN117" s="799"/>
    </row>
    <row r="118" spans="1:42" s="90" customFormat="1" ht="24.75" hidden="1" customHeight="1" outlineLevel="1">
      <c r="A118" s="35"/>
      <c r="B118" s="35"/>
      <c r="C118" s="35"/>
      <c r="D118" s="35"/>
      <c r="E118" s="35"/>
      <c r="F118" s="36"/>
      <c r="G118" s="36"/>
      <c r="H118" s="37"/>
      <c r="I118" s="36"/>
      <c r="J118" s="36"/>
      <c r="K118" s="36"/>
      <c r="L118" s="35"/>
      <c r="M118" s="38"/>
      <c r="N118" s="39"/>
      <c r="O118" s="39"/>
      <c r="P118" s="39"/>
      <c r="Q118" s="17" t="s">
        <v>68</v>
      </c>
      <c r="R118" s="42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796"/>
      <c r="AL118" s="796"/>
      <c r="AM118" s="796"/>
      <c r="AN118" s="799"/>
    </row>
    <row r="119" spans="1:42" s="18" customFormat="1" ht="25.5" customHeight="1" outlineLevel="1">
      <c r="A119" s="66" t="s">
        <v>133</v>
      </c>
      <c r="B119" s="801">
        <v>31</v>
      </c>
      <c r="C119" s="730"/>
      <c r="D119" s="66" t="s">
        <v>33</v>
      </c>
      <c r="E119" s="801" t="s">
        <v>69</v>
      </c>
      <c r="F119" s="730"/>
      <c r="G119" s="66"/>
      <c r="H119" s="68" t="s">
        <v>85</v>
      </c>
      <c r="I119" s="801" t="s">
        <v>38</v>
      </c>
      <c r="J119" s="801" t="s">
        <v>139</v>
      </c>
      <c r="K119" s="730">
        <v>6</v>
      </c>
      <c r="L119" s="66" t="s">
        <v>46</v>
      </c>
      <c r="M119" s="802" t="s">
        <v>40</v>
      </c>
      <c r="N119" s="803">
        <v>30291073</v>
      </c>
      <c r="O119" s="771"/>
      <c r="P119" s="68"/>
      <c r="Q119" s="802" t="s">
        <v>142</v>
      </c>
      <c r="R119" s="24"/>
      <c r="S119" s="804">
        <v>588473000</v>
      </c>
      <c r="T119" s="805">
        <v>0</v>
      </c>
      <c r="U119" s="805">
        <v>50000000</v>
      </c>
      <c r="V119" s="805">
        <f t="shared" si="39"/>
        <v>0</v>
      </c>
      <c r="W119" s="29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>
        <v>0</v>
      </c>
      <c r="AI119" s="805">
        <f t="shared" si="40"/>
        <v>50000000</v>
      </c>
      <c r="AJ119" s="805">
        <f>+S119-T119-V119-AI119</f>
        <v>538473000</v>
      </c>
      <c r="AK119" s="806" t="s">
        <v>43</v>
      </c>
      <c r="AL119" s="806" t="s">
        <v>771</v>
      </c>
      <c r="AM119" s="806"/>
      <c r="AN119" s="807"/>
      <c r="AO119" s="33" t="e">
        <f>VLOOKUP(N119,'CONVENIOS 2021'!A$1:A$53,1,FALSE)</f>
        <v>#N/A</v>
      </c>
      <c r="AP119" s="33" t="e">
        <f>VLOOKUP(N119,'CONVENIOS 2020'!A$2:A$72,1,FALSE)</f>
        <v>#N/A</v>
      </c>
    </row>
    <row r="120" spans="1:42" s="18" customFormat="1" ht="25.5" hidden="1" customHeight="1" outlineLevel="1">
      <c r="A120" s="66"/>
      <c r="B120" s="180">
        <v>33</v>
      </c>
      <c r="C120" s="66"/>
      <c r="D120" s="66" t="s">
        <v>76</v>
      </c>
      <c r="E120" s="180" t="s">
        <v>69</v>
      </c>
      <c r="F120" s="66" t="s">
        <v>35</v>
      </c>
      <c r="G120" s="66" t="s">
        <v>49</v>
      </c>
      <c r="H120" s="68" t="s">
        <v>61</v>
      </c>
      <c r="I120" s="180" t="s">
        <v>38</v>
      </c>
      <c r="J120" s="180" t="s">
        <v>139</v>
      </c>
      <c r="K120" s="66">
        <v>6</v>
      </c>
      <c r="L120" s="66" t="s">
        <v>76</v>
      </c>
      <c r="M120" s="184" t="s">
        <v>40</v>
      </c>
      <c r="N120" s="182" t="s">
        <v>76</v>
      </c>
      <c r="O120" s="68"/>
      <c r="P120" s="68"/>
      <c r="Q120" s="184" t="s">
        <v>77</v>
      </c>
      <c r="R120" s="25"/>
      <c r="S120" s="188">
        <v>200000000</v>
      </c>
      <c r="T120" s="189">
        <v>0</v>
      </c>
      <c r="U120" s="189">
        <v>200000000</v>
      </c>
      <c r="V120" s="300">
        <f t="shared" si="39"/>
        <v>15666931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72">
        <v>15666931</v>
      </c>
      <c r="AI120" s="189">
        <f t="shared" si="40"/>
        <v>184333069</v>
      </c>
      <c r="AJ120" s="189">
        <f>+S120-T120-V120-AI120</f>
        <v>0</v>
      </c>
      <c r="AK120" s="796" t="s">
        <v>78</v>
      </c>
      <c r="AL120" s="796"/>
      <c r="AM120" s="796"/>
      <c r="AN120" s="799"/>
    </row>
    <row r="121" spans="1:42" s="90" customFormat="1" ht="24.75" hidden="1" customHeight="1" outlineLevel="1">
      <c r="A121" s="35"/>
      <c r="B121" s="35"/>
      <c r="C121" s="35"/>
      <c r="D121" s="35"/>
      <c r="E121" s="35"/>
      <c r="F121" s="36"/>
      <c r="G121" s="36"/>
      <c r="H121" s="37"/>
      <c r="I121" s="36"/>
      <c r="J121" s="36"/>
      <c r="K121" s="36"/>
      <c r="L121" s="35"/>
      <c r="M121" s="38"/>
      <c r="N121" s="39"/>
      <c r="O121" s="39"/>
      <c r="P121" s="39"/>
      <c r="Q121" s="80" t="s">
        <v>80</v>
      </c>
      <c r="R121" s="106"/>
      <c r="S121" s="81">
        <f t="shared" ref="S121:AJ121" si="59">SUBTOTAL(9,S119:S120)</f>
        <v>588473000</v>
      </c>
      <c r="T121" s="81">
        <f t="shared" ref="T121" si="60">SUBTOTAL(9,T119:T120)</f>
        <v>0</v>
      </c>
      <c r="U121" s="81">
        <f t="shared" si="59"/>
        <v>50000000</v>
      </c>
      <c r="V121" s="81">
        <f t="shared" si="59"/>
        <v>0</v>
      </c>
      <c r="W121" s="81">
        <f t="shared" si="59"/>
        <v>0</v>
      </c>
      <c r="X121" s="81">
        <f t="shared" si="59"/>
        <v>0</v>
      </c>
      <c r="Y121" s="81">
        <f t="shared" si="59"/>
        <v>0</v>
      </c>
      <c r="Z121" s="81">
        <f t="shared" si="59"/>
        <v>0</v>
      </c>
      <c r="AA121" s="81">
        <f t="shared" si="59"/>
        <v>0</v>
      </c>
      <c r="AB121" s="81">
        <f t="shared" si="59"/>
        <v>0</v>
      </c>
      <c r="AC121" s="81">
        <f t="shared" si="59"/>
        <v>0</v>
      </c>
      <c r="AD121" s="81">
        <f t="shared" si="59"/>
        <v>0</v>
      </c>
      <c r="AE121" s="81">
        <f t="shared" si="59"/>
        <v>0</v>
      </c>
      <c r="AF121" s="81">
        <f t="shared" si="59"/>
        <v>0</v>
      </c>
      <c r="AG121" s="81">
        <f t="shared" si="59"/>
        <v>0</v>
      </c>
      <c r="AH121" s="81">
        <v>15666931</v>
      </c>
      <c r="AI121" s="81">
        <f t="shared" si="59"/>
        <v>50000000</v>
      </c>
      <c r="AJ121" s="81">
        <f t="shared" si="59"/>
        <v>538473000</v>
      </c>
      <c r="AK121" s="796"/>
      <c r="AL121" s="796"/>
      <c r="AM121" s="796"/>
      <c r="AN121" s="799"/>
    </row>
    <row r="122" spans="1:42" s="90" customFormat="1" ht="24.75" hidden="1" customHeight="1" outlineLevel="1">
      <c r="A122" s="35"/>
      <c r="B122" s="35"/>
      <c r="C122" s="35"/>
      <c r="D122" s="35"/>
      <c r="E122" s="35"/>
      <c r="F122" s="36"/>
      <c r="G122" s="36"/>
      <c r="H122" s="37"/>
      <c r="I122" s="36"/>
      <c r="J122" s="36"/>
      <c r="K122" s="36"/>
      <c r="L122" s="35"/>
      <c r="M122" s="38"/>
      <c r="N122" s="39"/>
      <c r="O122" s="39"/>
      <c r="P122" s="39"/>
      <c r="Q122" s="46"/>
      <c r="R122" s="42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796"/>
      <c r="AL122" s="796"/>
      <c r="AM122" s="796"/>
      <c r="AN122" s="799"/>
    </row>
    <row r="123" spans="1:42" s="84" customFormat="1" ht="24.75" hidden="1" customHeight="1" outlineLevel="1">
      <c r="A123" s="36"/>
      <c r="B123" s="82"/>
      <c r="C123" s="82"/>
      <c r="D123" s="36"/>
      <c r="E123" s="36"/>
      <c r="F123" s="36"/>
      <c r="G123" s="36"/>
      <c r="H123" s="37"/>
      <c r="I123" s="36"/>
      <c r="J123" s="36"/>
      <c r="K123" s="36"/>
      <c r="L123" s="82"/>
      <c r="N123" s="83"/>
      <c r="O123" s="39"/>
      <c r="P123" s="39"/>
      <c r="Q123" s="130" t="s">
        <v>143</v>
      </c>
      <c r="R123" s="86"/>
      <c r="S123" s="131">
        <f t="shared" ref="S123:AJ123" si="61">S116+S121</f>
        <v>588473000</v>
      </c>
      <c r="T123" s="131">
        <f t="shared" ref="T123" si="62">T116+T121</f>
        <v>0</v>
      </c>
      <c r="U123" s="131">
        <f t="shared" si="61"/>
        <v>50000000</v>
      </c>
      <c r="V123" s="131">
        <f t="shared" si="61"/>
        <v>0</v>
      </c>
      <c r="W123" s="131">
        <f t="shared" si="61"/>
        <v>0</v>
      </c>
      <c r="X123" s="131">
        <f t="shared" si="61"/>
        <v>0</v>
      </c>
      <c r="Y123" s="131">
        <f t="shared" si="61"/>
        <v>0</v>
      </c>
      <c r="Z123" s="131">
        <f t="shared" si="61"/>
        <v>0</v>
      </c>
      <c r="AA123" s="131">
        <f t="shared" si="61"/>
        <v>0</v>
      </c>
      <c r="AB123" s="131">
        <f t="shared" si="61"/>
        <v>0</v>
      </c>
      <c r="AC123" s="131">
        <f t="shared" si="61"/>
        <v>0</v>
      </c>
      <c r="AD123" s="131">
        <f t="shared" si="61"/>
        <v>0</v>
      </c>
      <c r="AE123" s="131">
        <f t="shared" si="61"/>
        <v>0</v>
      </c>
      <c r="AF123" s="131">
        <f t="shared" si="61"/>
        <v>0</v>
      </c>
      <c r="AG123" s="131">
        <f t="shared" si="61"/>
        <v>0</v>
      </c>
      <c r="AH123" s="131">
        <v>15666931</v>
      </c>
      <c r="AI123" s="131">
        <f t="shared" si="61"/>
        <v>50000000</v>
      </c>
      <c r="AJ123" s="131">
        <f t="shared" si="61"/>
        <v>538473000</v>
      </c>
      <c r="AK123" s="796"/>
      <c r="AL123" s="796"/>
      <c r="AM123" s="796"/>
      <c r="AN123" s="799"/>
    </row>
    <row r="124" spans="1:42" s="84" customFormat="1" ht="24.75" hidden="1" customHeight="1" outlineLevel="1">
      <c r="A124" s="36"/>
      <c r="B124" s="82"/>
      <c r="C124" s="82"/>
      <c r="D124" s="36"/>
      <c r="E124" s="36"/>
      <c r="F124" s="36"/>
      <c r="G124" s="36"/>
      <c r="H124" s="37"/>
      <c r="I124" s="36"/>
      <c r="J124" s="36"/>
      <c r="K124" s="36"/>
      <c r="L124" s="82"/>
      <c r="N124" s="83"/>
      <c r="O124" s="39"/>
      <c r="P124" s="39"/>
      <c r="Q124" s="91"/>
      <c r="R124" s="87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796"/>
      <c r="AL124" s="796"/>
      <c r="AM124" s="796"/>
      <c r="AN124" s="799"/>
    </row>
    <row r="125" spans="1:42" s="18" customFormat="1" ht="25.5" hidden="1" customHeight="1" outlineLevel="1">
      <c r="A125" s="36"/>
      <c r="B125" s="36"/>
      <c r="C125" s="36"/>
      <c r="D125" s="36"/>
      <c r="E125" s="36"/>
      <c r="F125" s="36"/>
      <c r="G125" s="36"/>
      <c r="H125" s="37"/>
      <c r="I125" s="36"/>
      <c r="J125" s="36"/>
      <c r="K125" s="36"/>
      <c r="L125" s="36"/>
      <c r="M125" s="95"/>
      <c r="N125" s="37"/>
      <c r="O125" s="39"/>
      <c r="P125" s="39"/>
      <c r="Q125" s="96" t="s">
        <v>144</v>
      </c>
      <c r="R125" s="50"/>
      <c r="S125" s="97"/>
      <c r="T125" s="97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796"/>
      <c r="AL125" s="796"/>
      <c r="AM125" s="796"/>
      <c r="AN125" s="799"/>
    </row>
    <row r="126" spans="1:42" s="33" customFormat="1" ht="25.5" hidden="1" customHeight="1" outlineLevel="2">
      <c r="A126" s="35"/>
      <c r="B126" s="35"/>
      <c r="C126" s="35"/>
      <c r="D126" s="35"/>
      <c r="E126" s="35"/>
      <c r="F126" s="36"/>
      <c r="G126" s="36"/>
      <c r="H126" s="37"/>
      <c r="I126" s="36"/>
      <c r="J126" s="36"/>
      <c r="K126" s="36"/>
      <c r="L126" s="35"/>
      <c r="M126" s="38"/>
      <c r="N126" s="39"/>
      <c r="O126" s="39"/>
      <c r="P126" s="39"/>
      <c r="Q126" s="17" t="s">
        <v>32</v>
      </c>
      <c r="R126" s="50"/>
      <c r="S126" s="51"/>
      <c r="T126" s="51"/>
      <c r="U126" s="52"/>
      <c r="V126" s="52"/>
      <c r="W126" s="52"/>
      <c r="X126" s="52"/>
      <c r="Y126" s="52"/>
      <c r="Z126" s="53"/>
      <c r="AA126" s="53"/>
      <c r="AB126" s="53"/>
      <c r="AC126" s="53"/>
      <c r="AD126" s="53"/>
      <c r="AE126" s="53"/>
      <c r="AF126" s="53"/>
      <c r="AG126" s="53"/>
      <c r="AH126" s="53"/>
      <c r="AI126" s="52"/>
      <c r="AJ126" s="52"/>
      <c r="AK126" s="796"/>
      <c r="AL126" s="796"/>
      <c r="AM126" s="796"/>
      <c r="AN126" s="799"/>
    </row>
    <row r="127" spans="1:42" s="18" customFormat="1" ht="25.5" hidden="1" customHeight="1" outlineLevel="1">
      <c r="A127" s="19" t="s">
        <v>133</v>
      </c>
      <c r="B127" s="19">
        <v>31</v>
      </c>
      <c r="C127" s="19"/>
      <c r="D127" s="19" t="s">
        <v>33</v>
      </c>
      <c r="E127" s="19" t="s">
        <v>34</v>
      </c>
      <c r="F127" s="19"/>
      <c r="G127" s="19"/>
      <c r="H127" s="21" t="s">
        <v>85</v>
      </c>
      <c r="I127" s="19" t="s">
        <v>38</v>
      </c>
      <c r="J127" s="19" t="s">
        <v>145</v>
      </c>
      <c r="K127" s="19">
        <v>7</v>
      </c>
      <c r="L127" s="19" t="s">
        <v>46</v>
      </c>
      <c r="M127" s="23" t="s">
        <v>40</v>
      </c>
      <c r="N127" s="21">
        <v>30405773</v>
      </c>
      <c r="O127" s="21" t="s">
        <v>685</v>
      </c>
      <c r="P127" s="21"/>
      <c r="Q127" s="23" t="s">
        <v>146</v>
      </c>
      <c r="R127" s="25"/>
      <c r="S127" s="26">
        <v>24900000</v>
      </c>
      <c r="T127" s="30">
        <v>11729500</v>
      </c>
      <c r="U127" s="30">
        <f>S127-T127</f>
        <v>13170500</v>
      </c>
      <c r="V127" s="286">
        <f t="shared" si="39"/>
        <v>0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>
        <v>0</v>
      </c>
      <c r="AI127" s="30">
        <f t="shared" si="40"/>
        <v>13170500</v>
      </c>
      <c r="AJ127" s="30">
        <f>+S127-T127-V127-AI127</f>
        <v>0</v>
      </c>
      <c r="AK127" s="796" t="s">
        <v>43</v>
      </c>
      <c r="AL127" s="796" t="s">
        <v>90</v>
      </c>
      <c r="AM127" s="796"/>
      <c r="AN127" s="799"/>
    </row>
    <row r="128" spans="1:42" s="38" customFormat="1" ht="25.5" hidden="1" customHeight="1" outlineLevel="1">
      <c r="A128" s="35"/>
      <c r="B128" s="35"/>
      <c r="C128" s="35"/>
      <c r="D128" s="35"/>
      <c r="E128" s="35"/>
      <c r="F128" s="36"/>
      <c r="G128" s="36"/>
      <c r="H128" s="37"/>
      <c r="I128" s="36"/>
      <c r="J128" s="36"/>
      <c r="K128" s="36"/>
      <c r="L128" s="35"/>
      <c r="N128" s="39"/>
      <c r="O128" s="39"/>
      <c r="P128" s="39"/>
      <c r="Q128" s="132" t="s">
        <v>58</v>
      </c>
      <c r="R128" s="116"/>
      <c r="S128" s="133">
        <f t="shared" ref="S128:AJ128" si="63">SUBTOTAL(9,S127:S127)</f>
        <v>0</v>
      </c>
      <c r="T128" s="133">
        <f t="shared" ref="T128" si="64">SUBTOTAL(9,T127:T127)</f>
        <v>0</v>
      </c>
      <c r="U128" s="133">
        <f t="shared" si="63"/>
        <v>0</v>
      </c>
      <c r="V128" s="133">
        <f t="shared" si="63"/>
        <v>0</v>
      </c>
      <c r="W128" s="133">
        <f t="shared" si="63"/>
        <v>0</v>
      </c>
      <c r="X128" s="133">
        <f t="shared" si="63"/>
        <v>0</v>
      </c>
      <c r="Y128" s="133">
        <f t="shared" si="63"/>
        <v>0</v>
      </c>
      <c r="Z128" s="133">
        <f t="shared" si="63"/>
        <v>0</v>
      </c>
      <c r="AA128" s="133">
        <f t="shared" si="63"/>
        <v>0</v>
      </c>
      <c r="AB128" s="133">
        <f t="shared" si="63"/>
        <v>0</v>
      </c>
      <c r="AC128" s="133">
        <f t="shared" si="63"/>
        <v>0</v>
      </c>
      <c r="AD128" s="133">
        <f t="shared" si="63"/>
        <v>0</v>
      </c>
      <c r="AE128" s="133">
        <f t="shared" si="63"/>
        <v>0</v>
      </c>
      <c r="AF128" s="133">
        <f t="shared" si="63"/>
        <v>0</v>
      </c>
      <c r="AG128" s="133">
        <f t="shared" si="63"/>
        <v>0</v>
      </c>
      <c r="AH128" s="133">
        <v>0</v>
      </c>
      <c r="AI128" s="133">
        <f t="shared" si="63"/>
        <v>0</v>
      </c>
      <c r="AJ128" s="133">
        <f t="shared" si="63"/>
        <v>0</v>
      </c>
      <c r="AK128" s="796"/>
      <c r="AL128" s="796"/>
      <c r="AM128" s="796"/>
      <c r="AN128" s="799"/>
    </row>
    <row r="129" spans="1:40" s="18" customFormat="1" ht="25.5" hidden="1" customHeight="1" outlineLevel="1">
      <c r="A129" s="35"/>
      <c r="B129" s="35"/>
      <c r="C129" s="35"/>
      <c r="D129" s="35"/>
      <c r="E129" s="35"/>
      <c r="F129" s="36"/>
      <c r="G129" s="36"/>
      <c r="H129" s="37"/>
      <c r="I129" s="36"/>
      <c r="J129" s="36"/>
      <c r="K129" s="36"/>
      <c r="L129" s="35"/>
      <c r="M129" s="38"/>
      <c r="N129" s="39"/>
      <c r="O129" s="39"/>
      <c r="P129" s="39"/>
      <c r="Q129" s="46"/>
      <c r="R129" s="42"/>
      <c r="S129" s="47"/>
      <c r="T129" s="47"/>
      <c r="U129" s="47"/>
      <c r="V129" s="47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7"/>
      <c r="AJ129" s="47"/>
      <c r="AK129" s="796"/>
      <c r="AL129" s="796"/>
      <c r="AM129" s="796"/>
      <c r="AN129" s="799"/>
    </row>
    <row r="130" spans="1:40" s="18" customFormat="1" ht="25.5" hidden="1" customHeight="1" outlineLevel="1">
      <c r="A130" s="35"/>
      <c r="B130" s="35"/>
      <c r="C130" s="35"/>
      <c r="D130" s="35"/>
      <c r="E130" s="35"/>
      <c r="F130" s="36"/>
      <c r="G130" s="36"/>
      <c r="H130" s="37"/>
      <c r="I130" s="36"/>
      <c r="J130" s="36"/>
      <c r="K130" s="36"/>
      <c r="L130" s="35"/>
      <c r="M130" s="38"/>
      <c r="N130" s="39"/>
      <c r="O130" s="39"/>
      <c r="P130" s="39"/>
      <c r="Q130" s="17" t="s">
        <v>59</v>
      </c>
      <c r="R130" s="50"/>
      <c r="S130" s="51"/>
      <c r="T130" s="51"/>
      <c r="U130" s="52"/>
      <c r="V130" s="52"/>
      <c r="W130" s="52"/>
      <c r="X130" s="52"/>
      <c r="Y130" s="52"/>
      <c r="Z130" s="53"/>
      <c r="AA130" s="53"/>
      <c r="AB130" s="53"/>
      <c r="AC130" s="53"/>
      <c r="AD130" s="53"/>
      <c r="AE130" s="53"/>
      <c r="AF130" s="53"/>
      <c r="AG130" s="53"/>
      <c r="AH130" s="53"/>
      <c r="AI130" s="52"/>
      <c r="AJ130" s="52"/>
      <c r="AK130" s="796"/>
      <c r="AL130" s="796"/>
      <c r="AM130" s="796"/>
      <c r="AN130" s="799"/>
    </row>
    <row r="131" spans="1:40" s="18" customFormat="1" ht="25.5" hidden="1" customHeight="1" outlineLevel="1">
      <c r="A131" s="54"/>
      <c r="B131" s="54">
        <v>31</v>
      </c>
      <c r="C131" s="54"/>
      <c r="D131" s="54" t="s">
        <v>33</v>
      </c>
      <c r="E131" s="54" t="s">
        <v>60</v>
      </c>
      <c r="F131" s="54" t="s">
        <v>35</v>
      </c>
      <c r="G131" s="55" t="s">
        <v>36</v>
      </c>
      <c r="H131" s="56" t="s">
        <v>37</v>
      </c>
      <c r="I131" s="54" t="s">
        <v>38</v>
      </c>
      <c r="J131" s="54" t="s">
        <v>145</v>
      </c>
      <c r="K131" s="57">
        <v>7</v>
      </c>
      <c r="L131" s="54" t="s">
        <v>46</v>
      </c>
      <c r="M131" s="58" t="s">
        <v>40</v>
      </c>
      <c r="N131" s="56">
        <v>30247072</v>
      </c>
      <c r="O131" s="597" t="s">
        <v>685</v>
      </c>
      <c r="P131" s="597"/>
      <c r="Q131" s="98" t="s">
        <v>148</v>
      </c>
      <c r="R131" s="24"/>
      <c r="S131" s="99">
        <v>3414573000</v>
      </c>
      <c r="T131" s="100">
        <v>0</v>
      </c>
      <c r="U131" s="100">
        <f>800063415+21419024</f>
        <v>821482439</v>
      </c>
      <c r="V131" s="292">
        <f t="shared" ref="V131:V188" si="65">+SUM(W131:AH131)</f>
        <v>320554041</v>
      </c>
      <c r="W131" s="29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>
        <v>320554041</v>
      </c>
      <c r="AI131" s="100">
        <f t="shared" ref="AI131:AI188" si="66">+U131-V131</f>
        <v>500928398</v>
      </c>
      <c r="AJ131" s="100">
        <f>+S131-T131-V131-AI131</f>
        <v>2593090561</v>
      </c>
      <c r="AK131" s="796" t="s">
        <v>43</v>
      </c>
      <c r="AL131" s="796" t="s">
        <v>147</v>
      </c>
      <c r="AM131" s="796"/>
      <c r="AN131" s="799"/>
    </row>
    <row r="132" spans="1:40" s="38" customFormat="1" ht="25.5" hidden="1" customHeight="1" outlineLevel="1">
      <c r="A132" s="35"/>
      <c r="B132" s="35"/>
      <c r="C132" s="35"/>
      <c r="D132" s="35"/>
      <c r="E132" s="35"/>
      <c r="F132" s="36"/>
      <c r="G132" s="36"/>
      <c r="H132" s="37"/>
      <c r="I132" s="36"/>
      <c r="J132" s="36"/>
      <c r="K132" s="36"/>
      <c r="L132" s="35"/>
      <c r="N132" s="39"/>
      <c r="O132" s="39"/>
      <c r="P132" s="39"/>
      <c r="Q132" s="63" t="s">
        <v>67</v>
      </c>
      <c r="R132" s="41"/>
      <c r="S132" s="65">
        <f t="shared" ref="S132:AJ132" si="67">SUBTOTAL(9,S131:S131)</f>
        <v>0</v>
      </c>
      <c r="T132" s="65">
        <f t="shared" ref="T132" si="68">SUBTOTAL(9,T131:T131)</f>
        <v>0</v>
      </c>
      <c r="U132" s="65">
        <f t="shared" si="67"/>
        <v>0</v>
      </c>
      <c r="V132" s="65">
        <f t="shared" si="67"/>
        <v>0</v>
      </c>
      <c r="W132" s="65">
        <f t="shared" si="67"/>
        <v>0</v>
      </c>
      <c r="X132" s="65">
        <f t="shared" si="67"/>
        <v>0</v>
      </c>
      <c r="Y132" s="65">
        <f t="shared" si="67"/>
        <v>0</v>
      </c>
      <c r="Z132" s="65">
        <f t="shared" si="67"/>
        <v>0</v>
      </c>
      <c r="AA132" s="65">
        <f t="shared" si="67"/>
        <v>0</v>
      </c>
      <c r="AB132" s="65">
        <f t="shared" si="67"/>
        <v>0</v>
      </c>
      <c r="AC132" s="65">
        <f t="shared" si="67"/>
        <v>0</v>
      </c>
      <c r="AD132" s="65">
        <f t="shared" si="67"/>
        <v>0</v>
      </c>
      <c r="AE132" s="65">
        <f t="shared" si="67"/>
        <v>0</v>
      </c>
      <c r="AF132" s="65">
        <f t="shared" si="67"/>
        <v>0</v>
      </c>
      <c r="AG132" s="65">
        <f t="shared" si="67"/>
        <v>0</v>
      </c>
      <c r="AH132" s="65">
        <v>320554041</v>
      </c>
      <c r="AI132" s="65">
        <f t="shared" si="67"/>
        <v>0</v>
      </c>
      <c r="AJ132" s="65">
        <f t="shared" si="67"/>
        <v>0</v>
      </c>
      <c r="AK132" s="796"/>
      <c r="AL132" s="796"/>
      <c r="AM132" s="796"/>
      <c r="AN132" s="799"/>
    </row>
    <row r="133" spans="1:40" s="90" customFormat="1" ht="24.75" hidden="1" customHeight="1" outlineLevel="1">
      <c r="A133" s="35"/>
      <c r="B133" s="35"/>
      <c r="C133" s="35"/>
      <c r="D133" s="35"/>
      <c r="E133" s="35"/>
      <c r="F133" s="36"/>
      <c r="G133" s="36"/>
      <c r="H133" s="37"/>
      <c r="I133" s="36"/>
      <c r="J133" s="36"/>
      <c r="K133" s="36"/>
      <c r="L133" s="35"/>
      <c r="M133" s="38"/>
      <c r="N133" s="39"/>
      <c r="O133" s="39"/>
      <c r="P133" s="39"/>
      <c r="Q133" s="46"/>
      <c r="R133" s="116"/>
      <c r="S133" s="47"/>
      <c r="T133" s="47"/>
      <c r="U133" s="47"/>
      <c r="V133" s="47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47"/>
      <c r="AJ133" s="47"/>
      <c r="AK133" s="796"/>
      <c r="AL133" s="796"/>
      <c r="AM133" s="796"/>
      <c r="AN133" s="799"/>
    </row>
    <row r="134" spans="1:40" s="90" customFormat="1" ht="24.75" hidden="1" customHeight="1" outlineLevel="1">
      <c r="A134" s="35"/>
      <c r="B134" s="35"/>
      <c r="C134" s="35"/>
      <c r="D134" s="35"/>
      <c r="E134" s="35"/>
      <c r="F134" s="36"/>
      <c r="G134" s="36"/>
      <c r="H134" s="37"/>
      <c r="I134" s="36"/>
      <c r="J134" s="36"/>
      <c r="K134" s="36"/>
      <c r="L134" s="35"/>
      <c r="M134" s="38"/>
      <c r="N134" s="39"/>
      <c r="O134" s="39"/>
      <c r="P134" s="39"/>
      <c r="Q134" s="17" t="s">
        <v>68</v>
      </c>
      <c r="R134" s="116"/>
      <c r="S134" s="47"/>
      <c r="T134" s="47"/>
      <c r="U134" s="47"/>
      <c r="V134" s="47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47"/>
      <c r="AJ134" s="47"/>
      <c r="AK134" s="796"/>
      <c r="AL134" s="796"/>
      <c r="AM134" s="796"/>
      <c r="AN134" s="799"/>
    </row>
    <row r="135" spans="1:40" s="18" customFormat="1" ht="25.5" hidden="1" customHeight="1" outlineLevel="1">
      <c r="A135" s="66"/>
      <c r="B135" s="66">
        <v>33</v>
      </c>
      <c r="C135" s="66"/>
      <c r="D135" s="66" t="s">
        <v>76</v>
      </c>
      <c r="E135" s="66" t="s">
        <v>69</v>
      </c>
      <c r="F135" s="66" t="s">
        <v>35</v>
      </c>
      <c r="G135" s="66" t="s">
        <v>49</v>
      </c>
      <c r="H135" s="68" t="s">
        <v>61</v>
      </c>
      <c r="I135" s="66" t="s">
        <v>38</v>
      </c>
      <c r="J135" s="66" t="s">
        <v>145</v>
      </c>
      <c r="K135" s="66">
        <v>7</v>
      </c>
      <c r="L135" s="66" t="s">
        <v>76</v>
      </c>
      <c r="M135" s="70" t="s">
        <v>40</v>
      </c>
      <c r="N135" s="68" t="s">
        <v>76</v>
      </c>
      <c r="O135" s="68"/>
      <c r="P135" s="68"/>
      <c r="Q135" s="70" t="s">
        <v>77</v>
      </c>
      <c r="R135" s="25"/>
      <c r="S135" s="71">
        <v>200000000</v>
      </c>
      <c r="T135" s="72">
        <v>0</v>
      </c>
      <c r="U135" s="72">
        <v>200000000</v>
      </c>
      <c r="V135" s="297">
        <f t="shared" si="65"/>
        <v>39784826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72">
        <v>39784826</v>
      </c>
      <c r="AI135" s="72">
        <f t="shared" si="66"/>
        <v>160215174</v>
      </c>
      <c r="AJ135" s="72">
        <f>+S135-T135-V135-AI135</f>
        <v>0</v>
      </c>
      <c r="AK135" s="796" t="s">
        <v>78</v>
      </c>
      <c r="AL135" s="796"/>
      <c r="AM135" s="796"/>
      <c r="AN135" s="799"/>
    </row>
    <row r="136" spans="1:40" s="90" customFormat="1" ht="24.75" hidden="1" customHeight="1" outlineLevel="1">
      <c r="A136" s="35"/>
      <c r="B136" s="35"/>
      <c r="C136" s="35"/>
      <c r="D136" s="35"/>
      <c r="E136" s="35"/>
      <c r="F136" s="36"/>
      <c r="G136" s="36"/>
      <c r="H136" s="37"/>
      <c r="I136" s="36"/>
      <c r="J136" s="36"/>
      <c r="K136" s="36"/>
      <c r="L136" s="35"/>
      <c r="M136" s="38"/>
      <c r="N136" s="39"/>
      <c r="O136" s="39"/>
      <c r="P136" s="39"/>
      <c r="Q136" s="134" t="s">
        <v>80</v>
      </c>
      <c r="R136" s="128"/>
      <c r="S136" s="110">
        <f t="shared" ref="S136:AJ136" si="69">SUBTOTAL(9,S135)</f>
        <v>0</v>
      </c>
      <c r="T136" s="110">
        <f t="shared" ref="T136" si="70">SUBTOTAL(9,T135)</f>
        <v>0</v>
      </c>
      <c r="U136" s="110">
        <f t="shared" si="69"/>
        <v>0</v>
      </c>
      <c r="V136" s="110">
        <f t="shared" si="69"/>
        <v>0</v>
      </c>
      <c r="W136" s="110">
        <f t="shared" si="69"/>
        <v>0</v>
      </c>
      <c r="X136" s="110">
        <f t="shared" si="69"/>
        <v>0</v>
      </c>
      <c r="Y136" s="110">
        <f t="shared" si="69"/>
        <v>0</v>
      </c>
      <c r="Z136" s="110">
        <f t="shared" si="69"/>
        <v>0</v>
      </c>
      <c r="AA136" s="110">
        <f t="shared" si="69"/>
        <v>0</v>
      </c>
      <c r="AB136" s="110">
        <f t="shared" si="69"/>
        <v>0</v>
      </c>
      <c r="AC136" s="110">
        <f t="shared" si="69"/>
        <v>0</v>
      </c>
      <c r="AD136" s="110">
        <f t="shared" si="69"/>
        <v>0</v>
      </c>
      <c r="AE136" s="110">
        <f t="shared" si="69"/>
        <v>0</v>
      </c>
      <c r="AF136" s="110">
        <f t="shared" si="69"/>
        <v>0</v>
      </c>
      <c r="AG136" s="110">
        <f t="shared" si="69"/>
        <v>0</v>
      </c>
      <c r="AH136" s="110">
        <v>39784826</v>
      </c>
      <c r="AI136" s="110">
        <f t="shared" si="69"/>
        <v>0</v>
      </c>
      <c r="AJ136" s="110">
        <f t="shared" si="69"/>
        <v>0</v>
      </c>
      <c r="AK136" s="796"/>
      <c r="AL136" s="796"/>
      <c r="AM136" s="796"/>
      <c r="AN136" s="799"/>
    </row>
    <row r="137" spans="1:40" s="90" customFormat="1" ht="24.75" hidden="1" customHeight="1" outlineLevel="1">
      <c r="A137" s="35"/>
      <c r="B137" s="35"/>
      <c r="C137" s="35"/>
      <c r="D137" s="35"/>
      <c r="E137" s="35"/>
      <c r="F137" s="36"/>
      <c r="G137" s="36"/>
      <c r="H137" s="37"/>
      <c r="I137" s="36"/>
      <c r="J137" s="36"/>
      <c r="K137" s="36"/>
      <c r="L137" s="35"/>
      <c r="M137" s="38"/>
      <c r="N137" s="39"/>
      <c r="O137" s="39"/>
      <c r="P137" s="39"/>
      <c r="Q137" s="46"/>
      <c r="R137" s="116"/>
      <c r="S137" s="47"/>
      <c r="T137" s="47"/>
      <c r="U137" s="47"/>
      <c r="V137" s="47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47"/>
      <c r="AJ137" s="47"/>
      <c r="AK137" s="796"/>
      <c r="AL137" s="796"/>
      <c r="AM137" s="796"/>
      <c r="AN137" s="799"/>
    </row>
    <row r="138" spans="1:40" s="84" customFormat="1" ht="24.75" hidden="1" customHeight="1" outlineLevel="1">
      <c r="A138" s="36"/>
      <c r="B138" s="82"/>
      <c r="C138" s="82"/>
      <c r="D138" s="36"/>
      <c r="E138" s="36"/>
      <c r="F138" s="36"/>
      <c r="G138" s="36"/>
      <c r="H138" s="37"/>
      <c r="I138" s="36"/>
      <c r="J138" s="36"/>
      <c r="K138" s="36"/>
      <c r="L138" s="82"/>
      <c r="N138" s="83"/>
      <c r="O138" s="39"/>
      <c r="P138" s="39"/>
      <c r="Q138" s="85" t="s">
        <v>149</v>
      </c>
      <c r="R138" s="111"/>
      <c r="S138" s="88">
        <f t="shared" ref="S138:AJ138" si="71">S128+S132+S136</f>
        <v>0</v>
      </c>
      <c r="T138" s="88">
        <f t="shared" ref="T138" si="72">T128+T132+T136</f>
        <v>0</v>
      </c>
      <c r="U138" s="88">
        <f t="shared" si="71"/>
        <v>0</v>
      </c>
      <c r="V138" s="88">
        <f t="shared" si="71"/>
        <v>0</v>
      </c>
      <c r="W138" s="88">
        <f t="shared" si="71"/>
        <v>0</v>
      </c>
      <c r="X138" s="88">
        <f t="shared" si="71"/>
        <v>0</v>
      </c>
      <c r="Y138" s="88">
        <f t="shared" si="71"/>
        <v>0</v>
      </c>
      <c r="Z138" s="88">
        <f t="shared" si="71"/>
        <v>0</v>
      </c>
      <c r="AA138" s="88">
        <f t="shared" si="71"/>
        <v>0</v>
      </c>
      <c r="AB138" s="88">
        <f t="shared" si="71"/>
        <v>0</v>
      </c>
      <c r="AC138" s="88">
        <f t="shared" si="71"/>
        <v>0</v>
      </c>
      <c r="AD138" s="88">
        <f t="shared" si="71"/>
        <v>0</v>
      </c>
      <c r="AE138" s="88">
        <f t="shared" si="71"/>
        <v>0</v>
      </c>
      <c r="AF138" s="88">
        <f t="shared" si="71"/>
        <v>0</v>
      </c>
      <c r="AG138" s="88">
        <f t="shared" si="71"/>
        <v>0</v>
      </c>
      <c r="AH138" s="88">
        <v>360338867</v>
      </c>
      <c r="AI138" s="88">
        <f t="shared" si="71"/>
        <v>0</v>
      </c>
      <c r="AJ138" s="88">
        <f t="shared" si="71"/>
        <v>0</v>
      </c>
      <c r="AK138" s="796"/>
      <c r="AL138" s="796"/>
      <c r="AM138" s="796"/>
      <c r="AN138" s="799"/>
    </row>
    <row r="139" spans="1:40" s="84" customFormat="1" ht="24.75" hidden="1" customHeight="1" outlineLevel="1">
      <c r="A139" s="36"/>
      <c r="B139" s="82"/>
      <c r="C139" s="82"/>
      <c r="D139" s="36"/>
      <c r="E139" s="36"/>
      <c r="F139" s="36"/>
      <c r="G139" s="36"/>
      <c r="H139" s="37"/>
      <c r="I139" s="36"/>
      <c r="J139" s="36"/>
      <c r="K139" s="36"/>
      <c r="L139" s="82"/>
      <c r="N139" s="83"/>
      <c r="O139" s="39"/>
      <c r="P139" s="39"/>
      <c r="Q139" s="91"/>
      <c r="R139" s="87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796"/>
      <c r="AL139" s="796"/>
      <c r="AM139" s="796"/>
      <c r="AN139" s="799"/>
    </row>
    <row r="140" spans="1:40" s="84" customFormat="1" ht="24.75" hidden="1" customHeight="1" outlineLevel="1">
      <c r="A140" s="36"/>
      <c r="B140" s="82"/>
      <c r="C140" s="82"/>
      <c r="D140" s="36"/>
      <c r="E140" s="36"/>
      <c r="F140" s="36"/>
      <c r="G140" s="36"/>
      <c r="H140" s="37"/>
      <c r="I140" s="36"/>
      <c r="J140" s="36"/>
      <c r="K140" s="36"/>
      <c r="L140" s="82"/>
      <c r="N140" s="83"/>
      <c r="O140" s="39"/>
      <c r="P140" s="39"/>
      <c r="Q140" s="596"/>
      <c r="R140" s="87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796"/>
      <c r="AL140" s="796"/>
      <c r="AM140" s="796"/>
      <c r="AN140" s="799"/>
    </row>
    <row r="141" spans="1:40" s="18" customFormat="1" ht="25.5" hidden="1" customHeight="1" outlineLevel="1">
      <c r="A141" s="36"/>
      <c r="B141" s="36"/>
      <c r="C141" s="36"/>
      <c r="D141" s="36"/>
      <c r="E141" s="36"/>
      <c r="F141" s="36"/>
      <c r="G141" s="36"/>
      <c r="H141" s="37"/>
      <c r="I141" s="36"/>
      <c r="J141" s="36"/>
      <c r="K141" s="36"/>
      <c r="L141" s="36"/>
      <c r="M141" s="95"/>
      <c r="N141" s="37"/>
      <c r="O141" s="39"/>
      <c r="P141" s="39"/>
      <c r="Q141" s="136" t="s">
        <v>150</v>
      </c>
      <c r="R141" s="50"/>
      <c r="S141" s="97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796"/>
      <c r="AL141" s="796"/>
      <c r="AM141" s="796"/>
      <c r="AN141" s="799"/>
    </row>
    <row r="142" spans="1:40" s="33" customFormat="1" ht="25.5" hidden="1" customHeight="1" outlineLevel="2">
      <c r="A142" s="35"/>
      <c r="B142" s="35"/>
      <c r="C142" s="35"/>
      <c r="D142" s="35"/>
      <c r="E142" s="35"/>
      <c r="F142" s="36"/>
      <c r="G142" s="36"/>
      <c r="H142" s="37"/>
      <c r="I142" s="36"/>
      <c r="J142" s="36"/>
      <c r="K142" s="36"/>
      <c r="L142" s="35"/>
      <c r="M142" s="38"/>
      <c r="N142" s="39"/>
      <c r="O142" s="39"/>
      <c r="P142" s="39"/>
      <c r="Q142" s="17" t="s">
        <v>32</v>
      </c>
      <c r="R142" s="50"/>
      <c r="S142" s="51"/>
      <c r="T142" s="52"/>
      <c r="U142" s="52"/>
      <c r="V142" s="52"/>
      <c r="W142" s="52"/>
      <c r="X142" s="52"/>
      <c r="Y142" s="52"/>
      <c r="Z142" s="53"/>
      <c r="AA142" s="53"/>
      <c r="AB142" s="53"/>
      <c r="AC142" s="53"/>
      <c r="AD142" s="53"/>
      <c r="AE142" s="53"/>
      <c r="AF142" s="53"/>
      <c r="AG142" s="53"/>
      <c r="AH142" s="53"/>
      <c r="AI142" s="52"/>
      <c r="AJ142" s="52"/>
      <c r="AK142" s="796"/>
      <c r="AL142" s="796"/>
      <c r="AM142" s="796"/>
      <c r="AN142" s="799"/>
    </row>
    <row r="143" spans="1:40" s="33" customFormat="1" ht="25.5" hidden="1" customHeight="1" outlineLevel="2">
      <c r="A143" s="19"/>
      <c r="B143" s="19">
        <v>31</v>
      </c>
      <c r="C143" s="19"/>
      <c r="D143" s="19" t="s">
        <v>33</v>
      </c>
      <c r="E143" s="19" t="s">
        <v>34</v>
      </c>
      <c r="F143" s="19" t="s">
        <v>84</v>
      </c>
      <c r="G143" s="20" t="s">
        <v>49</v>
      </c>
      <c r="H143" s="21" t="s">
        <v>61</v>
      </c>
      <c r="I143" s="19" t="s">
        <v>38</v>
      </c>
      <c r="J143" s="19" t="s">
        <v>151</v>
      </c>
      <c r="K143" s="22">
        <v>8</v>
      </c>
      <c r="L143" s="19" t="s">
        <v>46</v>
      </c>
      <c r="M143" s="23" t="s">
        <v>40</v>
      </c>
      <c r="N143" s="21">
        <v>30086815</v>
      </c>
      <c r="O143" s="21" t="s">
        <v>754</v>
      </c>
      <c r="P143" s="21"/>
      <c r="Q143" s="23" t="s">
        <v>152</v>
      </c>
      <c r="R143" s="24"/>
      <c r="S143" s="26">
        <v>15318985549</v>
      </c>
      <c r="T143" s="30">
        <v>4736606083</v>
      </c>
      <c r="U143" s="30">
        <v>100000000</v>
      </c>
      <c r="V143" s="285">
        <f>+SUM(W143:AH143)</f>
        <v>0</v>
      </c>
      <c r="W143" s="29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>
        <v>0</v>
      </c>
      <c r="AI143" s="30">
        <f t="shared" si="66"/>
        <v>100000000</v>
      </c>
      <c r="AJ143" s="30">
        <f t="shared" ref="AJ143:AJ148" si="73">+S143-T143-V143-AI143</f>
        <v>10482379466</v>
      </c>
      <c r="AK143" s="796" t="s">
        <v>137</v>
      </c>
      <c r="AL143" s="796" t="s">
        <v>44</v>
      </c>
      <c r="AM143" s="796"/>
      <c r="AN143" s="799"/>
    </row>
    <row r="144" spans="1:40" s="33" customFormat="1" ht="25.5" hidden="1" customHeight="1" outlineLevel="2">
      <c r="A144" s="19"/>
      <c r="B144" s="19">
        <v>31</v>
      </c>
      <c r="C144" s="19"/>
      <c r="D144" s="19" t="s">
        <v>33</v>
      </c>
      <c r="E144" s="19" t="s">
        <v>34</v>
      </c>
      <c r="F144" s="19" t="s">
        <v>84</v>
      </c>
      <c r="G144" s="20" t="s">
        <v>49</v>
      </c>
      <c r="H144" s="21" t="s">
        <v>45</v>
      </c>
      <c r="I144" s="19" t="s">
        <v>38</v>
      </c>
      <c r="J144" s="19" t="s">
        <v>151</v>
      </c>
      <c r="K144" s="22">
        <v>8</v>
      </c>
      <c r="L144" s="19" t="s">
        <v>46</v>
      </c>
      <c r="M144" s="23" t="s">
        <v>40</v>
      </c>
      <c r="N144" s="21">
        <v>30087497</v>
      </c>
      <c r="O144" s="21" t="s">
        <v>753</v>
      </c>
      <c r="P144" s="21"/>
      <c r="Q144" s="23" t="s">
        <v>153</v>
      </c>
      <c r="R144" s="24"/>
      <c r="S144" s="26">
        <v>6809615000</v>
      </c>
      <c r="T144" s="30">
        <v>5486962838</v>
      </c>
      <c r="U144" s="30">
        <f>1300000000-15971550</f>
        <v>1284028450</v>
      </c>
      <c r="V144" s="285">
        <f t="shared" ref="V144:V148" si="74">+SUM(W144:AH144)</f>
        <v>973057335</v>
      </c>
      <c r="W144" s="29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>
        <v>973057335</v>
      </c>
      <c r="AI144" s="30">
        <f t="shared" si="66"/>
        <v>310971115</v>
      </c>
      <c r="AJ144" s="30">
        <f t="shared" si="73"/>
        <v>38623712</v>
      </c>
      <c r="AK144" s="796" t="s">
        <v>43</v>
      </c>
      <c r="AL144" s="796" t="s">
        <v>44</v>
      </c>
      <c r="AM144" s="796"/>
      <c r="AN144" s="799"/>
    </row>
    <row r="145" spans="1:42" s="33" customFormat="1" ht="25.5" hidden="1" customHeight="1" outlineLevel="2">
      <c r="A145" s="19"/>
      <c r="B145" s="19">
        <v>31</v>
      </c>
      <c r="C145" s="19"/>
      <c r="D145" s="19" t="s">
        <v>33</v>
      </c>
      <c r="E145" s="19" t="s">
        <v>34</v>
      </c>
      <c r="F145" s="19" t="s">
        <v>35</v>
      </c>
      <c r="G145" s="20" t="s">
        <v>49</v>
      </c>
      <c r="H145" s="21" t="s">
        <v>85</v>
      </c>
      <c r="I145" s="19" t="s">
        <v>38</v>
      </c>
      <c r="J145" s="19" t="s">
        <v>151</v>
      </c>
      <c r="K145" s="22">
        <v>8</v>
      </c>
      <c r="L145" s="19" t="s">
        <v>46</v>
      </c>
      <c r="M145" s="23" t="s">
        <v>40</v>
      </c>
      <c r="N145" s="21">
        <v>30158072</v>
      </c>
      <c r="O145" s="21" t="s">
        <v>753</v>
      </c>
      <c r="P145" s="21"/>
      <c r="Q145" s="23" t="s">
        <v>154</v>
      </c>
      <c r="R145" s="24"/>
      <c r="S145" s="26">
        <v>1452174000</v>
      </c>
      <c r="T145" s="30">
        <v>1344511915</v>
      </c>
      <c r="U145" s="30">
        <v>0</v>
      </c>
      <c r="V145" s="285">
        <f t="shared" si="74"/>
        <v>0</v>
      </c>
      <c r="W145" s="29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>
        <v>0</v>
      </c>
      <c r="AI145" s="30">
        <f t="shared" si="66"/>
        <v>0</v>
      </c>
      <c r="AJ145" s="30">
        <f t="shared" si="73"/>
        <v>107662085</v>
      </c>
      <c r="AK145" s="796" t="s">
        <v>43</v>
      </c>
      <c r="AL145" s="796" t="s">
        <v>44</v>
      </c>
      <c r="AM145" s="796"/>
      <c r="AN145" s="799"/>
    </row>
    <row r="146" spans="1:42" s="33" customFormat="1" ht="25.5" hidden="1" customHeight="1" outlineLevel="2">
      <c r="A146" s="19"/>
      <c r="B146" s="19">
        <v>31</v>
      </c>
      <c r="C146" s="19"/>
      <c r="D146" s="19" t="s">
        <v>33</v>
      </c>
      <c r="E146" s="19" t="s">
        <v>34</v>
      </c>
      <c r="F146" s="19" t="s">
        <v>84</v>
      </c>
      <c r="G146" s="20" t="s">
        <v>49</v>
      </c>
      <c r="H146" s="21" t="s">
        <v>37</v>
      </c>
      <c r="I146" s="19" t="s">
        <v>38</v>
      </c>
      <c r="J146" s="19" t="s">
        <v>151</v>
      </c>
      <c r="K146" s="22">
        <v>8</v>
      </c>
      <c r="L146" s="19" t="s">
        <v>46</v>
      </c>
      <c r="M146" s="23" t="s">
        <v>40</v>
      </c>
      <c r="N146" s="21">
        <v>30448275</v>
      </c>
      <c r="O146" s="21" t="s">
        <v>685</v>
      </c>
      <c r="P146" s="21" t="s">
        <v>752</v>
      </c>
      <c r="Q146" s="23" t="s">
        <v>669</v>
      </c>
      <c r="R146" s="24" t="s">
        <v>670</v>
      </c>
      <c r="S146" s="26">
        <v>404079018</v>
      </c>
      <c r="T146" s="30">
        <v>388107468</v>
      </c>
      <c r="U146" s="30">
        <v>15971550</v>
      </c>
      <c r="V146" s="285">
        <f t="shared" si="74"/>
        <v>8621550</v>
      </c>
      <c r="W146" s="29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>
        <v>8621550</v>
      </c>
      <c r="AI146" s="30">
        <f t="shared" ref="AI146" si="75">+U146-V146</f>
        <v>7350000</v>
      </c>
      <c r="AJ146" s="30">
        <f t="shared" si="73"/>
        <v>0</v>
      </c>
      <c r="AK146" s="796" t="s">
        <v>48</v>
      </c>
      <c r="AL146" s="796" t="s">
        <v>44</v>
      </c>
      <c r="AM146" s="796"/>
      <c r="AN146" s="799"/>
    </row>
    <row r="147" spans="1:42" s="33" customFormat="1" ht="25.5" hidden="1" customHeight="1" outlineLevel="2">
      <c r="A147" s="19" t="s">
        <v>133</v>
      </c>
      <c r="B147" s="19">
        <v>31</v>
      </c>
      <c r="C147" s="19"/>
      <c r="D147" s="19" t="s">
        <v>33</v>
      </c>
      <c r="E147" s="19" t="s">
        <v>34</v>
      </c>
      <c r="F147" s="19"/>
      <c r="G147" s="20"/>
      <c r="H147" s="21" t="s">
        <v>61</v>
      </c>
      <c r="I147" s="19" t="s">
        <v>38</v>
      </c>
      <c r="J147" s="19" t="s">
        <v>151</v>
      </c>
      <c r="K147" s="22">
        <v>8</v>
      </c>
      <c r="L147" s="19" t="s">
        <v>46</v>
      </c>
      <c r="M147" s="23" t="s">
        <v>40</v>
      </c>
      <c r="N147" s="21">
        <v>30126279</v>
      </c>
      <c r="O147" s="21" t="s">
        <v>685</v>
      </c>
      <c r="P147" s="21"/>
      <c r="Q147" s="23" t="s">
        <v>155</v>
      </c>
      <c r="R147" s="24"/>
      <c r="S147" s="26">
        <v>1947625000</v>
      </c>
      <c r="T147" s="30">
        <v>1942600773</v>
      </c>
      <c r="U147" s="30">
        <f>26443251-21419024</f>
        <v>5024227</v>
      </c>
      <c r="V147" s="285">
        <f t="shared" si="74"/>
        <v>0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>
        <v>0</v>
      </c>
      <c r="AI147" s="30">
        <f t="shared" si="66"/>
        <v>5024227</v>
      </c>
      <c r="AJ147" s="30">
        <f t="shared" si="73"/>
        <v>0</v>
      </c>
      <c r="AK147" s="796" t="s">
        <v>43</v>
      </c>
      <c r="AL147" s="796" t="s">
        <v>83</v>
      </c>
      <c r="AM147" s="796"/>
      <c r="AN147" s="799"/>
    </row>
    <row r="148" spans="1:42" s="18" customFormat="1" ht="25.5" hidden="1" customHeight="1" outlineLevel="1">
      <c r="A148" s="19" t="s">
        <v>133</v>
      </c>
      <c r="B148" s="19">
        <v>31</v>
      </c>
      <c r="C148" s="19"/>
      <c r="D148" s="19" t="s">
        <v>33</v>
      </c>
      <c r="E148" s="19" t="s">
        <v>34</v>
      </c>
      <c r="F148" s="19" t="s">
        <v>84</v>
      </c>
      <c r="G148" s="20" t="s">
        <v>49</v>
      </c>
      <c r="H148" s="21" t="s">
        <v>85</v>
      </c>
      <c r="I148" s="19" t="s">
        <v>38</v>
      </c>
      <c r="J148" s="19" t="s">
        <v>151</v>
      </c>
      <c r="K148" s="22">
        <v>8</v>
      </c>
      <c r="L148" s="19" t="s">
        <v>46</v>
      </c>
      <c r="M148" s="23" t="s">
        <v>40</v>
      </c>
      <c r="N148" s="21">
        <v>30126943</v>
      </c>
      <c r="O148" s="200" t="s">
        <v>685</v>
      </c>
      <c r="P148" s="200"/>
      <c r="Q148" s="112" t="s">
        <v>156</v>
      </c>
      <c r="R148" s="24"/>
      <c r="S148" s="113">
        <v>3542559000</v>
      </c>
      <c r="T148" s="114">
        <v>46836000</v>
      </c>
      <c r="U148" s="114">
        <v>800995000</v>
      </c>
      <c r="V148" s="285">
        <f t="shared" si="74"/>
        <v>0</v>
      </c>
      <c r="W148" s="29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>
        <v>0</v>
      </c>
      <c r="AI148" s="114">
        <f t="shared" si="66"/>
        <v>800995000</v>
      </c>
      <c r="AJ148" s="114">
        <f t="shared" si="73"/>
        <v>2694728000</v>
      </c>
      <c r="AK148" s="796" t="s">
        <v>43</v>
      </c>
      <c r="AL148" s="796" t="s">
        <v>44</v>
      </c>
      <c r="AM148" s="796"/>
      <c r="AN148" s="799"/>
    </row>
    <row r="149" spans="1:42" s="38" customFormat="1" ht="25.5" hidden="1" customHeight="1" outlineLevel="1">
      <c r="A149" s="35"/>
      <c r="B149" s="35"/>
      <c r="C149" s="35"/>
      <c r="D149" s="35"/>
      <c r="E149" s="35"/>
      <c r="F149" s="36"/>
      <c r="G149" s="36"/>
      <c r="H149" s="37"/>
      <c r="I149" s="36"/>
      <c r="J149" s="36"/>
      <c r="K149" s="36"/>
      <c r="L149" s="35"/>
      <c r="N149" s="39"/>
      <c r="O149" s="39"/>
      <c r="P149" s="39"/>
      <c r="Q149" s="40" t="s">
        <v>58</v>
      </c>
      <c r="R149" s="41"/>
      <c r="S149" s="44">
        <f>SUBTOTAL(9,S143:S148)</f>
        <v>0</v>
      </c>
      <c r="T149" s="44">
        <f t="shared" ref="T149:AJ149" si="76">SUBTOTAL(9,T143:T148)</f>
        <v>0</v>
      </c>
      <c r="U149" s="44">
        <f t="shared" si="76"/>
        <v>0</v>
      </c>
      <c r="V149" s="44">
        <f>SUBTOTAL(9,V143:V148)</f>
        <v>0</v>
      </c>
      <c r="W149" s="44">
        <f t="shared" si="76"/>
        <v>0</v>
      </c>
      <c r="X149" s="44">
        <f t="shared" si="76"/>
        <v>0</v>
      </c>
      <c r="Y149" s="44">
        <f t="shared" si="76"/>
        <v>0</v>
      </c>
      <c r="Z149" s="44">
        <f t="shared" si="76"/>
        <v>0</v>
      </c>
      <c r="AA149" s="44">
        <f t="shared" si="76"/>
        <v>0</v>
      </c>
      <c r="AB149" s="44">
        <f t="shared" si="76"/>
        <v>0</v>
      </c>
      <c r="AC149" s="44">
        <f t="shared" si="76"/>
        <v>0</v>
      </c>
      <c r="AD149" s="44">
        <f t="shared" si="76"/>
        <v>0</v>
      </c>
      <c r="AE149" s="44">
        <f t="shared" si="76"/>
        <v>0</v>
      </c>
      <c r="AF149" s="44">
        <f t="shared" si="76"/>
        <v>0</v>
      </c>
      <c r="AG149" s="44">
        <f t="shared" si="76"/>
        <v>0</v>
      </c>
      <c r="AH149" s="44">
        <v>981678885</v>
      </c>
      <c r="AI149" s="44">
        <f t="shared" si="76"/>
        <v>0</v>
      </c>
      <c r="AJ149" s="44">
        <f t="shared" si="76"/>
        <v>0</v>
      </c>
      <c r="AK149" s="796"/>
      <c r="AL149" s="796"/>
      <c r="AM149" s="796"/>
      <c r="AN149" s="799"/>
    </row>
    <row r="150" spans="1:42" s="18" customFormat="1" ht="25.5" hidden="1" customHeight="1" outlineLevel="1">
      <c r="A150" s="35"/>
      <c r="B150" s="35"/>
      <c r="C150" s="35"/>
      <c r="D150" s="35"/>
      <c r="E150" s="35"/>
      <c r="F150" s="36"/>
      <c r="G150" s="36"/>
      <c r="H150" s="37"/>
      <c r="I150" s="36"/>
      <c r="J150" s="36"/>
      <c r="K150" s="36"/>
      <c r="L150" s="35"/>
      <c r="M150" s="38"/>
      <c r="N150" s="39"/>
      <c r="O150" s="39"/>
      <c r="P150" s="39"/>
      <c r="Q150" s="46"/>
      <c r="R150" s="42"/>
      <c r="S150" s="47"/>
      <c r="T150" s="47"/>
      <c r="U150" s="47"/>
      <c r="V150" s="47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7"/>
      <c r="AJ150" s="47"/>
      <c r="AK150" s="796"/>
      <c r="AL150" s="796"/>
      <c r="AM150" s="796"/>
      <c r="AN150" s="799"/>
    </row>
    <row r="151" spans="1:42" s="18" customFormat="1" ht="25.5" hidden="1" customHeight="1" outlineLevel="1">
      <c r="A151" s="35"/>
      <c r="B151" s="35"/>
      <c r="C151" s="35"/>
      <c r="D151" s="35"/>
      <c r="E151" s="35"/>
      <c r="F151" s="36"/>
      <c r="G151" s="36"/>
      <c r="H151" s="37"/>
      <c r="I151" s="36"/>
      <c r="J151" s="36"/>
      <c r="K151" s="36"/>
      <c r="L151" s="35"/>
      <c r="M151" s="38"/>
      <c r="N151" s="39"/>
      <c r="O151" s="39"/>
      <c r="P151" s="39"/>
      <c r="Q151" s="17" t="s">
        <v>59</v>
      </c>
      <c r="R151" s="50"/>
      <c r="S151" s="51"/>
      <c r="T151" s="51"/>
      <c r="U151" s="52"/>
      <c r="V151" s="52"/>
      <c r="W151" s="52"/>
      <c r="X151" s="52"/>
      <c r="Y151" s="52"/>
      <c r="Z151" s="53"/>
      <c r="AA151" s="53"/>
      <c r="AB151" s="53"/>
      <c r="AC151" s="53"/>
      <c r="AD151" s="53"/>
      <c r="AE151" s="53"/>
      <c r="AF151" s="53"/>
      <c r="AG151" s="53"/>
      <c r="AH151" s="53"/>
      <c r="AI151" s="52"/>
      <c r="AJ151" s="52"/>
      <c r="AK151" s="796"/>
      <c r="AL151" s="796"/>
      <c r="AM151" s="796"/>
      <c r="AN151" s="799"/>
    </row>
    <row r="152" spans="1:42" s="18" customFormat="1" ht="25.5" hidden="1" customHeight="1" outlineLevel="1">
      <c r="A152" s="54" t="s">
        <v>157</v>
      </c>
      <c r="B152" s="54">
        <v>31</v>
      </c>
      <c r="C152" s="54">
        <v>1</v>
      </c>
      <c r="D152" s="54" t="s">
        <v>33</v>
      </c>
      <c r="E152" s="54" t="s">
        <v>60</v>
      </c>
      <c r="F152" s="54" t="s">
        <v>35</v>
      </c>
      <c r="G152" s="55" t="s">
        <v>158</v>
      </c>
      <c r="H152" s="56" t="s">
        <v>64</v>
      </c>
      <c r="I152" s="54" t="s">
        <v>38</v>
      </c>
      <c r="J152" s="54" t="s">
        <v>151</v>
      </c>
      <c r="K152" s="57">
        <v>8</v>
      </c>
      <c r="L152" s="54" t="s">
        <v>46</v>
      </c>
      <c r="M152" s="58" t="s">
        <v>159</v>
      </c>
      <c r="N152" s="56">
        <v>30376573</v>
      </c>
      <c r="O152" s="597" t="s">
        <v>755</v>
      </c>
      <c r="P152" s="597"/>
      <c r="Q152" s="98" t="s">
        <v>160</v>
      </c>
      <c r="R152" s="24"/>
      <c r="S152" s="99">
        <v>402984000</v>
      </c>
      <c r="T152" s="100">
        <v>49084</v>
      </c>
      <c r="U152" s="100">
        <f>12089520+59234303+29597332</f>
        <v>100921155</v>
      </c>
      <c r="V152" s="292">
        <f t="shared" si="65"/>
        <v>0</v>
      </c>
      <c r="W152" s="29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>
        <v>0</v>
      </c>
      <c r="AI152" s="100">
        <f t="shared" si="66"/>
        <v>100921155</v>
      </c>
      <c r="AJ152" s="100">
        <f>+S152-T152-V152-AI152</f>
        <v>302013761</v>
      </c>
      <c r="AK152" s="796" t="s">
        <v>43</v>
      </c>
      <c r="AL152" s="796" t="s">
        <v>63</v>
      </c>
      <c r="AM152" s="796"/>
      <c r="AN152" s="799"/>
    </row>
    <row r="153" spans="1:42" s="33" customFormat="1" ht="25.5" customHeight="1" outlineLevel="2">
      <c r="A153" s="54"/>
      <c r="B153" s="801">
        <v>31</v>
      </c>
      <c r="C153" s="729"/>
      <c r="D153" s="54" t="s">
        <v>33</v>
      </c>
      <c r="E153" s="801" t="s">
        <v>60</v>
      </c>
      <c r="F153" s="729" t="s">
        <v>35</v>
      </c>
      <c r="G153" s="55" t="s">
        <v>49</v>
      </c>
      <c r="H153" s="56" t="s">
        <v>64</v>
      </c>
      <c r="I153" s="801" t="s">
        <v>38</v>
      </c>
      <c r="J153" s="801" t="s">
        <v>151</v>
      </c>
      <c r="K153" s="57">
        <v>8</v>
      </c>
      <c r="L153" s="54" t="s">
        <v>46</v>
      </c>
      <c r="M153" s="802" t="s">
        <v>40</v>
      </c>
      <c r="N153" s="803">
        <v>30123182</v>
      </c>
      <c r="O153" s="770" t="s">
        <v>753</v>
      </c>
      <c r="P153" s="56"/>
      <c r="Q153" s="802" t="s">
        <v>161</v>
      </c>
      <c r="R153" s="24"/>
      <c r="S153" s="804">
        <v>5579270000</v>
      </c>
      <c r="T153" s="805">
        <v>0</v>
      </c>
      <c r="U153" s="805">
        <v>1000026655.33333</v>
      </c>
      <c r="V153" s="805">
        <f t="shared" si="65"/>
        <v>0</v>
      </c>
      <c r="W153" s="29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>
        <v>0</v>
      </c>
      <c r="AI153" s="805">
        <f t="shared" si="66"/>
        <v>1000026655.33333</v>
      </c>
      <c r="AJ153" s="805">
        <f>+S153-T153-V153-AI153</f>
        <v>4579243344.6666698</v>
      </c>
      <c r="AK153" s="806" t="s">
        <v>43</v>
      </c>
      <c r="AL153" s="806" t="s">
        <v>759</v>
      </c>
      <c r="AM153" s="806" t="str">
        <f>HYPERLINK(CONCATENATE("DOCUMENTOS\ACTA-",N153,".PDF"))</f>
        <v>DOCUMENTOS\ACTA-30123182.PDF</v>
      </c>
      <c r="AN153" s="807"/>
      <c r="AO153" s="33" t="e">
        <f>VLOOKUP(N153,'CONVENIOS 2021'!A$1:A$53,1,FALSE)</f>
        <v>#N/A</v>
      </c>
      <c r="AP153" s="33" t="e">
        <f>VLOOKUP(N153,'CONVENIOS 2020'!A$2:A$72,1,FALSE)</f>
        <v>#N/A</v>
      </c>
    </row>
    <row r="154" spans="1:42" s="33" customFormat="1" ht="25.5" hidden="1" customHeight="1" outlineLevel="2">
      <c r="A154" s="54"/>
      <c r="B154" s="782">
        <v>31</v>
      </c>
      <c r="C154" s="54"/>
      <c r="D154" s="54" t="s">
        <v>33</v>
      </c>
      <c r="E154" s="782" t="s">
        <v>60</v>
      </c>
      <c r="F154" s="54" t="s">
        <v>35</v>
      </c>
      <c r="G154" s="55" t="s">
        <v>36</v>
      </c>
      <c r="H154" s="56" t="s">
        <v>37</v>
      </c>
      <c r="I154" s="782" t="s">
        <v>38</v>
      </c>
      <c r="J154" s="782" t="s">
        <v>151</v>
      </c>
      <c r="K154" s="57">
        <v>8</v>
      </c>
      <c r="L154" s="54" t="s">
        <v>46</v>
      </c>
      <c r="M154" s="783" t="s">
        <v>40</v>
      </c>
      <c r="N154" s="784">
        <v>40015603</v>
      </c>
      <c r="O154" s="56" t="s">
        <v>755</v>
      </c>
      <c r="P154" s="56"/>
      <c r="Q154" s="783" t="s">
        <v>163</v>
      </c>
      <c r="R154" s="24"/>
      <c r="S154" s="785">
        <v>103016000</v>
      </c>
      <c r="T154" s="786">
        <v>59234303</v>
      </c>
      <c r="U154" s="786">
        <f>103016000-59234303</f>
        <v>43781697</v>
      </c>
      <c r="V154" s="787">
        <f t="shared" si="65"/>
        <v>20997604</v>
      </c>
      <c r="W154" s="29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>
        <v>20997604</v>
      </c>
      <c r="AI154" s="786">
        <f t="shared" si="66"/>
        <v>22784093</v>
      </c>
      <c r="AJ154" s="786">
        <f>+S154-T154-V154-AI154</f>
        <v>0</v>
      </c>
      <c r="AK154" s="796" t="s">
        <v>43</v>
      </c>
      <c r="AL154" s="796" t="s">
        <v>162</v>
      </c>
      <c r="AM154" s="796"/>
      <c r="AN154" s="799"/>
    </row>
    <row r="155" spans="1:42" s="38" customFormat="1" ht="25.5" hidden="1" customHeight="1" outlineLevel="1">
      <c r="A155" s="35"/>
      <c r="B155" s="35"/>
      <c r="C155" s="35"/>
      <c r="D155" s="35"/>
      <c r="E155" s="35"/>
      <c r="F155" s="36"/>
      <c r="G155" s="36"/>
      <c r="H155" s="37"/>
      <c r="I155" s="36"/>
      <c r="J155" s="36"/>
      <c r="K155" s="36"/>
      <c r="L155" s="35"/>
      <c r="N155" s="39"/>
      <c r="O155" s="39"/>
      <c r="P155" s="39"/>
      <c r="Q155" s="63" t="s">
        <v>67</v>
      </c>
      <c r="R155" s="64"/>
      <c r="S155" s="65">
        <f t="shared" ref="S155:AJ155" si="77">SUBTOTAL(9,S152:S154)</f>
        <v>5579270000</v>
      </c>
      <c r="T155" s="65">
        <f t="shared" ref="T155" si="78">SUBTOTAL(9,T152:T154)</f>
        <v>0</v>
      </c>
      <c r="U155" s="65">
        <f t="shared" si="77"/>
        <v>1000026655.33333</v>
      </c>
      <c r="V155" s="65">
        <f t="shared" si="77"/>
        <v>0</v>
      </c>
      <c r="W155" s="65">
        <f t="shared" si="77"/>
        <v>0</v>
      </c>
      <c r="X155" s="65">
        <f t="shared" si="77"/>
        <v>0</v>
      </c>
      <c r="Y155" s="65">
        <f t="shared" si="77"/>
        <v>0</v>
      </c>
      <c r="Z155" s="65">
        <f t="shared" si="77"/>
        <v>0</v>
      </c>
      <c r="AA155" s="65">
        <f t="shared" si="77"/>
        <v>0</v>
      </c>
      <c r="AB155" s="65">
        <f t="shared" si="77"/>
        <v>0</v>
      </c>
      <c r="AC155" s="65">
        <f t="shared" si="77"/>
        <v>0</v>
      </c>
      <c r="AD155" s="65">
        <f t="shared" si="77"/>
        <v>0</v>
      </c>
      <c r="AE155" s="65">
        <f t="shared" si="77"/>
        <v>0</v>
      </c>
      <c r="AF155" s="65">
        <f t="shared" si="77"/>
        <v>0</v>
      </c>
      <c r="AG155" s="65">
        <f t="shared" si="77"/>
        <v>0</v>
      </c>
      <c r="AH155" s="65">
        <v>20997604</v>
      </c>
      <c r="AI155" s="65">
        <f t="shared" si="77"/>
        <v>1000026655.33333</v>
      </c>
      <c r="AJ155" s="65">
        <f t="shared" si="77"/>
        <v>4579243344.6666698</v>
      </c>
      <c r="AK155" s="796"/>
      <c r="AL155" s="796" t="s">
        <v>164</v>
      </c>
      <c r="AM155" s="796"/>
      <c r="AN155" s="799"/>
    </row>
    <row r="156" spans="1:42" s="38" customFormat="1" ht="25.5" hidden="1" customHeight="1" outlineLevel="1">
      <c r="A156" s="35"/>
      <c r="B156" s="35"/>
      <c r="C156" s="35"/>
      <c r="D156" s="35"/>
      <c r="E156" s="35"/>
      <c r="F156" s="36"/>
      <c r="G156" s="36"/>
      <c r="H156" s="37"/>
      <c r="I156" s="36"/>
      <c r="J156" s="36"/>
      <c r="K156" s="36"/>
      <c r="L156" s="35"/>
      <c r="N156" s="39"/>
      <c r="O156" s="39"/>
      <c r="P156" s="39"/>
      <c r="Q156" s="46"/>
      <c r="R156" s="42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796"/>
      <c r="AL156" s="796"/>
      <c r="AM156" s="796"/>
      <c r="AN156" s="799"/>
    </row>
    <row r="157" spans="1:42" s="33" customFormat="1" ht="25.5" hidden="1" customHeight="1" outlineLevel="2">
      <c r="A157" s="35"/>
      <c r="B157" s="35"/>
      <c r="C157" s="35"/>
      <c r="D157" s="35"/>
      <c r="E157" s="35"/>
      <c r="F157" s="36"/>
      <c r="G157" s="36"/>
      <c r="H157" s="37"/>
      <c r="I157" s="36"/>
      <c r="J157" s="36"/>
      <c r="K157" s="36"/>
      <c r="L157" s="35"/>
      <c r="M157" s="38"/>
      <c r="N157" s="39"/>
      <c r="O157" s="39"/>
      <c r="P157" s="39"/>
      <c r="Q157" s="17" t="s">
        <v>68</v>
      </c>
      <c r="R157" s="42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796"/>
      <c r="AL157" s="796"/>
      <c r="AM157" s="796"/>
      <c r="AN157" s="799"/>
    </row>
    <row r="158" spans="1:42" s="33" customFormat="1" ht="25.5" customHeight="1" outlineLevel="2">
      <c r="A158" s="66" t="s">
        <v>133</v>
      </c>
      <c r="B158" s="801">
        <v>31</v>
      </c>
      <c r="C158" s="730"/>
      <c r="D158" s="66" t="s">
        <v>33</v>
      </c>
      <c r="E158" s="801" t="s">
        <v>69</v>
      </c>
      <c r="F158" s="730" t="s">
        <v>35</v>
      </c>
      <c r="G158" s="67" t="s">
        <v>49</v>
      </c>
      <c r="H158" s="68" t="s">
        <v>85</v>
      </c>
      <c r="I158" s="801" t="s">
        <v>38</v>
      </c>
      <c r="J158" s="801" t="s">
        <v>151</v>
      </c>
      <c r="K158" s="69">
        <v>8</v>
      </c>
      <c r="L158" s="66" t="s">
        <v>46</v>
      </c>
      <c r="M158" s="802" t="s">
        <v>40</v>
      </c>
      <c r="N158" s="803">
        <v>30402378</v>
      </c>
      <c r="O158" s="771"/>
      <c r="P158" s="68"/>
      <c r="Q158" s="802" t="s">
        <v>165</v>
      </c>
      <c r="R158" s="24"/>
      <c r="S158" s="804">
        <v>32260000</v>
      </c>
      <c r="T158" s="805">
        <v>0</v>
      </c>
      <c r="U158" s="805">
        <v>1613000</v>
      </c>
      <c r="V158" s="805">
        <f t="shared" si="65"/>
        <v>0</v>
      </c>
      <c r="W158" s="29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>
        <v>0</v>
      </c>
      <c r="AI158" s="805">
        <f t="shared" si="66"/>
        <v>1613000</v>
      </c>
      <c r="AJ158" s="805">
        <f>+S158-T158-V158-AI158</f>
        <v>30647000</v>
      </c>
      <c r="AK158" s="806" t="s">
        <v>43</v>
      </c>
      <c r="AL158" s="806" t="s">
        <v>759</v>
      </c>
      <c r="AM158" s="806" t="str">
        <f t="shared" ref="AM158:AM161" si="79">HYPERLINK(CONCATENATE("DOCUMENTOS\ACTA-",N158,".PDF"))</f>
        <v>DOCUMENTOS\ACTA-30402378.PDF</v>
      </c>
      <c r="AN158" s="807"/>
      <c r="AO158" s="33" t="e">
        <f>VLOOKUP(N158,'CONVENIOS 2021'!A$1:A$53,1,FALSE)</f>
        <v>#N/A</v>
      </c>
      <c r="AP158" s="33" t="e">
        <f>VLOOKUP(N158,'CONVENIOS 2020'!A$2:A$72,1,FALSE)</f>
        <v>#N/A</v>
      </c>
    </row>
    <row r="159" spans="1:42" s="33" customFormat="1" ht="25.5" customHeight="1" outlineLevel="2">
      <c r="A159" s="66"/>
      <c r="B159" s="801">
        <v>31</v>
      </c>
      <c r="C159" s="730"/>
      <c r="D159" s="66" t="s">
        <v>33</v>
      </c>
      <c r="E159" s="801" t="s">
        <v>69</v>
      </c>
      <c r="F159" s="730" t="s">
        <v>84</v>
      </c>
      <c r="G159" s="67" t="s">
        <v>36</v>
      </c>
      <c r="H159" s="68" t="s">
        <v>37</v>
      </c>
      <c r="I159" s="801" t="s">
        <v>38</v>
      </c>
      <c r="J159" s="801" t="s">
        <v>151</v>
      </c>
      <c r="K159" s="69">
        <v>8</v>
      </c>
      <c r="L159" s="66" t="s">
        <v>46</v>
      </c>
      <c r="M159" s="802" t="s">
        <v>40</v>
      </c>
      <c r="N159" s="803">
        <v>30395473</v>
      </c>
      <c r="O159" s="771"/>
      <c r="P159" s="68" t="s">
        <v>752</v>
      </c>
      <c r="Q159" s="802" t="s">
        <v>166</v>
      </c>
      <c r="R159" s="118"/>
      <c r="S159" s="804">
        <v>1688957000</v>
      </c>
      <c r="T159" s="805">
        <v>0</v>
      </c>
      <c r="U159" s="805">
        <v>500447850</v>
      </c>
      <c r="V159" s="805">
        <f t="shared" si="65"/>
        <v>0</v>
      </c>
      <c r="W159" s="119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28">
        <v>0</v>
      </c>
      <c r="AI159" s="805">
        <f t="shared" si="66"/>
        <v>500447850</v>
      </c>
      <c r="AJ159" s="805">
        <f>+S159-T159-V159-AI159</f>
        <v>1188509150</v>
      </c>
      <c r="AK159" s="806" t="s">
        <v>48</v>
      </c>
      <c r="AL159" s="806" t="s">
        <v>767</v>
      </c>
      <c r="AM159" s="806"/>
      <c r="AN159" s="807">
        <v>44187</v>
      </c>
      <c r="AO159" s="33" t="e">
        <f>VLOOKUP(N159,'CONVENIOS 2021'!A$1:A$53,1,FALSE)</f>
        <v>#N/A</v>
      </c>
      <c r="AP159" s="33" t="e">
        <f>VLOOKUP(N159,'CONVENIOS 2020'!A$2:A$72,1,FALSE)</f>
        <v>#N/A</v>
      </c>
    </row>
    <row r="160" spans="1:42" s="33" customFormat="1" ht="25.5" customHeight="1" outlineLevel="2">
      <c r="A160" s="66"/>
      <c r="B160" s="801">
        <v>31</v>
      </c>
      <c r="C160" s="730"/>
      <c r="D160" s="66" t="s">
        <v>33</v>
      </c>
      <c r="E160" s="801" t="s">
        <v>69</v>
      </c>
      <c r="F160" s="730"/>
      <c r="G160" s="67"/>
      <c r="H160" s="68" t="s">
        <v>37</v>
      </c>
      <c r="I160" s="801" t="s">
        <v>38</v>
      </c>
      <c r="J160" s="801" t="s">
        <v>151</v>
      </c>
      <c r="K160" s="69">
        <v>8</v>
      </c>
      <c r="L160" s="66" t="s">
        <v>46</v>
      </c>
      <c r="M160" s="802" t="s">
        <v>56</v>
      </c>
      <c r="N160" s="803">
        <v>30465788</v>
      </c>
      <c r="O160" s="771" t="s">
        <v>685</v>
      </c>
      <c r="P160" s="68"/>
      <c r="Q160" s="802" t="s">
        <v>167</v>
      </c>
      <c r="R160" s="24"/>
      <c r="S160" s="804">
        <v>329071800</v>
      </c>
      <c r="T160" s="805">
        <v>0</v>
      </c>
      <c r="U160" s="805">
        <v>50453590</v>
      </c>
      <c r="V160" s="805">
        <f t="shared" si="65"/>
        <v>0</v>
      </c>
      <c r="W160" s="29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>
        <v>0</v>
      </c>
      <c r="AI160" s="805">
        <f t="shared" si="66"/>
        <v>50453590</v>
      </c>
      <c r="AJ160" s="805">
        <f>+S160-T160-V160-AI160</f>
        <v>278618210</v>
      </c>
      <c r="AK160" s="806" t="s">
        <v>43</v>
      </c>
      <c r="AL160" s="806" t="s">
        <v>772</v>
      </c>
      <c r="AM160" s="806"/>
      <c r="AN160" s="807"/>
      <c r="AO160" s="33" t="e">
        <f>VLOOKUP(N160,'CONVENIOS 2021'!A$1:A$53,1,FALSE)</f>
        <v>#N/A</v>
      </c>
      <c r="AP160" s="33" t="e">
        <f>VLOOKUP(N160,'CONVENIOS 2020'!A$2:A$72,1,FALSE)</f>
        <v>#N/A</v>
      </c>
    </row>
    <row r="161" spans="1:42" s="33" customFormat="1" ht="25.5" customHeight="1" outlineLevel="2">
      <c r="A161" s="66"/>
      <c r="B161" s="801">
        <v>31</v>
      </c>
      <c r="C161" s="730"/>
      <c r="D161" s="66" t="s">
        <v>33</v>
      </c>
      <c r="E161" s="801" t="s">
        <v>69</v>
      </c>
      <c r="F161" s="730"/>
      <c r="G161" s="67"/>
      <c r="H161" s="68" t="s">
        <v>85</v>
      </c>
      <c r="I161" s="801" t="s">
        <v>38</v>
      </c>
      <c r="J161" s="801" t="s">
        <v>151</v>
      </c>
      <c r="K161" s="69">
        <v>8</v>
      </c>
      <c r="L161" s="66" t="s">
        <v>46</v>
      </c>
      <c r="M161" s="802" t="s">
        <v>40</v>
      </c>
      <c r="N161" s="803">
        <v>30324573</v>
      </c>
      <c r="O161" s="771"/>
      <c r="P161" s="68"/>
      <c r="Q161" s="802" t="s">
        <v>168</v>
      </c>
      <c r="R161" s="24"/>
      <c r="S161" s="804">
        <v>1496798000</v>
      </c>
      <c r="T161" s="805">
        <v>0</v>
      </c>
      <c r="U161" s="805">
        <v>300000000</v>
      </c>
      <c r="V161" s="805">
        <f t="shared" si="65"/>
        <v>0</v>
      </c>
      <c r="W161" s="29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>
        <v>0</v>
      </c>
      <c r="AI161" s="805">
        <f t="shared" si="66"/>
        <v>300000000</v>
      </c>
      <c r="AJ161" s="805">
        <f>+S161-T161-V161-AI161</f>
        <v>1196798000</v>
      </c>
      <c r="AK161" s="806" t="s">
        <v>43</v>
      </c>
      <c r="AL161" s="806" t="s">
        <v>771</v>
      </c>
      <c r="AM161" s="806"/>
      <c r="AN161" s="807"/>
      <c r="AO161" s="33" t="e">
        <f>VLOOKUP(N161,'CONVENIOS 2021'!A$1:A$53,1,FALSE)</f>
        <v>#N/A</v>
      </c>
      <c r="AP161" s="33" t="e">
        <f>VLOOKUP(N161,'CONVENIOS 2020'!A$2:A$72,1,FALSE)</f>
        <v>#N/A</v>
      </c>
    </row>
    <row r="162" spans="1:42" s="38" customFormat="1" ht="25.5" hidden="1" customHeight="1" outlineLevel="1">
      <c r="A162" s="66"/>
      <c r="B162" s="180">
        <v>29</v>
      </c>
      <c r="C162" s="66"/>
      <c r="D162" s="66" t="s">
        <v>92</v>
      </c>
      <c r="E162" s="180" t="s">
        <v>69</v>
      </c>
      <c r="F162" s="66" t="s">
        <v>35</v>
      </c>
      <c r="G162" s="67" t="s">
        <v>49</v>
      </c>
      <c r="H162" s="68" t="s">
        <v>85</v>
      </c>
      <c r="I162" s="180" t="s">
        <v>38</v>
      </c>
      <c r="J162" s="180" t="s">
        <v>151</v>
      </c>
      <c r="K162" s="69">
        <v>8</v>
      </c>
      <c r="L162" s="66" t="s">
        <v>46</v>
      </c>
      <c r="M162" s="184" t="s">
        <v>40</v>
      </c>
      <c r="N162" s="182">
        <v>40020224</v>
      </c>
      <c r="O162" s="68"/>
      <c r="P162" s="177"/>
      <c r="Q162" s="773" t="s">
        <v>169</v>
      </c>
      <c r="R162" s="24"/>
      <c r="S162" s="774">
        <v>52816000</v>
      </c>
      <c r="T162" s="775">
        <v>0</v>
      </c>
      <c r="U162" s="775">
        <v>52816000</v>
      </c>
      <c r="V162" s="776">
        <f t="shared" si="65"/>
        <v>0</v>
      </c>
      <c r="W162" s="29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>
        <v>0</v>
      </c>
      <c r="AI162" s="775">
        <f t="shared" si="66"/>
        <v>52816000</v>
      </c>
      <c r="AJ162" s="775">
        <f>+S162-T162-V162-AI162</f>
        <v>0</v>
      </c>
      <c r="AK162" s="796" t="s">
        <v>48</v>
      </c>
      <c r="AL162" s="796" t="s">
        <v>75</v>
      </c>
      <c r="AM162" s="796"/>
      <c r="AN162" s="799"/>
    </row>
    <row r="163" spans="1:42" s="38" customFormat="1" ht="25.5" hidden="1" customHeight="1" outlineLevel="1">
      <c r="A163" s="35"/>
      <c r="B163" s="35"/>
      <c r="C163" s="35"/>
      <c r="D163" s="35"/>
      <c r="E163" s="35"/>
      <c r="F163" s="36"/>
      <c r="G163" s="36"/>
      <c r="H163" s="37"/>
      <c r="I163" s="36"/>
      <c r="J163" s="36"/>
      <c r="K163" s="36"/>
      <c r="L163" s="35"/>
      <c r="N163" s="39"/>
      <c r="O163" s="39"/>
      <c r="P163" s="39"/>
      <c r="Q163" s="80" t="s">
        <v>80</v>
      </c>
      <c r="R163" s="42"/>
      <c r="S163" s="81">
        <f t="shared" ref="S163:U163" si="80">SUBTOTAL(9,S158:S162)</f>
        <v>3547086800</v>
      </c>
      <c r="T163" s="81">
        <f t="shared" ref="T163" si="81">SUBTOTAL(9,T158:T162)</f>
        <v>0</v>
      </c>
      <c r="U163" s="81">
        <f t="shared" si="80"/>
        <v>852514440</v>
      </c>
      <c r="V163" s="81">
        <f t="shared" ref="V163:AJ163" si="82">SUBTOTAL(9,V158:V162)</f>
        <v>0</v>
      </c>
      <c r="W163" s="81">
        <f t="shared" si="82"/>
        <v>0</v>
      </c>
      <c r="X163" s="81">
        <f t="shared" si="82"/>
        <v>0</v>
      </c>
      <c r="Y163" s="81">
        <f t="shared" si="82"/>
        <v>0</v>
      </c>
      <c r="Z163" s="81">
        <f t="shared" si="82"/>
        <v>0</v>
      </c>
      <c r="AA163" s="81">
        <f t="shared" si="82"/>
        <v>0</v>
      </c>
      <c r="AB163" s="81">
        <f t="shared" si="82"/>
        <v>0</v>
      </c>
      <c r="AC163" s="81">
        <f t="shared" si="82"/>
        <v>0</v>
      </c>
      <c r="AD163" s="81">
        <f t="shared" si="82"/>
        <v>0</v>
      </c>
      <c r="AE163" s="81">
        <f t="shared" si="82"/>
        <v>0</v>
      </c>
      <c r="AF163" s="81">
        <f t="shared" si="82"/>
        <v>0</v>
      </c>
      <c r="AG163" s="81">
        <f t="shared" si="82"/>
        <v>0</v>
      </c>
      <c r="AH163" s="81">
        <v>0</v>
      </c>
      <c r="AI163" s="81">
        <f t="shared" si="82"/>
        <v>852514440</v>
      </c>
      <c r="AJ163" s="81">
        <f t="shared" si="82"/>
        <v>2694572360</v>
      </c>
      <c r="AK163" s="796"/>
      <c r="AL163" s="796"/>
      <c r="AM163" s="796"/>
      <c r="AN163" s="799"/>
    </row>
    <row r="164" spans="1:42" s="90" customFormat="1" ht="24.75" hidden="1" customHeight="1" outlineLevel="1">
      <c r="A164" s="35"/>
      <c r="B164" s="35"/>
      <c r="C164" s="35"/>
      <c r="D164" s="35"/>
      <c r="E164" s="35"/>
      <c r="F164" s="36"/>
      <c r="G164" s="36"/>
      <c r="H164" s="37"/>
      <c r="I164" s="36"/>
      <c r="J164" s="36"/>
      <c r="K164" s="36"/>
      <c r="L164" s="35"/>
      <c r="M164" s="38"/>
      <c r="N164" s="39"/>
      <c r="O164" s="39"/>
      <c r="P164" s="39"/>
      <c r="Q164" s="46"/>
      <c r="R164" s="42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796"/>
      <c r="AL164" s="796"/>
      <c r="AM164" s="796"/>
      <c r="AN164" s="799"/>
    </row>
    <row r="165" spans="1:42" s="84" customFormat="1" ht="24.75" hidden="1" customHeight="1" outlineLevel="1">
      <c r="A165" s="36"/>
      <c r="B165" s="82"/>
      <c r="C165" s="82"/>
      <c r="D165" s="36"/>
      <c r="E165" s="36"/>
      <c r="F165" s="36"/>
      <c r="G165" s="36"/>
      <c r="H165" s="37"/>
      <c r="I165" s="36"/>
      <c r="J165" s="36"/>
      <c r="K165" s="36"/>
      <c r="L165" s="82"/>
      <c r="N165" s="83"/>
      <c r="O165" s="39"/>
      <c r="P165" s="39"/>
      <c r="Q165" s="85" t="s">
        <v>170</v>
      </c>
      <c r="R165" s="86"/>
      <c r="S165" s="88">
        <f t="shared" ref="S165:U165" si="83">S163+S155+S149</f>
        <v>9126356800</v>
      </c>
      <c r="T165" s="88">
        <f t="shared" ref="T165" si="84">T163+T155+T149</f>
        <v>0</v>
      </c>
      <c r="U165" s="88">
        <f t="shared" si="83"/>
        <v>1852541095.3333302</v>
      </c>
      <c r="V165" s="88">
        <f t="shared" ref="V165:AJ165" si="85">V163+V155+V149</f>
        <v>0</v>
      </c>
      <c r="W165" s="88">
        <f t="shared" si="85"/>
        <v>0</v>
      </c>
      <c r="X165" s="88">
        <f t="shared" si="85"/>
        <v>0</v>
      </c>
      <c r="Y165" s="88">
        <f t="shared" si="85"/>
        <v>0</v>
      </c>
      <c r="Z165" s="88">
        <f t="shared" si="85"/>
        <v>0</v>
      </c>
      <c r="AA165" s="88">
        <f t="shared" si="85"/>
        <v>0</v>
      </c>
      <c r="AB165" s="88">
        <f t="shared" si="85"/>
        <v>0</v>
      </c>
      <c r="AC165" s="88">
        <f t="shared" si="85"/>
        <v>0</v>
      </c>
      <c r="AD165" s="88">
        <f t="shared" si="85"/>
        <v>0</v>
      </c>
      <c r="AE165" s="88">
        <f t="shared" si="85"/>
        <v>0</v>
      </c>
      <c r="AF165" s="88">
        <f t="shared" si="85"/>
        <v>0</v>
      </c>
      <c r="AG165" s="88">
        <f t="shared" si="85"/>
        <v>0</v>
      </c>
      <c r="AH165" s="88">
        <v>1002676489</v>
      </c>
      <c r="AI165" s="88">
        <f t="shared" si="85"/>
        <v>1852541095.3333302</v>
      </c>
      <c r="AJ165" s="88">
        <f t="shared" si="85"/>
        <v>7273815704.6666698</v>
      </c>
      <c r="AK165" s="796"/>
      <c r="AL165" s="796"/>
      <c r="AM165" s="796"/>
      <c r="AN165" s="799"/>
    </row>
    <row r="166" spans="1:42" s="90" customFormat="1" ht="24.75" hidden="1" customHeight="1" outlineLevel="1">
      <c r="A166" s="36"/>
      <c r="B166" s="82"/>
      <c r="C166" s="82"/>
      <c r="D166" s="36"/>
      <c r="E166" s="36"/>
      <c r="F166" s="36"/>
      <c r="G166" s="36"/>
      <c r="H166" s="37"/>
      <c r="I166" s="36"/>
      <c r="J166" s="36"/>
      <c r="K166" s="36"/>
      <c r="L166" s="82"/>
      <c r="M166" s="84"/>
      <c r="N166" s="83"/>
      <c r="O166" s="39"/>
      <c r="P166" s="39"/>
      <c r="Q166" s="91"/>
      <c r="R166" s="87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796"/>
      <c r="AL166" s="796"/>
      <c r="AM166" s="796"/>
      <c r="AN166" s="799"/>
    </row>
    <row r="167" spans="1:42" s="84" customFormat="1" ht="24.75" hidden="1" customHeight="1" outlineLevel="1">
      <c r="A167" s="36"/>
      <c r="B167" s="82"/>
      <c r="C167" s="82"/>
      <c r="D167" s="36"/>
      <c r="E167" s="36"/>
      <c r="F167" s="36"/>
      <c r="G167" s="36"/>
      <c r="H167" s="37"/>
      <c r="I167" s="36"/>
      <c r="J167" s="36"/>
      <c r="K167" s="36"/>
      <c r="L167" s="82"/>
      <c r="N167" s="83"/>
      <c r="O167" s="39"/>
      <c r="P167" s="39"/>
      <c r="Q167" s="85" t="s">
        <v>171</v>
      </c>
      <c r="R167" s="86"/>
      <c r="S167" s="88">
        <f t="shared" ref="S167:AJ167" si="86">S165+S138+S123+S109+S89+S69+S43+S25</f>
        <v>22148740800</v>
      </c>
      <c r="T167" s="88">
        <f t="shared" si="86"/>
        <v>0</v>
      </c>
      <c r="U167" s="88">
        <f t="shared" si="86"/>
        <v>3741396682.9999971</v>
      </c>
      <c r="V167" s="88">
        <f t="shared" si="86"/>
        <v>330943961</v>
      </c>
      <c r="W167" s="88">
        <f t="shared" si="86"/>
        <v>0</v>
      </c>
      <c r="X167" s="88">
        <f t="shared" si="86"/>
        <v>0</v>
      </c>
      <c r="Y167" s="88">
        <f t="shared" si="86"/>
        <v>0</v>
      </c>
      <c r="Z167" s="88">
        <f t="shared" si="86"/>
        <v>0</v>
      </c>
      <c r="AA167" s="88">
        <f t="shared" si="86"/>
        <v>0</v>
      </c>
      <c r="AB167" s="88">
        <f t="shared" si="86"/>
        <v>0</v>
      </c>
      <c r="AC167" s="88">
        <f t="shared" si="86"/>
        <v>0</v>
      </c>
      <c r="AD167" s="88">
        <f t="shared" si="86"/>
        <v>0</v>
      </c>
      <c r="AE167" s="88">
        <f t="shared" si="86"/>
        <v>0</v>
      </c>
      <c r="AF167" s="88">
        <f t="shared" si="86"/>
        <v>0</v>
      </c>
      <c r="AG167" s="88">
        <f t="shared" si="86"/>
        <v>0</v>
      </c>
      <c r="AH167" s="88">
        <v>1798080313</v>
      </c>
      <c r="AI167" s="88">
        <f t="shared" si="86"/>
        <v>3410452721.9999971</v>
      </c>
      <c r="AJ167" s="88">
        <f t="shared" si="86"/>
        <v>18407344117.000004</v>
      </c>
      <c r="AK167" s="796"/>
      <c r="AL167" s="796"/>
      <c r="AM167" s="796"/>
      <c r="AN167" s="799"/>
    </row>
    <row r="168" spans="1:42" s="84" customFormat="1" ht="24.75" hidden="1" customHeight="1" outlineLevel="1">
      <c r="A168" s="36"/>
      <c r="B168" s="82"/>
      <c r="C168" s="82"/>
      <c r="D168" s="36"/>
      <c r="E168" s="36"/>
      <c r="F168" s="36"/>
      <c r="G168" s="36"/>
      <c r="H168" s="37"/>
      <c r="I168" s="36"/>
      <c r="J168" s="36"/>
      <c r="K168" s="36"/>
      <c r="L168" s="82"/>
      <c r="N168" s="83"/>
      <c r="O168" s="39"/>
      <c r="P168" s="39"/>
      <c r="Q168" s="91"/>
      <c r="R168" s="87"/>
      <c r="S168" s="92"/>
      <c r="T168" s="92"/>
      <c r="U168" s="92"/>
      <c r="V168" s="92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2"/>
      <c r="AJ168" s="92"/>
      <c r="AK168" s="796"/>
      <c r="AL168" s="796"/>
      <c r="AM168" s="796"/>
      <c r="AN168" s="799"/>
    </row>
    <row r="169" spans="1:42" s="18" customFormat="1" ht="25.5" hidden="1" customHeight="1" outlineLevel="1">
      <c r="A169" s="36"/>
      <c r="B169" s="36"/>
      <c r="C169" s="36"/>
      <c r="D169" s="36"/>
      <c r="E169" s="36"/>
      <c r="F169" s="36"/>
      <c r="G169" s="36"/>
      <c r="H169" s="37"/>
      <c r="I169" s="36"/>
      <c r="J169" s="36"/>
      <c r="K169" s="36"/>
      <c r="L169" s="36"/>
      <c r="M169" s="95"/>
      <c r="N169" s="37"/>
      <c r="O169" s="39"/>
      <c r="P169" s="39"/>
      <c r="Q169" s="96" t="s">
        <v>172</v>
      </c>
      <c r="R169" s="50"/>
      <c r="S169" s="97"/>
      <c r="T169" s="97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796"/>
      <c r="AL169" s="796"/>
      <c r="AM169" s="796"/>
      <c r="AN169" s="799"/>
    </row>
    <row r="170" spans="1:42" s="33" customFormat="1" ht="25.5" hidden="1" customHeight="1" outlineLevel="2">
      <c r="A170" s="35"/>
      <c r="B170" s="35"/>
      <c r="C170" s="35"/>
      <c r="D170" s="35"/>
      <c r="E170" s="35"/>
      <c r="F170" s="36"/>
      <c r="G170" s="36"/>
      <c r="H170" s="37"/>
      <c r="I170" s="36"/>
      <c r="J170" s="36"/>
      <c r="K170" s="36"/>
      <c r="L170" s="35"/>
      <c r="M170" s="38"/>
      <c r="N170" s="39"/>
      <c r="O170" s="39"/>
      <c r="P170" s="39"/>
      <c r="Q170" s="17" t="s">
        <v>32</v>
      </c>
      <c r="R170" s="50"/>
      <c r="S170" s="51"/>
      <c r="T170" s="51"/>
      <c r="U170" s="52"/>
      <c r="V170" s="52"/>
      <c r="W170" s="52"/>
      <c r="X170" s="52"/>
      <c r="Y170" s="52"/>
      <c r="Z170" s="53"/>
      <c r="AA170" s="53"/>
      <c r="AB170" s="53"/>
      <c r="AC170" s="53"/>
      <c r="AD170" s="53"/>
      <c r="AE170" s="53"/>
      <c r="AF170" s="53"/>
      <c r="AG170" s="53"/>
      <c r="AH170" s="53"/>
      <c r="AI170" s="52"/>
      <c r="AJ170" s="52"/>
      <c r="AK170" s="796"/>
      <c r="AL170" s="796"/>
      <c r="AM170" s="796"/>
      <c r="AN170" s="799"/>
    </row>
    <row r="171" spans="1:42" s="33" customFormat="1" ht="25.5" hidden="1" customHeight="1" outlineLevel="2">
      <c r="A171" s="19"/>
      <c r="B171" s="19">
        <v>31</v>
      </c>
      <c r="C171" s="19"/>
      <c r="D171" s="19" t="s">
        <v>33</v>
      </c>
      <c r="E171" s="19" t="s">
        <v>34</v>
      </c>
      <c r="F171" s="19" t="s">
        <v>35</v>
      </c>
      <c r="G171" s="20" t="s">
        <v>36</v>
      </c>
      <c r="H171" s="21" t="s">
        <v>37</v>
      </c>
      <c r="I171" s="19" t="s">
        <v>173</v>
      </c>
      <c r="J171" s="19" t="s">
        <v>174</v>
      </c>
      <c r="K171" s="22">
        <v>9</v>
      </c>
      <c r="L171" s="19" t="s">
        <v>46</v>
      </c>
      <c r="M171" s="23" t="s">
        <v>40</v>
      </c>
      <c r="N171" s="21">
        <v>30080460</v>
      </c>
      <c r="O171" s="21" t="s">
        <v>754</v>
      </c>
      <c r="P171" s="21"/>
      <c r="Q171" s="23" t="s">
        <v>175</v>
      </c>
      <c r="R171" s="24"/>
      <c r="S171" s="26">
        <v>394331499</v>
      </c>
      <c r="T171" s="30">
        <v>357098349</v>
      </c>
      <c r="U171" s="30">
        <v>37233150</v>
      </c>
      <c r="V171" s="285">
        <f t="shared" si="65"/>
        <v>0</v>
      </c>
      <c r="W171" s="29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>
        <v>0</v>
      </c>
      <c r="AI171" s="30">
        <f t="shared" si="66"/>
        <v>37233150</v>
      </c>
      <c r="AJ171" s="30">
        <f>+S171-T171-V171-AI171</f>
        <v>0</v>
      </c>
      <c r="AK171" s="796" t="s">
        <v>43</v>
      </c>
      <c r="AL171" s="796" t="s">
        <v>44</v>
      </c>
      <c r="AM171" s="796"/>
      <c r="AN171" s="799"/>
    </row>
    <row r="172" spans="1:42" s="33" customFormat="1" ht="25.5" hidden="1" customHeight="1" outlineLevel="2">
      <c r="A172" s="19"/>
      <c r="B172" s="19">
        <v>31</v>
      </c>
      <c r="C172" s="19"/>
      <c r="D172" s="19" t="s">
        <v>33</v>
      </c>
      <c r="E172" s="19" t="s">
        <v>34</v>
      </c>
      <c r="F172" s="19" t="s">
        <v>35</v>
      </c>
      <c r="G172" s="20" t="s">
        <v>49</v>
      </c>
      <c r="H172" s="21" t="s">
        <v>61</v>
      </c>
      <c r="I172" s="19" t="s">
        <v>173</v>
      </c>
      <c r="J172" s="19" t="s">
        <v>174</v>
      </c>
      <c r="K172" s="22">
        <v>9</v>
      </c>
      <c r="L172" s="19" t="s">
        <v>131</v>
      </c>
      <c r="M172" s="23" t="s">
        <v>40</v>
      </c>
      <c r="N172" s="21">
        <v>30104476</v>
      </c>
      <c r="O172" s="21" t="s">
        <v>754</v>
      </c>
      <c r="P172" s="21"/>
      <c r="Q172" s="23" t="s">
        <v>176</v>
      </c>
      <c r="R172" s="24"/>
      <c r="S172" s="26">
        <v>1111238000</v>
      </c>
      <c r="T172" s="30">
        <v>234779699</v>
      </c>
      <c r="U172" s="30">
        <v>400000000</v>
      </c>
      <c r="V172" s="285">
        <f t="shared" si="65"/>
        <v>40060970</v>
      </c>
      <c r="W172" s="29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>
        <v>40060970</v>
      </c>
      <c r="AI172" s="30">
        <f t="shared" si="66"/>
        <v>359939030</v>
      </c>
      <c r="AJ172" s="30">
        <f>+S172-T172-V172-AI172</f>
        <v>476458301</v>
      </c>
      <c r="AK172" s="796" t="s">
        <v>43</v>
      </c>
      <c r="AL172" s="796" t="s">
        <v>44</v>
      </c>
      <c r="AM172" s="796"/>
      <c r="AN172" s="799"/>
    </row>
    <row r="173" spans="1:42" s="38" customFormat="1" ht="25.5" hidden="1" customHeight="1" outlineLevel="1">
      <c r="A173" s="35"/>
      <c r="B173" s="35"/>
      <c r="C173" s="35"/>
      <c r="D173" s="35"/>
      <c r="E173" s="35"/>
      <c r="F173" s="36"/>
      <c r="G173" s="36"/>
      <c r="H173" s="37"/>
      <c r="I173" s="36"/>
      <c r="J173" s="36"/>
      <c r="K173" s="36"/>
      <c r="L173" s="35"/>
      <c r="N173" s="39"/>
      <c r="O173" s="39"/>
      <c r="P173" s="39"/>
      <c r="Q173" s="132" t="s">
        <v>58</v>
      </c>
      <c r="R173" s="41"/>
      <c r="S173" s="133">
        <f t="shared" ref="S173:V173" si="87">SUBTOTAL(9,S171:S172)</f>
        <v>0</v>
      </c>
      <c r="T173" s="133">
        <f t="shared" ref="T173" si="88">SUBTOTAL(9,T171:T172)</f>
        <v>0</v>
      </c>
      <c r="U173" s="133">
        <f t="shared" si="87"/>
        <v>0</v>
      </c>
      <c r="V173" s="133">
        <f t="shared" si="87"/>
        <v>0</v>
      </c>
      <c r="W173" s="133">
        <f t="shared" ref="W173:AG173" si="89">SUBTOTAL(9,W171:W172)</f>
        <v>0</v>
      </c>
      <c r="X173" s="133">
        <f t="shared" si="89"/>
        <v>0</v>
      </c>
      <c r="Y173" s="133">
        <f t="shared" si="89"/>
        <v>0</v>
      </c>
      <c r="Z173" s="133">
        <f t="shared" si="89"/>
        <v>0</v>
      </c>
      <c r="AA173" s="133">
        <f t="shared" si="89"/>
        <v>0</v>
      </c>
      <c r="AB173" s="133">
        <f t="shared" si="89"/>
        <v>0</v>
      </c>
      <c r="AC173" s="133">
        <f t="shared" si="89"/>
        <v>0</v>
      </c>
      <c r="AD173" s="133">
        <f t="shared" si="89"/>
        <v>0</v>
      </c>
      <c r="AE173" s="133">
        <f t="shared" si="89"/>
        <v>0</v>
      </c>
      <c r="AF173" s="133">
        <f t="shared" si="89"/>
        <v>0</v>
      </c>
      <c r="AG173" s="133">
        <f t="shared" si="89"/>
        <v>0</v>
      </c>
      <c r="AH173" s="133">
        <v>40060970</v>
      </c>
      <c r="AI173" s="133">
        <f t="shared" ref="AI173:AJ173" si="90">SUBTOTAL(9,AI171:AI172)</f>
        <v>0</v>
      </c>
      <c r="AJ173" s="133">
        <f t="shared" si="90"/>
        <v>0</v>
      </c>
      <c r="AK173" s="796"/>
      <c r="AL173" s="796" t="s">
        <v>90</v>
      </c>
      <c r="AM173" s="796"/>
      <c r="AN173" s="799"/>
    </row>
    <row r="174" spans="1:42" s="18" customFormat="1" ht="25.5" hidden="1" customHeight="1" outlineLevel="1">
      <c r="A174" s="35"/>
      <c r="B174" s="35"/>
      <c r="C174" s="35"/>
      <c r="D174" s="35"/>
      <c r="E174" s="35"/>
      <c r="F174" s="36"/>
      <c r="G174" s="36"/>
      <c r="H174" s="37"/>
      <c r="I174" s="36"/>
      <c r="J174" s="36"/>
      <c r="K174" s="36"/>
      <c r="L174" s="35"/>
      <c r="M174" s="38"/>
      <c r="N174" s="39"/>
      <c r="O174" s="39"/>
      <c r="P174" s="39"/>
      <c r="Q174" s="46"/>
      <c r="R174" s="42"/>
      <c r="S174" s="47"/>
      <c r="T174" s="47"/>
      <c r="U174" s="47"/>
      <c r="V174" s="47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7"/>
      <c r="AJ174" s="47"/>
      <c r="AK174" s="796"/>
      <c r="AL174" s="796"/>
      <c r="AM174" s="796"/>
      <c r="AN174" s="799"/>
    </row>
    <row r="175" spans="1:42" s="33" customFormat="1" ht="25.5" hidden="1" customHeight="1" outlineLevel="2">
      <c r="A175" s="35"/>
      <c r="B175" s="35"/>
      <c r="C175" s="35"/>
      <c r="D175" s="35"/>
      <c r="E175" s="35"/>
      <c r="F175" s="36"/>
      <c r="G175" s="36"/>
      <c r="H175" s="37"/>
      <c r="I175" s="36"/>
      <c r="J175" s="36"/>
      <c r="K175" s="36"/>
      <c r="L175" s="35"/>
      <c r="M175" s="38"/>
      <c r="N175" s="39"/>
      <c r="O175" s="39"/>
      <c r="P175" s="39"/>
      <c r="Q175" s="17" t="s">
        <v>59</v>
      </c>
      <c r="R175" s="50"/>
      <c r="S175" s="51"/>
      <c r="T175" s="51"/>
      <c r="U175" s="52"/>
      <c r="V175" s="52"/>
      <c r="W175" s="52"/>
      <c r="X175" s="52"/>
      <c r="Y175" s="52"/>
      <c r="Z175" s="53"/>
      <c r="AA175" s="53"/>
      <c r="AB175" s="53"/>
      <c r="AC175" s="53"/>
      <c r="AD175" s="53"/>
      <c r="AE175" s="53"/>
      <c r="AF175" s="53"/>
      <c r="AG175" s="53"/>
      <c r="AH175" s="53"/>
      <c r="AI175" s="52"/>
      <c r="AJ175" s="52"/>
      <c r="AK175" s="796"/>
      <c r="AL175" s="796"/>
      <c r="AM175" s="796"/>
      <c r="AN175" s="799"/>
    </row>
    <row r="176" spans="1:42" s="33" customFormat="1" ht="25.5" hidden="1" customHeight="1" outlineLevel="2">
      <c r="A176" s="54"/>
      <c r="B176" s="54">
        <v>31</v>
      </c>
      <c r="C176" s="54"/>
      <c r="D176" s="54" t="s">
        <v>33</v>
      </c>
      <c r="E176" s="54" t="s">
        <v>60</v>
      </c>
      <c r="F176" s="54" t="s">
        <v>84</v>
      </c>
      <c r="G176" s="55" t="s">
        <v>49</v>
      </c>
      <c r="H176" s="56" t="s">
        <v>85</v>
      </c>
      <c r="I176" s="54" t="s">
        <v>173</v>
      </c>
      <c r="J176" s="54" t="s">
        <v>174</v>
      </c>
      <c r="K176" s="57">
        <v>9</v>
      </c>
      <c r="L176" s="54" t="s">
        <v>46</v>
      </c>
      <c r="M176" s="58" t="s">
        <v>56</v>
      </c>
      <c r="N176" s="56">
        <v>30080922</v>
      </c>
      <c r="O176" s="56" t="s">
        <v>754</v>
      </c>
      <c r="P176" s="56"/>
      <c r="Q176" s="58" t="s">
        <v>177</v>
      </c>
      <c r="R176" s="24"/>
      <c r="S176" s="59">
        <v>23524000</v>
      </c>
      <c r="T176" s="60">
        <v>5964000</v>
      </c>
      <c r="U176" s="60">
        <v>10000000</v>
      </c>
      <c r="V176" s="292">
        <f t="shared" si="65"/>
        <v>0</v>
      </c>
      <c r="W176" s="29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>
        <v>0</v>
      </c>
      <c r="AI176" s="60">
        <f t="shared" si="66"/>
        <v>10000000</v>
      </c>
      <c r="AJ176" s="60">
        <f t="shared" ref="AJ176:AJ183" si="91">+S176-T176-V176-AI176</f>
        <v>7560000</v>
      </c>
      <c r="AK176" s="796" t="s">
        <v>43</v>
      </c>
      <c r="AL176" s="796" t="s">
        <v>162</v>
      </c>
      <c r="AM176" s="796"/>
      <c r="AN176" s="799"/>
    </row>
    <row r="177" spans="1:42" s="33" customFormat="1" ht="25.5" hidden="1" customHeight="1" outlineLevel="2">
      <c r="A177" s="54"/>
      <c r="B177" s="54">
        <v>31</v>
      </c>
      <c r="C177" s="54"/>
      <c r="D177" s="54" t="s">
        <v>33</v>
      </c>
      <c r="E177" s="54" t="s">
        <v>60</v>
      </c>
      <c r="F177" s="54" t="s">
        <v>84</v>
      </c>
      <c r="G177" s="55" t="s">
        <v>49</v>
      </c>
      <c r="H177" s="56" t="s">
        <v>85</v>
      </c>
      <c r="I177" s="54" t="s">
        <v>173</v>
      </c>
      <c r="J177" s="54" t="s">
        <v>174</v>
      </c>
      <c r="K177" s="57">
        <v>9</v>
      </c>
      <c r="L177" s="54" t="s">
        <v>46</v>
      </c>
      <c r="M177" s="58" t="s">
        <v>56</v>
      </c>
      <c r="N177" s="56">
        <v>30080921</v>
      </c>
      <c r="O177" s="56" t="s">
        <v>754</v>
      </c>
      <c r="P177" s="56"/>
      <c r="Q177" s="58" t="s">
        <v>178</v>
      </c>
      <c r="R177" s="24"/>
      <c r="S177" s="59">
        <v>22645000</v>
      </c>
      <c r="T177" s="60">
        <v>0</v>
      </c>
      <c r="U177" s="60">
        <v>10000000</v>
      </c>
      <c r="V177" s="292">
        <f t="shared" si="65"/>
        <v>6150000</v>
      </c>
      <c r="W177" s="29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>
        <v>6150000</v>
      </c>
      <c r="AI177" s="60">
        <f t="shared" si="66"/>
        <v>3850000</v>
      </c>
      <c r="AJ177" s="60">
        <f t="shared" si="91"/>
        <v>12645000</v>
      </c>
      <c r="AK177" s="796" t="s">
        <v>43</v>
      </c>
      <c r="AL177" s="796" t="s">
        <v>162</v>
      </c>
      <c r="AM177" s="796"/>
      <c r="AN177" s="799"/>
    </row>
    <row r="178" spans="1:42" s="18" customFormat="1" ht="25.5" hidden="1" customHeight="1" outlineLevel="1" collapsed="1">
      <c r="A178" s="54"/>
      <c r="B178" s="54">
        <v>31</v>
      </c>
      <c r="C178" s="54"/>
      <c r="D178" s="54" t="s">
        <v>33</v>
      </c>
      <c r="E178" s="54" t="s">
        <v>60</v>
      </c>
      <c r="F178" s="54" t="s">
        <v>84</v>
      </c>
      <c r="G178" s="55" t="s">
        <v>49</v>
      </c>
      <c r="H178" s="56" t="s">
        <v>85</v>
      </c>
      <c r="I178" s="54" t="s">
        <v>173</v>
      </c>
      <c r="J178" s="54" t="s">
        <v>174</v>
      </c>
      <c r="K178" s="57">
        <v>9</v>
      </c>
      <c r="L178" s="54" t="s">
        <v>46</v>
      </c>
      <c r="M178" s="58" t="s">
        <v>56</v>
      </c>
      <c r="N178" s="56">
        <v>30270222</v>
      </c>
      <c r="O178" s="56" t="s">
        <v>754</v>
      </c>
      <c r="P178" s="56"/>
      <c r="Q178" s="58" t="s">
        <v>179</v>
      </c>
      <c r="R178" s="24"/>
      <c r="S178" s="59">
        <v>22000000</v>
      </c>
      <c r="T178" s="60">
        <v>5964000</v>
      </c>
      <c r="U178" s="60">
        <v>10000000</v>
      </c>
      <c r="V178" s="292">
        <f t="shared" si="65"/>
        <v>0</v>
      </c>
      <c r="W178" s="29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>
        <v>0</v>
      </c>
      <c r="AI178" s="60">
        <f t="shared" si="66"/>
        <v>10000000</v>
      </c>
      <c r="AJ178" s="60">
        <f t="shared" si="91"/>
        <v>6036000</v>
      </c>
      <c r="AK178" s="796" t="s">
        <v>43</v>
      </c>
      <c r="AL178" s="796" t="s">
        <v>162</v>
      </c>
      <c r="AM178" s="796"/>
      <c r="AN178" s="799"/>
    </row>
    <row r="179" spans="1:42" s="18" customFormat="1" ht="25.5" customHeight="1" outlineLevel="1">
      <c r="A179" s="54"/>
      <c r="B179" s="801">
        <v>31</v>
      </c>
      <c r="C179" s="729"/>
      <c r="D179" s="54" t="s">
        <v>33</v>
      </c>
      <c r="E179" s="801" t="s">
        <v>60</v>
      </c>
      <c r="F179" s="729" t="s">
        <v>35</v>
      </c>
      <c r="G179" s="55" t="s">
        <v>180</v>
      </c>
      <c r="H179" s="56" t="s">
        <v>72</v>
      </c>
      <c r="I179" s="801" t="s">
        <v>173</v>
      </c>
      <c r="J179" s="801" t="s">
        <v>174</v>
      </c>
      <c r="K179" s="57">
        <v>9</v>
      </c>
      <c r="L179" s="54" t="s">
        <v>46</v>
      </c>
      <c r="M179" s="802" t="s">
        <v>40</v>
      </c>
      <c r="N179" s="803">
        <v>30429872</v>
      </c>
      <c r="O179" s="770" t="s">
        <v>684</v>
      </c>
      <c r="P179" s="56"/>
      <c r="Q179" s="802" t="s">
        <v>181</v>
      </c>
      <c r="R179" s="24"/>
      <c r="S179" s="804">
        <v>445639000</v>
      </c>
      <c r="T179" s="805">
        <v>0</v>
      </c>
      <c r="U179" s="805">
        <v>250546333.33333299</v>
      </c>
      <c r="V179" s="805">
        <f t="shared" si="65"/>
        <v>0</v>
      </c>
      <c r="W179" s="29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>
        <v>0</v>
      </c>
      <c r="AI179" s="805">
        <f t="shared" si="66"/>
        <v>250546333.33333299</v>
      </c>
      <c r="AJ179" s="805">
        <f t="shared" si="91"/>
        <v>195092666.66666701</v>
      </c>
      <c r="AK179" s="806" t="s">
        <v>43</v>
      </c>
      <c r="AL179" s="806" t="s">
        <v>759</v>
      </c>
      <c r="AM179" s="806" t="str">
        <f>HYPERLINK(CONCATENATE("DOCUMENTOS\ACTA-",N179,".PDF"))</f>
        <v>DOCUMENTOS\ACTA-30429872.PDF</v>
      </c>
      <c r="AN179" s="807"/>
      <c r="AO179" s="33" t="e">
        <f>VLOOKUP(N179,'CONVENIOS 2021'!A$1:A$53,1,FALSE)</f>
        <v>#N/A</v>
      </c>
      <c r="AP179" s="33" t="e">
        <f>VLOOKUP(N179,'CONVENIOS 2020'!A$2:A$72,1,FALSE)</f>
        <v>#N/A</v>
      </c>
    </row>
    <row r="180" spans="1:42" s="18" customFormat="1" ht="25.5" hidden="1" customHeight="1" outlineLevel="1">
      <c r="A180" s="54"/>
      <c r="B180" s="782">
        <v>31</v>
      </c>
      <c r="C180" s="54"/>
      <c r="D180" s="54" t="s">
        <v>33</v>
      </c>
      <c r="E180" s="782" t="s">
        <v>60</v>
      </c>
      <c r="F180" s="54" t="s">
        <v>35</v>
      </c>
      <c r="G180" s="55" t="s">
        <v>49</v>
      </c>
      <c r="H180" s="56" t="s">
        <v>50</v>
      </c>
      <c r="I180" s="782" t="s">
        <v>173</v>
      </c>
      <c r="J180" s="782" t="s">
        <v>174</v>
      </c>
      <c r="K180" s="57">
        <v>9</v>
      </c>
      <c r="L180" s="54" t="s">
        <v>46</v>
      </c>
      <c r="M180" s="783" t="s">
        <v>40</v>
      </c>
      <c r="N180" s="784">
        <v>30077490</v>
      </c>
      <c r="O180" s="56" t="s">
        <v>684</v>
      </c>
      <c r="P180" s="56"/>
      <c r="Q180" s="783" t="s">
        <v>182</v>
      </c>
      <c r="R180" s="24" t="s">
        <v>665</v>
      </c>
      <c r="S180" s="785">
        <v>2686063000</v>
      </c>
      <c r="T180" s="786">
        <v>1007486</v>
      </c>
      <c r="U180" s="786">
        <v>300695500</v>
      </c>
      <c r="V180" s="787">
        <f t="shared" si="65"/>
        <v>0</v>
      </c>
      <c r="W180" s="29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>
        <v>0</v>
      </c>
      <c r="AI180" s="786">
        <f t="shared" si="66"/>
        <v>300695500</v>
      </c>
      <c r="AJ180" s="786">
        <f t="shared" si="91"/>
        <v>2384360014</v>
      </c>
      <c r="AK180" s="796" t="s">
        <v>43</v>
      </c>
      <c r="AL180" s="796" t="s">
        <v>63</v>
      </c>
      <c r="AM180" s="796"/>
      <c r="AN180" s="799"/>
    </row>
    <row r="181" spans="1:42" s="18" customFormat="1" ht="25.5" customHeight="1" outlineLevel="1">
      <c r="A181" s="54"/>
      <c r="B181" s="801">
        <v>31</v>
      </c>
      <c r="C181" s="729"/>
      <c r="D181" s="54" t="s">
        <v>33</v>
      </c>
      <c r="E181" s="801" t="s">
        <v>60</v>
      </c>
      <c r="F181" s="729" t="s">
        <v>35</v>
      </c>
      <c r="G181" s="55" t="s">
        <v>49</v>
      </c>
      <c r="H181" s="56" t="s">
        <v>45</v>
      </c>
      <c r="I181" s="801" t="s">
        <v>173</v>
      </c>
      <c r="J181" s="801" t="s">
        <v>174</v>
      </c>
      <c r="K181" s="57">
        <v>9</v>
      </c>
      <c r="L181" s="54" t="s">
        <v>46</v>
      </c>
      <c r="M181" s="802" t="s">
        <v>40</v>
      </c>
      <c r="N181" s="803">
        <v>30115395</v>
      </c>
      <c r="O181" s="770" t="s">
        <v>684</v>
      </c>
      <c r="P181" s="56"/>
      <c r="Q181" s="802" t="s">
        <v>183</v>
      </c>
      <c r="R181" s="24"/>
      <c r="S181" s="804">
        <v>929015000</v>
      </c>
      <c r="T181" s="805">
        <v>0</v>
      </c>
      <c r="U181" s="805">
        <v>300671666.66666698</v>
      </c>
      <c r="V181" s="805">
        <f t="shared" si="65"/>
        <v>0</v>
      </c>
      <c r="W181" s="29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>
        <v>0</v>
      </c>
      <c r="AI181" s="805">
        <f t="shared" si="66"/>
        <v>300671666.66666698</v>
      </c>
      <c r="AJ181" s="805">
        <f t="shared" si="91"/>
        <v>628343333.33333302</v>
      </c>
      <c r="AK181" s="806" t="s">
        <v>43</v>
      </c>
      <c r="AL181" s="806" t="s">
        <v>767</v>
      </c>
      <c r="AM181" s="806"/>
      <c r="AN181" s="807">
        <v>44238</v>
      </c>
      <c r="AO181" s="33" t="e">
        <f>VLOOKUP(N181,'CONVENIOS 2021'!A$1:A$53,1,FALSE)</f>
        <v>#N/A</v>
      </c>
      <c r="AP181" s="33" t="e">
        <f>VLOOKUP(N181,'CONVENIOS 2020'!A$2:A$72,1,FALSE)</f>
        <v>#N/A</v>
      </c>
    </row>
    <row r="182" spans="1:42" s="33" customFormat="1" ht="25.5" customHeight="1" outlineLevel="2">
      <c r="A182" s="54"/>
      <c r="B182" s="801">
        <v>31</v>
      </c>
      <c r="C182" s="729"/>
      <c r="D182" s="54" t="s">
        <v>33</v>
      </c>
      <c r="E182" s="801" t="s">
        <v>60</v>
      </c>
      <c r="F182" s="729" t="s">
        <v>35</v>
      </c>
      <c r="G182" s="55" t="s">
        <v>36</v>
      </c>
      <c r="H182" s="56" t="s">
        <v>64</v>
      </c>
      <c r="I182" s="801" t="s">
        <v>173</v>
      </c>
      <c r="J182" s="801" t="s">
        <v>174</v>
      </c>
      <c r="K182" s="57">
        <v>9</v>
      </c>
      <c r="L182" s="54" t="s">
        <v>46</v>
      </c>
      <c r="M182" s="802" t="s">
        <v>40</v>
      </c>
      <c r="N182" s="803">
        <v>40012877</v>
      </c>
      <c r="O182" s="770" t="s">
        <v>754</v>
      </c>
      <c r="P182" s="56"/>
      <c r="Q182" s="802" t="s">
        <v>184</v>
      </c>
      <c r="R182" s="24"/>
      <c r="S182" s="804">
        <v>525598000</v>
      </c>
      <c r="T182" s="805">
        <v>0</v>
      </c>
      <c r="U182" s="805">
        <v>300199333.33333302</v>
      </c>
      <c r="V182" s="805">
        <f t="shared" si="65"/>
        <v>0</v>
      </c>
      <c r="W182" s="29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>
        <v>0</v>
      </c>
      <c r="AI182" s="805">
        <f t="shared" si="66"/>
        <v>300199333.33333302</v>
      </c>
      <c r="AJ182" s="805">
        <f t="shared" si="91"/>
        <v>225398666.66666698</v>
      </c>
      <c r="AK182" s="806" t="s">
        <v>43</v>
      </c>
      <c r="AL182" s="806" t="s">
        <v>759</v>
      </c>
      <c r="AM182" s="806" t="str">
        <f t="shared" ref="AM181:AM182" si="92">HYPERLINK(CONCATENATE("DOCUMENTOS\ACTA-",N182,".PDF"))</f>
        <v>DOCUMENTOS\ACTA-40012877.PDF</v>
      </c>
      <c r="AN182" s="807"/>
      <c r="AO182" s="33" t="e">
        <f>VLOOKUP(N182,'CONVENIOS 2021'!A$1:A$53,1,FALSE)</f>
        <v>#N/A</v>
      </c>
      <c r="AP182" s="33" t="e">
        <f>VLOOKUP(N182,'CONVENIOS 2020'!A$2:A$72,1,FALSE)</f>
        <v>#N/A</v>
      </c>
    </row>
    <row r="183" spans="1:42" s="18" customFormat="1" ht="25.5" hidden="1" customHeight="1" outlineLevel="1">
      <c r="A183" s="54"/>
      <c r="B183" s="782">
        <v>31</v>
      </c>
      <c r="C183" s="54"/>
      <c r="D183" s="54" t="s">
        <v>33</v>
      </c>
      <c r="E183" s="782" t="s">
        <v>60</v>
      </c>
      <c r="F183" s="54" t="s">
        <v>35</v>
      </c>
      <c r="G183" s="55" t="s">
        <v>49</v>
      </c>
      <c r="H183" s="56" t="s">
        <v>64</v>
      </c>
      <c r="I183" s="782" t="s">
        <v>173</v>
      </c>
      <c r="J183" s="782" t="s">
        <v>174</v>
      </c>
      <c r="K183" s="57">
        <v>9</v>
      </c>
      <c r="L183" s="54" t="s">
        <v>46</v>
      </c>
      <c r="M183" s="783" t="s">
        <v>40</v>
      </c>
      <c r="N183" s="784">
        <v>30072731</v>
      </c>
      <c r="O183" s="56" t="s">
        <v>684</v>
      </c>
      <c r="P183" s="56"/>
      <c r="Q183" s="783" t="s">
        <v>185</v>
      </c>
      <c r="R183" s="24"/>
      <c r="S183" s="785">
        <v>8304377035</v>
      </c>
      <c r="T183" s="786">
        <v>4050000</v>
      </c>
      <c r="U183" s="786">
        <f>1000125678.3333+207443899+81728139</f>
        <v>1289297716.3333001</v>
      </c>
      <c r="V183" s="787">
        <f t="shared" si="65"/>
        <v>0</v>
      </c>
      <c r="W183" s="29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>
        <v>0</v>
      </c>
      <c r="AI183" s="786">
        <f t="shared" si="66"/>
        <v>1289297716.3333001</v>
      </c>
      <c r="AJ183" s="786">
        <f t="shared" si="91"/>
        <v>7011029318.6667004</v>
      </c>
      <c r="AK183" s="796" t="s">
        <v>43</v>
      </c>
      <c r="AL183" s="796" t="s">
        <v>44</v>
      </c>
      <c r="AM183" s="796"/>
      <c r="AN183" s="799"/>
    </row>
    <row r="184" spans="1:42" s="38" customFormat="1" ht="25.5" hidden="1" customHeight="1" outlineLevel="1">
      <c r="A184" s="35"/>
      <c r="B184" s="35"/>
      <c r="C184" s="35"/>
      <c r="D184" s="35"/>
      <c r="E184" s="35"/>
      <c r="F184" s="36"/>
      <c r="G184" s="36"/>
      <c r="H184" s="37"/>
      <c r="I184" s="36"/>
      <c r="J184" s="36"/>
      <c r="K184" s="36"/>
      <c r="L184" s="35"/>
      <c r="N184" s="39"/>
      <c r="O184" s="39"/>
      <c r="P184" s="39"/>
      <c r="Q184" s="139" t="s">
        <v>67</v>
      </c>
      <c r="R184" s="64"/>
      <c r="S184" s="140">
        <f t="shared" ref="S184:AJ184" si="93">SUBTOTAL(9,S176:S183)</f>
        <v>1900252000</v>
      </c>
      <c r="T184" s="140">
        <f t="shared" ref="T184" si="94">SUBTOTAL(9,T176:T183)</f>
        <v>0</v>
      </c>
      <c r="U184" s="140">
        <f t="shared" si="93"/>
        <v>851417333.33333302</v>
      </c>
      <c r="V184" s="140">
        <f t="shared" si="93"/>
        <v>0</v>
      </c>
      <c r="W184" s="140">
        <f t="shared" si="93"/>
        <v>0</v>
      </c>
      <c r="X184" s="140">
        <f t="shared" si="93"/>
        <v>0</v>
      </c>
      <c r="Y184" s="140">
        <f t="shared" si="93"/>
        <v>0</v>
      </c>
      <c r="Z184" s="140">
        <f t="shared" si="93"/>
        <v>0</v>
      </c>
      <c r="AA184" s="140">
        <f t="shared" si="93"/>
        <v>0</v>
      </c>
      <c r="AB184" s="140">
        <f t="shared" si="93"/>
        <v>0</v>
      </c>
      <c r="AC184" s="140">
        <f t="shared" si="93"/>
        <v>0</v>
      </c>
      <c r="AD184" s="140">
        <f t="shared" si="93"/>
        <v>0</v>
      </c>
      <c r="AE184" s="140">
        <f t="shared" si="93"/>
        <v>0</v>
      </c>
      <c r="AF184" s="140">
        <f t="shared" si="93"/>
        <v>0</v>
      </c>
      <c r="AG184" s="140">
        <f t="shared" si="93"/>
        <v>0</v>
      </c>
      <c r="AH184" s="140">
        <v>6150000</v>
      </c>
      <c r="AI184" s="140">
        <f t="shared" si="93"/>
        <v>851417333.33333302</v>
      </c>
      <c r="AJ184" s="140">
        <f t="shared" si="93"/>
        <v>1048834666.666667</v>
      </c>
      <c r="AK184" s="796"/>
      <c r="AL184" s="796"/>
      <c r="AM184" s="796"/>
      <c r="AN184" s="799"/>
    </row>
    <row r="185" spans="1:42" s="38" customFormat="1" ht="25.5" hidden="1" customHeight="1" outlineLevel="1">
      <c r="A185" s="35"/>
      <c r="B185" s="35"/>
      <c r="C185" s="35"/>
      <c r="D185" s="35"/>
      <c r="E185" s="35"/>
      <c r="F185" s="36"/>
      <c r="G185" s="36"/>
      <c r="H185" s="37"/>
      <c r="I185" s="36"/>
      <c r="J185" s="36"/>
      <c r="K185" s="36"/>
      <c r="L185" s="35"/>
      <c r="N185" s="39"/>
      <c r="O185" s="39"/>
      <c r="P185" s="39"/>
      <c r="Q185" s="46"/>
      <c r="R185" s="42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796"/>
      <c r="AL185" s="796"/>
      <c r="AM185" s="796"/>
      <c r="AN185" s="799"/>
    </row>
    <row r="186" spans="1:42" s="33" customFormat="1" ht="25.5" hidden="1" customHeight="1" outlineLevel="2">
      <c r="A186" s="35"/>
      <c r="B186" s="35"/>
      <c r="C186" s="35"/>
      <c r="D186" s="35"/>
      <c r="E186" s="35"/>
      <c r="F186" s="36"/>
      <c r="G186" s="36"/>
      <c r="H186" s="37"/>
      <c r="I186" s="36"/>
      <c r="J186" s="36"/>
      <c r="K186" s="36"/>
      <c r="L186" s="35"/>
      <c r="M186" s="38"/>
      <c r="N186" s="39"/>
      <c r="O186" s="39"/>
      <c r="P186" s="39"/>
      <c r="Q186" s="17" t="s">
        <v>68</v>
      </c>
      <c r="R186" s="42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796"/>
      <c r="AL186" s="796"/>
      <c r="AM186" s="796"/>
      <c r="AN186" s="799"/>
    </row>
    <row r="187" spans="1:42" s="38" customFormat="1" ht="25.5" hidden="1" customHeight="1" outlineLevel="1" collapsed="1">
      <c r="A187" s="66"/>
      <c r="B187" s="66">
        <v>31</v>
      </c>
      <c r="C187" s="730"/>
      <c r="D187" s="66" t="s">
        <v>33</v>
      </c>
      <c r="E187" s="66" t="s">
        <v>69</v>
      </c>
      <c r="F187" s="730"/>
      <c r="G187" s="67"/>
      <c r="H187" s="68" t="s">
        <v>50</v>
      </c>
      <c r="I187" s="66" t="s">
        <v>173</v>
      </c>
      <c r="J187" s="66" t="s">
        <v>174</v>
      </c>
      <c r="K187" s="69">
        <v>9</v>
      </c>
      <c r="L187" s="66" t="s">
        <v>131</v>
      </c>
      <c r="M187" s="70" t="s">
        <v>40</v>
      </c>
      <c r="N187" s="68">
        <v>30106468</v>
      </c>
      <c r="O187" s="68"/>
      <c r="P187" s="68"/>
      <c r="Q187" s="742" t="s">
        <v>186</v>
      </c>
      <c r="R187" s="24"/>
      <c r="S187" s="71">
        <v>5496302000</v>
      </c>
      <c r="T187" s="72">
        <v>0</v>
      </c>
      <c r="U187" s="72">
        <v>300000000</v>
      </c>
      <c r="V187" s="297">
        <f t="shared" si="65"/>
        <v>0</v>
      </c>
      <c r="W187" s="29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>
        <v>0</v>
      </c>
      <c r="AI187" s="72">
        <f t="shared" si="66"/>
        <v>300000000</v>
      </c>
      <c r="AJ187" s="72">
        <f>+S187-T187-V187-AI187</f>
        <v>5196302000</v>
      </c>
      <c r="AK187" s="796" t="s">
        <v>43</v>
      </c>
      <c r="AL187" s="796" t="s">
        <v>66</v>
      </c>
      <c r="AM187" s="796"/>
      <c r="AN187" s="799"/>
      <c r="AO187" s="33">
        <f>VLOOKUP(N187,'CONVENIOS 2021'!A$1:A$53,1,FALSE)</f>
        <v>30106468</v>
      </c>
    </row>
    <row r="188" spans="1:42" s="18" customFormat="1" ht="25.5" hidden="1" customHeight="1" outlineLevel="1">
      <c r="A188" s="66"/>
      <c r="B188" s="66">
        <v>33</v>
      </c>
      <c r="C188" s="66"/>
      <c r="D188" s="66" t="s">
        <v>76</v>
      </c>
      <c r="E188" s="66" t="s">
        <v>69</v>
      </c>
      <c r="F188" s="66" t="s">
        <v>35</v>
      </c>
      <c r="G188" s="67" t="s">
        <v>49</v>
      </c>
      <c r="H188" s="68" t="s">
        <v>61</v>
      </c>
      <c r="I188" s="66" t="s">
        <v>173</v>
      </c>
      <c r="J188" s="66" t="s">
        <v>174</v>
      </c>
      <c r="K188" s="69">
        <v>9</v>
      </c>
      <c r="L188" s="66" t="s">
        <v>76</v>
      </c>
      <c r="M188" s="70" t="s">
        <v>40</v>
      </c>
      <c r="N188" s="68" t="s">
        <v>76</v>
      </c>
      <c r="O188" s="68"/>
      <c r="P188" s="68"/>
      <c r="Q188" s="70" t="s">
        <v>77</v>
      </c>
      <c r="R188" s="141"/>
      <c r="S188" s="71">
        <v>200000000</v>
      </c>
      <c r="T188" s="72">
        <v>0</v>
      </c>
      <c r="U188" s="72">
        <v>200000000</v>
      </c>
      <c r="V188" s="296">
        <f t="shared" si="65"/>
        <v>8927484</v>
      </c>
      <c r="W188" s="144"/>
      <c r="X188" s="143"/>
      <c r="Y188" s="143"/>
      <c r="Z188" s="143"/>
      <c r="AA188" s="143"/>
      <c r="AB188" s="28"/>
      <c r="AC188" s="143"/>
      <c r="AD188" s="143"/>
      <c r="AE188" s="143"/>
      <c r="AF188" s="143"/>
      <c r="AG188" s="28"/>
      <c r="AH188" s="72">
        <v>8927484</v>
      </c>
      <c r="AI188" s="72">
        <f t="shared" si="66"/>
        <v>191072516</v>
      </c>
      <c r="AJ188" s="72">
        <f>+S188-T188-V188-AI188</f>
        <v>0</v>
      </c>
      <c r="AK188" s="796" t="s">
        <v>78</v>
      </c>
      <c r="AL188" s="796"/>
      <c r="AM188" s="796"/>
      <c r="AN188" s="799"/>
    </row>
    <row r="189" spans="1:42" s="38" customFormat="1" ht="25.5" hidden="1" customHeight="1" outlineLevel="1">
      <c r="A189" s="35"/>
      <c r="B189" s="35"/>
      <c r="C189" s="35"/>
      <c r="D189" s="35"/>
      <c r="E189" s="35"/>
      <c r="F189" s="36"/>
      <c r="G189" s="36"/>
      <c r="H189" s="37"/>
      <c r="I189" s="36"/>
      <c r="J189" s="36"/>
      <c r="K189" s="36"/>
      <c r="L189" s="35"/>
      <c r="N189" s="39"/>
      <c r="O189" s="39"/>
      <c r="P189" s="39"/>
      <c r="Q189" s="134" t="s">
        <v>80</v>
      </c>
      <c r="R189" s="42"/>
      <c r="S189" s="110">
        <f t="shared" ref="S189:U189" si="95">SUBTOTAL(9,S187:S188)</f>
        <v>0</v>
      </c>
      <c r="T189" s="110">
        <f t="shared" ref="T189" si="96">SUBTOTAL(9,T187:T188)</f>
        <v>0</v>
      </c>
      <c r="U189" s="110">
        <f t="shared" si="95"/>
        <v>0</v>
      </c>
      <c r="V189" s="110">
        <f t="shared" ref="V189:AJ189" si="97">SUBTOTAL(9,V187:V188)</f>
        <v>0</v>
      </c>
      <c r="W189" s="110">
        <f t="shared" si="97"/>
        <v>0</v>
      </c>
      <c r="X189" s="110">
        <f t="shared" si="97"/>
        <v>0</v>
      </c>
      <c r="Y189" s="110">
        <f t="shared" si="97"/>
        <v>0</v>
      </c>
      <c r="Z189" s="110">
        <f t="shared" si="97"/>
        <v>0</v>
      </c>
      <c r="AA189" s="110">
        <f t="shared" si="97"/>
        <v>0</v>
      </c>
      <c r="AB189" s="110">
        <f t="shared" si="97"/>
        <v>0</v>
      </c>
      <c r="AC189" s="110">
        <f t="shared" si="97"/>
        <v>0</v>
      </c>
      <c r="AD189" s="110">
        <f t="shared" si="97"/>
        <v>0</v>
      </c>
      <c r="AE189" s="110">
        <f t="shared" si="97"/>
        <v>0</v>
      </c>
      <c r="AF189" s="110">
        <f t="shared" si="97"/>
        <v>0</v>
      </c>
      <c r="AG189" s="110">
        <f t="shared" si="97"/>
        <v>0</v>
      </c>
      <c r="AH189" s="110">
        <v>8927484</v>
      </c>
      <c r="AI189" s="110">
        <f t="shared" si="97"/>
        <v>0</v>
      </c>
      <c r="AJ189" s="110">
        <f t="shared" si="97"/>
        <v>0</v>
      </c>
      <c r="AK189" s="796"/>
      <c r="AL189" s="796"/>
      <c r="AM189" s="796"/>
      <c r="AN189" s="799"/>
    </row>
    <row r="190" spans="1:42" s="90" customFormat="1" ht="24.75" hidden="1" customHeight="1" outlineLevel="1">
      <c r="A190" s="35"/>
      <c r="B190" s="35"/>
      <c r="C190" s="35"/>
      <c r="D190" s="35"/>
      <c r="E190" s="35"/>
      <c r="F190" s="36"/>
      <c r="G190" s="36"/>
      <c r="H190" s="37"/>
      <c r="I190" s="36"/>
      <c r="J190" s="36"/>
      <c r="K190" s="36"/>
      <c r="L190" s="35"/>
      <c r="M190" s="38"/>
      <c r="N190" s="39"/>
      <c r="O190" s="39"/>
      <c r="P190" s="39"/>
      <c r="Q190" s="46"/>
      <c r="R190" s="42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796"/>
      <c r="AL190" s="796"/>
      <c r="AM190" s="796"/>
      <c r="AN190" s="799"/>
    </row>
    <row r="191" spans="1:42" s="84" customFormat="1" ht="24.75" hidden="1" customHeight="1" outlineLevel="1">
      <c r="A191" s="36"/>
      <c r="B191" s="82"/>
      <c r="C191" s="82"/>
      <c r="D191" s="36"/>
      <c r="E191" s="36"/>
      <c r="F191" s="36"/>
      <c r="G191" s="36"/>
      <c r="H191" s="37"/>
      <c r="I191" s="36"/>
      <c r="J191" s="36"/>
      <c r="K191" s="36"/>
      <c r="L191" s="82"/>
      <c r="N191" s="83"/>
      <c r="O191" s="39"/>
      <c r="P191" s="39"/>
      <c r="Q191" s="85" t="s">
        <v>187</v>
      </c>
      <c r="R191" s="111"/>
      <c r="S191" s="88">
        <f t="shared" ref="S191:U191" si="98">S173+S184+S189</f>
        <v>1900252000</v>
      </c>
      <c r="T191" s="88">
        <f t="shared" ref="T191" si="99">T173+T184+T189</f>
        <v>0</v>
      </c>
      <c r="U191" s="88">
        <f t="shared" si="98"/>
        <v>851417333.33333302</v>
      </c>
      <c r="V191" s="88">
        <f t="shared" ref="V191:AJ191" si="100">V173+V184+V189</f>
        <v>0</v>
      </c>
      <c r="W191" s="88">
        <f t="shared" si="100"/>
        <v>0</v>
      </c>
      <c r="X191" s="88">
        <f t="shared" si="100"/>
        <v>0</v>
      </c>
      <c r="Y191" s="88">
        <f t="shared" si="100"/>
        <v>0</v>
      </c>
      <c r="Z191" s="88">
        <f t="shared" si="100"/>
        <v>0</v>
      </c>
      <c r="AA191" s="88">
        <f t="shared" si="100"/>
        <v>0</v>
      </c>
      <c r="AB191" s="88">
        <f t="shared" si="100"/>
        <v>0</v>
      </c>
      <c r="AC191" s="88">
        <f t="shared" si="100"/>
        <v>0</v>
      </c>
      <c r="AD191" s="88">
        <f t="shared" si="100"/>
        <v>0</v>
      </c>
      <c r="AE191" s="88">
        <f t="shared" si="100"/>
        <v>0</v>
      </c>
      <c r="AF191" s="88">
        <f t="shared" si="100"/>
        <v>0</v>
      </c>
      <c r="AG191" s="88">
        <f t="shared" si="100"/>
        <v>0</v>
      </c>
      <c r="AH191" s="88">
        <v>55138454</v>
      </c>
      <c r="AI191" s="88">
        <f t="shared" si="100"/>
        <v>851417333.33333302</v>
      </c>
      <c r="AJ191" s="88">
        <f t="shared" si="100"/>
        <v>1048834666.666667</v>
      </c>
      <c r="AK191" s="796"/>
      <c r="AL191" s="796"/>
      <c r="AM191" s="796"/>
      <c r="AN191" s="799"/>
    </row>
    <row r="192" spans="1:42" s="84" customFormat="1" ht="24.75" hidden="1" customHeight="1" outlineLevel="1">
      <c r="A192" s="36"/>
      <c r="B192" s="82"/>
      <c r="C192" s="82"/>
      <c r="D192" s="36"/>
      <c r="E192" s="36"/>
      <c r="F192" s="36"/>
      <c r="G192" s="36"/>
      <c r="H192" s="37"/>
      <c r="I192" s="36"/>
      <c r="J192" s="36"/>
      <c r="K192" s="36"/>
      <c r="L192" s="82"/>
      <c r="N192" s="83"/>
      <c r="O192" s="39"/>
      <c r="P192" s="39"/>
      <c r="Q192" s="91"/>
      <c r="R192" s="87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796"/>
      <c r="AL192" s="796"/>
      <c r="AM192" s="796"/>
      <c r="AN192" s="799"/>
    </row>
    <row r="193" spans="1:42" s="84" customFormat="1" ht="24.75" hidden="1" customHeight="1" outlineLevel="1">
      <c r="A193" s="36"/>
      <c r="B193" s="82"/>
      <c r="C193" s="82"/>
      <c r="D193" s="36"/>
      <c r="E193" s="36"/>
      <c r="F193" s="36"/>
      <c r="G193" s="36"/>
      <c r="H193" s="37"/>
      <c r="I193" s="36"/>
      <c r="J193" s="36"/>
      <c r="K193" s="36"/>
      <c r="L193" s="82"/>
      <c r="N193" s="83"/>
      <c r="O193" s="39"/>
      <c r="P193" s="39"/>
      <c r="Q193" s="596"/>
      <c r="R193" s="87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796"/>
      <c r="AL193" s="796"/>
      <c r="AM193" s="796"/>
      <c r="AN193" s="799"/>
    </row>
    <row r="194" spans="1:42" s="18" customFormat="1" ht="25.5" hidden="1" customHeight="1" outlineLevel="1">
      <c r="A194" s="36"/>
      <c r="B194" s="36"/>
      <c r="C194" s="36"/>
      <c r="D194" s="36"/>
      <c r="E194" s="36"/>
      <c r="F194" s="36"/>
      <c r="G194" s="36"/>
      <c r="H194" s="37"/>
      <c r="I194" s="36"/>
      <c r="J194" s="36"/>
      <c r="K194" s="36"/>
      <c r="L194" s="36"/>
      <c r="M194" s="95"/>
      <c r="N194" s="37"/>
      <c r="O194" s="39"/>
      <c r="P194" s="39"/>
      <c r="Q194" s="96" t="s">
        <v>188</v>
      </c>
      <c r="R194" s="50"/>
      <c r="S194" s="97"/>
      <c r="T194" s="97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796"/>
      <c r="AL194" s="796"/>
      <c r="AM194" s="796"/>
      <c r="AN194" s="799"/>
    </row>
    <row r="195" spans="1:42" s="33" customFormat="1" ht="25.5" hidden="1" customHeight="1" outlineLevel="2">
      <c r="A195" s="35"/>
      <c r="B195" s="35"/>
      <c r="C195" s="35"/>
      <c r="D195" s="35"/>
      <c r="E195" s="35"/>
      <c r="F195" s="36"/>
      <c r="G195" s="36"/>
      <c r="H195" s="37"/>
      <c r="I195" s="36"/>
      <c r="J195" s="36"/>
      <c r="K195" s="36"/>
      <c r="L195" s="35"/>
      <c r="M195" s="38"/>
      <c r="N195" s="39"/>
      <c r="O195" s="39"/>
      <c r="P195" s="39"/>
      <c r="Q195" s="17" t="s">
        <v>32</v>
      </c>
      <c r="R195" s="50"/>
      <c r="S195" s="51"/>
      <c r="T195" s="51"/>
      <c r="U195" s="52"/>
      <c r="V195" s="52"/>
      <c r="W195" s="52"/>
      <c r="X195" s="52"/>
      <c r="Y195" s="52"/>
      <c r="Z195" s="53"/>
      <c r="AA195" s="53"/>
      <c r="AB195" s="53"/>
      <c r="AC195" s="53"/>
      <c r="AD195" s="53"/>
      <c r="AE195" s="53"/>
      <c r="AF195" s="53"/>
      <c r="AG195" s="53"/>
      <c r="AH195" s="53"/>
      <c r="AI195" s="52"/>
      <c r="AJ195" s="52"/>
      <c r="AK195" s="796"/>
      <c r="AL195" s="796"/>
      <c r="AM195" s="796"/>
      <c r="AN195" s="799"/>
    </row>
    <row r="196" spans="1:42" s="33" customFormat="1" ht="25.5" hidden="1" customHeight="1" outlineLevel="2">
      <c r="A196" s="19"/>
      <c r="B196" s="19">
        <v>31</v>
      </c>
      <c r="C196" s="19"/>
      <c r="D196" s="19" t="s">
        <v>33</v>
      </c>
      <c r="E196" s="19" t="s">
        <v>34</v>
      </c>
      <c r="F196" s="19" t="s">
        <v>35</v>
      </c>
      <c r="G196" s="20" t="s">
        <v>49</v>
      </c>
      <c r="H196" s="21" t="s">
        <v>61</v>
      </c>
      <c r="I196" s="19" t="s">
        <v>173</v>
      </c>
      <c r="J196" s="19" t="s">
        <v>189</v>
      </c>
      <c r="K196" s="22">
        <v>10</v>
      </c>
      <c r="L196" s="19" t="s">
        <v>46</v>
      </c>
      <c r="M196" s="23" t="s">
        <v>40</v>
      </c>
      <c r="N196" s="21">
        <v>30087299</v>
      </c>
      <c r="O196" s="21" t="s">
        <v>684</v>
      </c>
      <c r="P196" s="21"/>
      <c r="Q196" s="23" t="s">
        <v>675</v>
      </c>
      <c r="R196" s="24" t="s">
        <v>676</v>
      </c>
      <c r="S196" s="26">
        <v>1289233892</v>
      </c>
      <c r="T196" s="30">
        <v>1207370892</v>
      </c>
      <c r="U196" s="30">
        <v>81863000</v>
      </c>
      <c r="V196" s="285">
        <f t="shared" ref="V196" si="101">+SUM(W196:AH196)</f>
        <v>0</v>
      </c>
      <c r="W196" s="29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>
        <v>0</v>
      </c>
      <c r="AI196" s="30">
        <f t="shared" ref="AI196" si="102">+U196-V196</f>
        <v>81863000</v>
      </c>
      <c r="AJ196" s="30">
        <f>+S196-T196-V196-AI196</f>
        <v>0</v>
      </c>
      <c r="AK196" s="796" t="s">
        <v>43</v>
      </c>
      <c r="AL196" s="796" t="s">
        <v>44</v>
      </c>
      <c r="AM196" s="796"/>
      <c r="AN196" s="799"/>
    </row>
    <row r="197" spans="1:42" s="33" customFormat="1" ht="25.5" hidden="1" customHeight="1" outlineLevel="2">
      <c r="A197" s="19"/>
      <c r="B197" s="19">
        <v>31</v>
      </c>
      <c r="C197" s="19"/>
      <c r="D197" s="19" t="s">
        <v>33</v>
      </c>
      <c r="E197" s="19" t="s">
        <v>34</v>
      </c>
      <c r="F197" s="19" t="s">
        <v>35</v>
      </c>
      <c r="G197" s="20" t="s">
        <v>49</v>
      </c>
      <c r="H197" s="21" t="s">
        <v>50</v>
      </c>
      <c r="I197" s="19" t="s">
        <v>173</v>
      </c>
      <c r="J197" s="19" t="s">
        <v>189</v>
      </c>
      <c r="K197" s="22">
        <v>10</v>
      </c>
      <c r="L197" s="19" t="s">
        <v>46</v>
      </c>
      <c r="M197" s="23" t="s">
        <v>40</v>
      </c>
      <c r="N197" s="21">
        <v>20086686</v>
      </c>
      <c r="O197" s="21" t="s">
        <v>684</v>
      </c>
      <c r="P197" s="21"/>
      <c r="Q197" s="23" t="s">
        <v>190</v>
      </c>
      <c r="R197" s="24"/>
      <c r="S197" s="26">
        <v>9889982000</v>
      </c>
      <c r="T197" s="30">
        <v>169015232</v>
      </c>
      <c r="U197" s="30">
        <f>1800000000-81863000</f>
        <v>1718137000</v>
      </c>
      <c r="V197" s="285">
        <f t="shared" ref="V197:V256" si="103">+SUM(W197:AH197)</f>
        <v>0</v>
      </c>
      <c r="W197" s="29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>
        <v>0</v>
      </c>
      <c r="AI197" s="30">
        <f t="shared" ref="AI197:AI256" si="104">+U197-V197</f>
        <v>1718137000</v>
      </c>
      <c r="AJ197" s="30">
        <f>+S197-T197-V197-AI197</f>
        <v>8002829768</v>
      </c>
      <c r="AK197" s="796" t="s">
        <v>43</v>
      </c>
      <c r="AL197" s="796" t="s">
        <v>44</v>
      </c>
      <c r="AM197" s="796"/>
      <c r="AN197" s="799"/>
    </row>
    <row r="198" spans="1:42" s="38" customFormat="1" ht="25.5" hidden="1" customHeight="1" outlineLevel="1">
      <c r="A198" s="35"/>
      <c r="B198" s="35"/>
      <c r="C198" s="35"/>
      <c r="D198" s="35"/>
      <c r="E198" s="35"/>
      <c r="F198" s="36"/>
      <c r="G198" s="36"/>
      <c r="H198" s="37"/>
      <c r="I198" s="36"/>
      <c r="J198" s="36"/>
      <c r="K198" s="36"/>
      <c r="L198" s="35"/>
      <c r="N198" s="39"/>
      <c r="O198" s="39"/>
      <c r="P198" s="39"/>
      <c r="Q198" s="132" t="s">
        <v>58</v>
      </c>
      <c r="R198" s="41"/>
      <c r="S198" s="133">
        <f>SUM(S196:S197)</f>
        <v>11179215892</v>
      </c>
      <c r="T198" s="133">
        <f t="shared" ref="T198:AJ198" si="105">SUM(T196:T197)</f>
        <v>1376386124</v>
      </c>
      <c r="U198" s="133">
        <f t="shared" si="105"/>
        <v>1800000000</v>
      </c>
      <c r="V198" s="133">
        <f t="shared" si="105"/>
        <v>0</v>
      </c>
      <c r="W198" s="133">
        <f t="shared" si="105"/>
        <v>0</v>
      </c>
      <c r="X198" s="133">
        <f t="shared" si="105"/>
        <v>0</v>
      </c>
      <c r="Y198" s="133">
        <f t="shared" si="105"/>
        <v>0</v>
      </c>
      <c r="Z198" s="133">
        <f t="shared" si="105"/>
        <v>0</v>
      </c>
      <c r="AA198" s="133">
        <f t="shared" si="105"/>
        <v>0</v>
      </c>
      <c r="AB198" s="133">
        <f t="shared" si="105"/>
        <v>0</v>
      </c>
      <c r="AC198" s="133">
        <f t="shared" si="105"/>
        <v>0</v>
      </c>
      <c r="AD198" s="133">
        <f t="shared" si="105"/>
        <v>0</v>
      </c>
      <c r="AE198" s="133">
        <f t="shared" si="105"/>
        <v>0</v>
      </c>
      <c r="AF198" s="133">
        <f t="shared" si="105"/>
        <v>0</v>
      </c>
      <c r="AG198" s="133">
        <f t="shared" si="105"/>
        <v>0</v>
      </c>
      <c r="AH198" s="133">
        <v>0</v>
      </c>
      <c r="AI198" s="133">
        <f t="shared" si="105"/>
        <v>1800000000</v>
      </c>
      <c r="AJ198" s="133">
        <f t="shared" si="105"/>
        <v>8002829768</v>
      </c>
      <c r="AK198" s="796"/>
      <c r="AL198" s="796"/>
      <c r="AM198" s="796"/>
      <c r="AN198" s="799"/>
    </row>
    <row r="199" spans="1:42" s="18" customFormat="1" ht="24" hidden="1" customHeight="1" outlineLevel="1">
      <c r="A199" s="35"/>
      <c r="B199" s="35"/>
      <c r="C199" s="35"/>
      <c r="D199" s="35"/>
      <c r="E199" s="35"/>
      <c r="F199" s="36"/>
      <c r="G199" s="36"/>
      <c r="H199" s="37"/>
      <c r="I199" s="36"/>
      <c r="J199" s="36"/>
      <c r="K199" s="36"/>
      <c r="L199" s="35"/>
      <c r="M199" s="38"/>
      <c r="N199" s="39"/>
      <c r="O199" s="39"/>
      <c r="P199" s="39"/>
      <c r="Q199" s="46"/>
      <c r="R199" s="42"/>
      <c r="S199" s="47"/>
      <c r="T199" s="47"/>
      <c r="U199" s="47"/>
      <c r="V199" s="47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7"/>
      <c r="AJ199" s="47"/>
      <c r="AK199" s="796"/>
      <c r="AL199" s="796"/>
      <c r="AM199" s="796"/>
      <c r="AN199" s="799"/>
    </row>
    <row r="200" spans="1:42" s="18" customFormat="1" ht="25.5" hidden="1" customHeight="1" outlineLevel="1">
      <c r="A200" s="35"/>
      <c r="B200" s="35"/>
      <c r="C200" s="35"/>
      <c r="D200" s="35"/>
      <c r="E200" s="35"/>
      <c r="F200" s="36"/>
      <c r="G200" s="36"/>
      <c r="H200" s="37"/>
      <c r="I200" s="36"/>
      <c r="J200" s="36"/>
      <c r="K200" s="36"/>
      <c r="L200" s="35"/>
      <c r="M200" s="38"/>
      <c r="N200" s="39"/>
      <c r="O200" s="39"/>
      <c r="P200" s="39"/>
      <c r="Q200" s="17" t="s">
        <v>59</v>
      </c>
      <c r="R200" s="50"/>
      <c r="S200" s="51"/>
      <c r="T200" s="51"/>
      <c r="U200" s="52"/>
      <c r="V200" s="52"/>
      <c r="W200" s="52"/>
      <c r="X200" s="52"/>
      <c r="Y200" s="52"/>
      <c r="Z200" s="53"/>
      <c r="AA200" s="53"/>
      <c r="AB200" s="53"/>
      <c r="AC200" s="53"/>
      <c r="AD200" s="53"/>
      <c r="AE200" s="53"/>
      <c r="AF200" s="53"/>
      <c r="AG200" s="53"/>
      <c r="AH200" s="53"/>
      <c r="AI200" s="52"/>
      <c r="AJ200" s="52"/>
      <c r="AK200" s="796"/>
      <c r="AL200" s="796"/>
      <c r="AM200" s="796"/>
      <c r="AN200" s="799"/>
    </row>
    <row r="201" spans="1:42" s="18" customFormat="1" ht="25.5" customHeight="1" outlineLevel="1">
      <c r="A201" s="54"/>
      <c r="B201" s="801">
        <v>31</v>
      </c>
      <c r="C201" s="729"/>
      <c r="D201" s="54" t="s">
        <v>33</v>
      </c>
      <c r="E201" s="801" t="s">
        <v>60</v>
      </c>
      <c r="F201" s="729" t="s">
        <v>35</v>
      </c>
      <c r="G201" s="55" t="s">
        <v>49</v>
      </c>
      <c r="H201" s="56" t="s">
        <v>61</v>
      </c>
      <c r="I201" s="801" t="s">
        <v>173</v>
      </c>
      <c r="J201" s="801" t="s">
        <v>189</v>
      </c>
      <c r="K201" s="57">
        <v>10</v>
      </c>
      <c r="L201" s="54" t="s">
        <v>131</v>
      </c>
      <c r="M201" s="802" t="s">
        <v>40</v>
      </c>
      <c r="N201" s="803">
        <v>30135967</v>
      </c>
      <c r="O201" s="770" t="s">
        <v>754</v>
      </c>
      <c r="P201" s="56"/>
      <c r="Q201" s="802" t="s">
        <v>191</v>
      </c>
      <c r="R201" s="24"/>
      <c r="S201" s="804">
        <v>388423000</v>
      </c>
      <c r="T201" s="805">
        <v>0</v>
      </c>
      <c r="U201" s="805">
        <v>388423000</v>
      </c>
      <c r="V201" s="805">
        <f t="shared" si="103"/>
        <v>0</v>
      </c>
      <c r="W201" s="29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>
        <v>0</v>
      </c>
      <c r="AI201" s="805">
        <f t="shared" si="104"/>
        <v>388423000</v>
      </c>
      <c r="AJ201" s="805">
        <f>+S201-T201-V201-AI201</f>
        <v>0</v>
      </c>
      <c r="AK201" s="806" t="s">
        <v>43</v>
      </c>
      <c r="AL201" s="806" t="s">
        <v>759</v>
      </c>
      <c r="AM201" s="806" t="str">
        <f t="shared" ref="AM201:AM203" si="106">HYPERLINK(CONCATENATE("DOCUMENTOS\ACTA-",N201,".PDF"))</f>
        <v>DOCUMENTOS\ACTA-30135967.PDF</v>
      </c>
      <c r="AN201" s="807"/>
      <c r="AO201" s="33" t="e">
        <f>VLOOKUP(N201,'CONVENIOS 2021'!A$1:A$53,1,FALSE)</f>
        <v>#N/A</v>
      </c>
      <c r="AP201" s="33" t="e">
        <f>VLOOKUP(N201,'CONVENIOS 2020'!A$2:A$72,1,FALSE)</f>
        <v>#N/A</v>
      </c>
    </row>
    <row r="202" spans="1:42" s="18" customFormat="1" ht="25.5" customHeight="1" outlineLevel="1">
      <c r="A202" s="54"/>
      <c r="B202" s="801">
        <v>31</v>
      </c>
      <c r="C202" s="729"/>
      <c r="D202" s="54" t="s">
        <v>33</v>
      </c>
      <c r="E202" s="801" t="s">
        <v>60</v>
      </c>
      <c r="F202" s="729" t="s">
        <v>35</v>
      </c>
      <c r="G202" s="55" t="s">
        <v>49</v>
      </c>
      <c r="H202" s="56" t="s">
        <v>61</v>
      </c>
      <c r="I202" s="801" t="s">
        <v>173</v>
      </c>
      <c r="J202" s="801" t="s">
        <v>189</v>
      </c>
      <c r="K202" s="57">
        <v>10</v>
      </c>
      <c r="L202" s="54" t="s">
        <v>46</v>
      </c>
      <c r="M202" s="802" t="s">
        <v>40</v>
      </c>
      <c r="N202" s="803">
        <v>30135967</v>
      </c>
      <c r="O202" s="770" t="s">
        <v>754</v>
      </c>
      <c r="P202" s="56"/>
      <c r="Q202" s="802" t="s">
        <v>191</v>
      </c>
      <c r="R202" s="24"/>
      <c r="S202" s="804">
        <f>1553691000-S201</f>
        <v>1165268000</v>
      </c>
      <c r="T202" s="805">
        <v>0</v>
      </c>
      <c r="U202" s="805">
        <f>500422750-U201</f>
        <v>111999750</v>
      </c>
      <c r="V202" s="805">
        <f t="shared" ref="V202" si="107">+SUM(W202:AH202)</f>
        <v>0</v>
      </c>
      <c r="W202" s="29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>
        <v>0</v>
      </c>
      <c r="AI202" s="805">
        <f t="shared" ref="AI202" si="108">+U202-V202</f>
        <v>111999750</v>
      </c>
      <c r="AJ202" s="805">
        <f>+S202-T202-V202-AI202</f>
        <v>1053268250</v>
      </c>
      <c r="AK202" s="806" t="s">
        <v>43</v>
      </c>
      <c r="AL202" s="806" t="s">
        <v>759</v>
      </c>
      <c r="AM202" s="806" t="str">
        <f t="shared" si="106"/>
        <v>DOCUMENTOS\ACTA-30135967.PDF</v>
      </c>
      <c r="AN202" s="807"/>
      <c r="AO202" s="33" t="e">
        <f>VLOOKUP(N202,'CONVENIOS 2021'!A$1:A$53,1,FALSE)</f>
        <v>#N/A</v>
      </c>
      <c r="AP202" s="33" t="e">
        <f>VLOOKUP(N202,'CONVENIOS 2020'!A$2:A$72,1,FALSE)</f>
        <v>#N/A</v>
      </c>
    </row>
    <row r="203" spans="1:42" s="18" customFormat="1" ht="25.5" customHeight="1" outlineLevel="1">
      <c r="A203" s="54"/>
      <c r="B203" s="801">
        <v>22</v>
      </c>
      <c r="C203" s="729"/>
      <c r="D203" s="54" t="s">
        <v>192</v>
      </c>
      <c r="E203" s="801" t="s">
        <v>60</v>
      </c>
      <c r="F203" s="729" t="s">
        <v>35</v>
      </c>
      <c r="G203" s="55" t="s">
        <v>49</v>
      </c>
      <c r="H203" s="56" t="s">
        <v>64</v>
      </c>
      <c r="I203" s="801" t="s">
        <v>173</v>
      </c>
      <c r="J203" s="801" t="s">
        <v>189</v>
      </c>
      <c r="K203" s="57">
        <v>10</v>
      </c>
      <c r="L203" s="54" t="s">
        <v>46</v>
      </c>
      <c r="M203" s="802" t="s">
        <v>40</v>
      </c>
      <c r="N203" s="803">
        <v>30465134</v>
      </c>
      <c r="O203" s="770" t="s">
        <v>754</v>
      </c>
      <c r="P203" s="56"/>
      <c r="Q203" s="802" t="s">
        <v>193</v>
      </c>
      <c r="R203" s="24"/>
      <c r="S203" s="804">
        <v>110000000</v>
      </c>
      <c r="T203" s="805">
        <v>0</v>
      </c>
      <c r="U203" s="805">
        <v>30000000</v>
      </c>
      <c r="V203" s="805">
        <f t="shared" si="103"/>
        <v>0</v>
      </c>
      <c r="W203" s="29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>
        <v>0</v>
      </c>
      <c r="AI203" s="805">
        <f t="shared" si="104"/>
        <v>30000000</v>
      </c>
      <c r="AJ203" s="805">
        <f>+S203-T203-V203-AI203</f>
        <v>80000000</v>
      </c>
      <c r="AK203" s="806" t="s">
        <v>48</v>
      </c>
      <c r="AL203" s="806" t="s">
        <v>759</v>
      </c>
      <c r="AM203" s="806" t="str">
        <f t="shared" si="106"/>
        <v>DOCUMENTOS\ACTA-30465134.PDF</v>
      </c>
      <c r="AN203" s="807"/>
      <c r="AO203" s="33" t="e">
        <f>VLOOKUP(N203,'CONVENIOS 2021'!A$1:A$53,1,FALSE)</f>
        <v>#N/A</v>
      </c>
      <c r="AP203" s="33" t="e">
        <f>VLOOKUP(N203,'CONVENIOS 2020'!A$2:A$72,1,FALSE)</f>
        <v>#N/A</v>
      </c>
    </row>
    <row r="204" spans="1:42" s="38" customFormat="1" ht="25.5" hidden="1" customHeight="1" outlineLevel="1">
      <c r="A204" s="35"/>
      <c r="B204" s="35"/>
      <c r="C204" s="35"/>
      <c r="D204" s="35"/>
      <c r="E204" s="35"/>
      <c r="F204" s="36"/>
      <c r="G204" s="36"/>
      <c r="H204" s="37"/>
      <c r="I204" s="36"/>
      <c r="J204" s="36"/>
      <c r="K204" s="36"/>
      <c r="L204" s="35"/>
      <c r="N204" s="39"/>
      <c r="O204" s="39"/>
      <c r="P204" s="39"/>
      <c r="Q204" s="139" t="s">
        <v>67</v>
      </c>
      <c r="R204" s="41"/>
      <c r="S204" s="140">
        <f t="shared" ref="S204:AJ204" si="109">SUBTOTAL(9,S201:S203)</f>
        <v>1663691000</v>
      </c>
      <c r="T204" s="140">
        <f t="shared" ref="T204" si="110">SUBTOTAL(9,T201:T203)</f>
        <v>0</v>
      </c>
      <c r="U204" s="140">
        <f t="shared" si="109"/>
        <v>530422750</v>
      </c>
      <c r="V204" s="140">
        <f t="shared" si="109"/>
        <v>0</v>
      </c>
      <c r="W204" s="140">
        <f t="shared" si="109"/>
        <v>0</v>
      </c>
      <c r="X204" s="140">
        <f t="shared" si="109"/>
        <v>0</v>
      </c>
      <c r="Y204" s="140">
        <f t="shared" si="109"/>
        <v>0</v>
      </c>
      <c r="Z204" s="140">
        <f t="shared" si="109"/>
        <v>0</v>
      </c>
      <c r="AA204" s="140">
        <f t="shared" si="109"/>
        <v>0</v>
      </c>
      <c r="AB204" s="140">
        <f t="shared" si="109"/>
        <v>0</v>
      </c>
      <c r="AC204" s="140">
        <f t="shared" si="109"/>
        <v>0</v>
      </c>
      <c r="AD204" s="140">
        <f t="shared" si="109"/>
        <v>0</v>
      </c>
      <c r="AE204" s="140">
        <f t="shared" si="109"/>
        <v>0</v>
      </c>
      <c r="AF204" s="140">
        <f t="shared" si="109"/>
        <v>0</v>
      </c>
      <c r="AG204" s="140">
        <f t="shared" si="109"/>
        <v>0</v>
      </c>
      <c r="AH204" s="140">
        <v>0</v>
      </c>
      <c r="AI204" s="140">
        <f t="shared" si="109"/>
        <v>530422750</v>
      </c>
      <c r="AJ204" s="140">
        <f t="shared" si="109"/>
        <v>1133268250</v>
      </c>
      <c r="AK204" s="796"/>
      <c r="AL204" s="796"/>
      <c r="AM204" s="796"/>
      <c r="AN204" s="799"/>
    </row>
    <row r="205" spans="1:42" s="38" customFormat="1" ht="25.5" hidden="1" customHeight="1" outlineLevel="1">
      <c r="A205" s="35"/>
      <c r="B205" s="35"/>
      <c r="C205" s="35"/>
      <c r="D205" s="35"/>
      <c r="E205" s="35"/>
      <c r="F205" s="36"/>
      <c r="G205" s="36"/>
      <c r="H205" s="37"/>
      <c r="I205" s="36"/>
      <c r="J205" s="36"/>
      <c r="K205" s="36"/>
      <c r="L205" s="35"/>
      <c r="N205" s="39"/>
      <c r="O205" s="39"/>
      <c r="P205" s="39"/>
      <c r="Q205" s="46"/>
      <c r="R205" s="116"/>
      <c r="S205" s="47"/>
      <c r="T205" s="47"/>
      <c r="U205" s="47"/>
      <c r="V205" s="47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47"/>
      <c r="AJ205" s="47"/>
      <c r="AK205" s="796"/>
      <c r="AL205" s="796"/>
      <c r="AM205" s="796"/>
      <c r="AN205" s="799"/>
    </row>
    <row r="206" spans="1:42" s="18" customFormat="1" ht="25.5" hidden="1" customHeight="1" outlineLevel="1">
      <c r="A206" s="35"/>
      <c r="B206" s="35"/>
      <c r="C206" s="35"/>
      <c r="D206" s="35"/>
      <c r="E206" s="35"/>
      <c r="F206" s="36"/>
      <c r="G206" s="36"/>
      <c r="H206" s="37"/>
      <c r="I206" s="36"/>
      <c r="J206" s="36"/>
      <c r="K206" s="36"/>
      <c r="L206" s="35"/>
      <c r="M206" s="38"/>
      <c r="N206" s="39"/>
      <c r="O206" s="39"/>
      <c r="P206" s="39"/>
      <c r="Q206" s="17" t="s">
        <v>68</v>
      </c>
      <c r="R206" s="116"/>
      <c r="S206" s="47"/>
      <c r="T206" s="47"/>
      <c r="U206" s="47"/>
      <c r="V206" s="47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47"/>
      <c r="AJ206" s="47"/>
      <c r="AK206" s="796"/>
      <c r="AL206" s="796"/>
      <c r="AM206" s="796"/>
      <c r="AN206" s="799"/>
    </row>
    <row r="207" spans="1:42" s="18" customFormat="1" ht="25.5" customHeight="1" outlineLevel="1">
      <c r="A207" s="66"/>
      <c r="B207" s="801">
        <v>31</v>
      </c>
      <c r="C207" s="730"/>
      <c r="D207" s="66" t="s">
        <v>33</v>
      </c>
      <c r="E207" s="801" t="s">
        <v>69</v>
      </c>
      <c r="F207" s="730" t="s">
        <v>35</v>
      </c>
      <c r="G207" s="67" t="s">
        <v>36</v>
      </c>
      <c r="H207" s="68" t="s">
        <v>64</v>
      </c>
      <c r="I207" s="801" t="s">
        <v>173</v>
      </c>
      <c r="J207" s="801" t="s">
        <v>189</v>
      </c>
      <c r="K207" s="69">
        <v>10</v>
      </c>
      <c r="L207" s="66" t="s">
        <v>46</v>
      </c>
      <c r="M207" s="802" t="s">
        <v>40</v>
      </c>
      <c r="N207" s="803">
        <v>40015774</v>
      </c>
      <c r="O207" s="771"/>
      <c r="P207" s="68"/>
      <c r="Q207" s="802" t="s">
        <v>194</v>
      </c>
      <c r="R207" s="24"/>
      <c r="S207" s="804">
        <v>365318000</v>
      </c>
      <c r="T207" s="805">
        <v>0</v>
      </c>
      <c r="U207" s="805">
        <v>150265900</v>
      </c>
      <c r="V207" s="805">
        <f t="shared" si="103"/>
        <v>0</v>
      </c>
      <c r="W207" s="29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>
        <v>0</v>
      </c>
      <c r="AI207" s="805">
        <f t="shared" si="104"/>
        <v>150265900</v>
      </c>
      <c r="AJ207" s="805">
        <f>+S207-T207-V207-AI207</f>
        <v>215052100</v>
      </c>
      <c r="AK207" s="806" t="s">
        <v>43</v>
      </c>
      <c r="AL207" s="806" t="s">
        <v>767</v>
      </c>
      <c r="AM207" s="806"/>
      <c r="AN207" s="807">
        <v>44267</v>
      </c>
      <c r="AO207" s="33" t="e">
        <f>VLOOKUP(N207,'CONVENIOS 2021'!A$1:A$53,1,FALSE)</f>
        <v>#N/A</v>
      </c>
      <c r="AP207" s="33" t="e">
        <f>VLOOKUP(N207,'CONVENIOS 2020'!A$2:A$72,1,FALSE)</f>
        <v>#N/A</v>
      </c>
    </row>
    <row r="208" spans="1:42" s="18" customFormat="1" ht="25.5" customHeight="1" outlineLevel="1">
      <c r="A208" s="66"/>
      <c r="B208" s="801">
        <v>31</v>
      </c>
      <c r="C208" s="730"/>
      <c r="D208" s="66" t="s">
        <v>33</v>
      </c>
      <c r="E208" s="801" t="s">
        <v>69</v>
      </c>
      <c r="F208" s="730" t="s">
        <v>35</v>
      </c>
      <c r="G208" s="67" t="s">
        <v>36</v>
      </c>
      <c r="H208" s="68" t="s">
        <v>64</v>
      </c>
      <c r="I208" s="801" t="s">
        <v>173</v>
      </c>
      <c r="J208" s="801" t="s">
        <v>189</v>
      </c>
      <c r="K208" s="69">
        <v>10</v>
      </c>
      <c r="L208" s="66" t="s">
        <v>46</v>
      </c>
      <c r="M208" s="802" t="s">
        <v>40</v>
      </c>
      <c r="N208" s="803">
        <v>40015770</v>
      </c>
      <c r="O208" s="771"/>
      <c r="P208" s="68"/>
      <c r="Q208" s="802" t="s">
        <v>195</v>
      </c>
      <c r="R208" s="24"/>
      <c r="S208" s="804">
        <v>437544000</v>
      </c>
      <c r="T208" s="805">
        <v>0</v>
      </c>
      <c r="U208" s="805">
        <v>150877200</v>
      </c>
      <c r="V208" s="805">
        <f t="shared" si="103"/>
        <v>0</v>
      </c>
      <c r="W208" s="29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>
        <v>0</v>
      </c>
      <c r="AI208" s="805">
        <f t="shared" si="104"/>
        <v>150877200</v>
      </c>
      <c r="AJ208" s="805">
        <f>+S208-T208-V208-AI208</f>
        <v>286666800</v>
      </c>
      <c r="AK208" s="806" t="s">
        <v>43</v>
      </c>
      <c r="AL208" s="806" t="s">
        <v>767</v>
      </c>
      <c r="AM208" s="806"/>
      <c r="AN208" s="807">
        <v>44267</v>
      </c>
      <c r="AO208" s="33" t="e">
        <f>VLOOKUP(N208,'CONVENIOS 2021'!A$1:A$53,1,FALSE)</f>
        <v>#N/A</v>
      </c>
      <c r="AP208" s="33" t="e">
        <f>VLOOKUP(N208,'CONVENIOS 2020'!A$2:A$72,1,FALSE)</f>
        <v>#N/A</v>
      </c>
    </row>
    <row r="209" spans="1:42" s="18" customFormat="1" ht="25.5" hidden="1" customHeight="1" outlineLevel="1">
      <c r="A209" s="66" t="s">
        <v>118</v>
      </c>
      <c r="B209" s="180">
        <v>31</v>
      </c>
      <c r="C209" s="730"/>
      <c r="D209" s="66" t="s">
        <v>33</v>
      </c>
      <c r="E209" s="180" t="s">
        <v>69</v>
      </c>
      <c r="F209" s="730" t="s">
        <v>84</v>
      </c>
      <c r="G209" s="67" t="s">
        <v>158</v>
      </c>
      <c r="H209" s="68" t="s">
        <v>72</v>
      </c>
      <c r="I209" s="180" t="s">
        <v>173</v>
      </c>
      <c r="J209" s="180" t="s">
        <v>189</v>
      </c>
      <c r="K209" s="69">
        <v>10</v>
      </c>
      <c r="L209" s="66" t="s">
        <v>46</v>
      </c>
      <c r="M209" s="184" t="s">
        <v>40</v>
      </c>
      <c r="N209" s="182">
        <v>30479286</v>
      </c>
      <c r="O209" s="68"/>
      <c r="P209" s="68"/>
      <c r="Q209" s="777" t="s">
        <v>196</v>
      </c>
      <c r="R209" s="146"/>
      <c r="S209" s="188">
        <v>341707000</v>
      </c>
      <c r="T209" s="189">
        <v>0</v>
      </c>
      <c r="U209" s="189">
        <v>100085350</v>
      </c>
      <c r="V209" s="300">
        <f t="shared" si="103"/>
        <v>0</v>
      </c>
      <c r="W209" s="147"/>
      <c r="X209" s="121"/>
      <c r="Y209" s="121"/>
      <c r="Z209" s="121"/>
      <c r="AA209" s="28"/>
      <c r="AB209" s="121"/>
      <c r="AC209" s="121"/>
      <c r="AD209" s="121"/>
      <c r="AE209" s="121"/>
      <c r="AF209" s="121"/>
      <c r="AG209" s="121"/>
      <c r="AH209" s="28">
        <v>0</v>
      </c>
      <c r="AI209" s="189">
        <f t="shared" si="104"/>
        <v>100085350</v>
      </c>
      <c r="AJ209" s="189">
        <f>+S209-T209-V209-AI209</f>
        <v>241621650</v>
      </c>
      <c r="AK209" s="796" t="s">
        <v>43</v>
      </c>
      <c r="AL209" s="796" t="s">
        <v>66</v>
      </c>
      <c r="AM209" s="796"/>
      <c r="AN209" s="799"/>
      <c r="AO209" s="33">
        <f>VLOOKUP(N209,'CONVENIOS 2021'!A$1:A$53,1,FALSE)</f>
        <v>30479286</v>
      </c>
    </row>
    <row r="210" spans="1:42" s="38" customFormat="1" ht="25.5" customHeight="1" outlineLevel="1">
      <c r="A210" s="66"/>
      <c r="B210" s="801">
        <v>31</v>
      </c>
      <c r="C210" s="730"/>
      <c r="D210" s="66" t="s">
        <v>33</v>
      </c>
      <c r="E210" s="801" t="s">
        <v>69</v>
      </c>
      <c r="F210" s="730" t="s">
        <v>84</v>
      </c>
      <c r="G210" s="67" t="s">
        <v>158</v>
      </c>
      <c r="H210" s="68" t="s">
        <v>72</v>
      </c>
      <c r="I210" s="801" t="s">
        <v>173</v>
      </c>
      <c r="J210" s="801" t="s">
        <v>189</v>
      </c>
      <c r="K210" s="69">
        <v>10</v>
      </c>
      <c r="L210" s="66" t="s">
        <v>46</v>
      </c>
      <c r="M210" s="802" t="s">
        <v>40</v>
      </c>
      <c r="N210" s="803">
        <v>30480526</v>
      </c>
      <c r="O210" s="771"/>
      <c r="P210" s="68"/>
      <c r="Q210" s="802" t="s">
        <v>197</v>
      </c>
      <c r="R210" s="24"/>
      <c r="S210" s="804">
        <v>947807000</v>
      </c>
      <c r="T210" s="805">
        <v>0</v>
      </c>
      <c r="U210" s="805">
        <v>250390350</v>
      </c>
      <c r="V210" s="805">
        <f t="shared" si="103"/>
        <v>0</v>
      </c>
      <c r="W210" s="29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>
        <v>0</v>
      </c>
      <c r="AI210" s="805">
        <f t="shared" si="104"/>
        <v>250390350</v>
      </c>
      <c r="AJ210" s="805">
        <f>+S210-T210-V210-AI210</f>
        <v>697416650</v>
      </c>
      <c r="AK210" s="806" t="s">
        <v>43</v>
      </c>
      <c r="AL210" s="806" t="s">
        <v>759</v>
      </c>
      <c r="AM210" s="806" t="str">
        <f>HYPERLINK(CONCATENATE("DOCUMENTOS\ACTA-",N210,".PDF"))</f>
        <v>DOCUMENTOS\ACTA-30480526.PDF</v>
      </c>
      <c r="AN210" s="807"/>
      <c r="AO210" s="33" t="e">
        <f>VLOOKUP(N210,'CONVENIOS 2021'!A$1:A$53,1,FALSE)</f>
        <v>#N/A</v>
      </c>
      <c r="AP210" s="33" t="e">
        <f>VLOOKUP(N210,'CONVENIOS 2020'!A$2:A$72,1,FALSE)</f>
        <v>#N/A</v>
      </c>
    </row>
    <row r="211" spans="1:42" s="18" customFormat="1" ht="25.5" hidden="1" customHeight="1" outlineLevel="1">
      <c r="A211" s="66"/>
      <c r="B211" s="180">
        <v>33</v>
      </c>
      <c r="C211" s="66"/>
      <c r="D211" s="66" t="s">
        <v>76</v>
      </c>
      <c r="E211" s="180" t="s">
        <v>69</v>
      </c>
      <c r="F211" s="66" t="s">
        <v>35</v>
      </c>
      <c r="G211" s="67" t="s">
        <v>49</v>
      </c>
      <c r="H211" s="68" t="s">
        <v>61</v>
      </c>
      <c r="I211" s="180" t="s">
        <v>173</v>
      </c>
      <c r="J211" s="180" t="s">
        <v>189</v>
      </c>
      <c r="K211" s="69">
        <v>10</v>
      </c>
      <c r="L211" s="66" t="s">
        <v>76</v>
      </c>
      <c r="M211" s="184" t="s">
        <v>40</v>
      </c>
      <c r="N211" s="182" t="s">
        <v>76</v>
      </c>
      <c r="O211" s="68"/>
      <c r="P211" s="68"/>
      <c r="Q211" s="184" t="s">
        <v>77</v>
      </c>
      <c r="R211" s="24"/>
      <c r="S211" s="188">
        <v>200000000</v>
      </c>
      <c r="T211" s="189">
        <v>0</v>
      </c>
      <c r="U211" s="189">
        <v>200000000</v>
      </c>
      <c r="V211" s="776">
        <f t="shared" si="103"/>
        <v>2580813</v>
      </c>
      <c r="W211" s="29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72">
        <v>2580813</v>
      </c>
      <c r="AI211" s="189">
        <f t="shared" si="104"/>
        <v>197419187</v>
      </c>
      <c r="AJ211" s="189">
        <f>+S211-T211-V211-AI211</f>
        <v>0</v>
      </c>
      <c r="AK211" s="796" t="s">
        <v>78</v>
      </c>
      <c r="AL211" s="796"/>
      <c r="AM211" s="796"/>
      <c r="AN211" s="799"/>
    </row>
    <row r="212" spans="1:42" s="38" customFormat="1" ht="25.5" hidden="1" customHeight="1" outlineLevel="1">
      <c r="A212" s="35"/>
      <c r="B212" s="35"/>
      <c r="C212" s="35"/>
      <c r="D212" s="35"/>
      <c r="E212" s="35"/>
      <c r="F212" s="36"/>
      <c r="G212" s="36"/>
      <c r="H212" s="37"/>
      <c r="I212" s="36"/>
      <c r="J212" s="36"/>
      <c r="K212" s="36"/>
      <c r="L212" s="35"/>
      <c r="N212" s="39"/>
      <c r="O212" s="39"/>
      <c r="P212" s="39"/>
      <c r="Q212" s="134" t="s">
        <v>80</v>
      </c>
      <c r="R212" s="116"/>
      <c r="S212" s="110">
        <f t="shared" ref="S212:U212" si="111">SUBTOTAL(9,S207:S211)</f>
        <v>1750669000</v>
      </c>
      <c r="T212" s="110">
        <f t="shared" ref="T212" si="112">SUBTOTAL(9,T207:T211)</f>
        <v>0</v>
      </c>
      <c r="U212" s="110">
        <f t="shared" si="111"/>
        <v>551533450</v>
      </c>
      <c r="V212" s="110">
        <f t="shared" ref="V212:AJ212" si="113">SUBTOTAL(9,V207:V211)</f>
        <v>0</v>
      </c>
      <c r="W212" s="110">
        <f t="shared" si="113"/>
        <v>0</v>
      </c>
      <c r="X212" s="110">
        <f t="shared" si="113"/>
        <v>0</v>
      </c>
      <c r="Y212" s="110">
        <f t="shared" si="113"/>
        <v>0</v>
      </c>
      <c r="Z212" s="110">
        <f t="shared" si="113"/>
        <v>0</v>
      </c>
      <c r="AA212" s="110">
        <f t="shared" si="113"/>
        <v>0</v>
      </c>
      <c r="AB212" s="110">
        <f t="shared" si="113"/>
        <v>0</v>
      </c>
      <c r="AC212" s="110">
        <f t="shared" si="113"/>
        <v>0</v>
      </c>
      <c r="AD212" s="110">
        <f t="shared" si="113"/>
        <v>0</v>
      </c>
      <c r="AE212" s="110">
        <f t="shared" si="113"/>
        <v>0</v>
      </c>
      <c r="AF212" s="110">
        <f t="shared" si="113"/>
        <v>0</v>
      </c>
      <c r="AG212" s="110">
        <f t="shared" si="113"/>
        <v>0</v>
      </c>
      <c r="AH212" s="110">
        <v>2580813</v>
      </c>
      <c r="AI212" s="110">
        <f t="shared" si="113"/>
        <v>551533450</v>
      </c>
      <c r="AJ212" s="110">
        <f t="shared" si="113"/>
        <v>1199135550</v>
      </c>
      <c r="AK212" s="796"/>
      <c r="AL212" s="796"/>
      <c r="AM212" s="796"/>
      <c r="AN212" s="799"/>
    </row>
    <row r="213" spans="1:42" s="90" customFormat="1" ht="24.75" hidden="1" customHeight="1" outlineLevel="1">
      <c r="A213" s="35"/>
      <c r="B213" s="35"/>
      <c r="C213" s="35"/>
      <c r="D213" s="35"/>
      <c r="E213" s="35"/>
      <c r="F213" s="36"/>
      <c r="G213" s="36"/>
      <c r="H213" s="37"/>
      <c r="I213" s="36"/>
      <c r="J213" s="36"/>
      <c r="K213" s="36"/>
      <c r="L213" s="35"/>
      <c r="M213" s="38"/>
      <c r="N213" s="39"/>
      <c r="O213" s="39"/>
      <c r="P213" s="39"/>
      <c r="Q213" s="46"/>
      <c r="R213" s="116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796"/>
      <c r="AL213" s="796"/>
      <c r="AM213" s="796"/>
      <c r="AN213" s="799"/>
    </row>
    <row r="214" spans="1:42" s="84" customFormat="1" ht="24.75" hidden="1" customHeight="1" outlineLevel="1">
      <c r="A214" s="36"/>
      <c r="B214" s="82"/>
      <c r="C214" s="82"/>
      <c r="D214" s="36"/>
      <c r="E214" s="36"/>
      <c r="F214" s="36"/>
      <c r="G214" s="36"/>
      <c r="H214" s="37"/>
      <c r="I214" s="36"/>
      <c r="J214" s="36"/>
      <c r="K214" s="36"/>
      <c r="L214" s="82"/>
      <c r="N214" s="83"/>
      <c r="O214" s="39"/>
      <c r="P214" s="39"/>
      <c r="Q214" s="85" t="s">
        <v>198</v>
      </c>
      <c r="R214" s="111"/>
      <c r="S214" s="88">
        <f t="shared" ref="S214:U214" si="114">S198+S204+S212</f>
        <v>14593575892</v>
      </c>
      <c r="T214" s="88">
        <f t="shared" ref="T214" si="115">T198+T204+T212</f>
        <v>1376386124</v>
      </c>
      <c r="U214" s="88">
        <f t="shared" si="114"/>
        <v>2881956200</v>
      </c>
      <c r="V214" s="88">
        <f t="shared" ref="V214:AJ214" si="116">V198+V204+V212</f>
        <v>0</v>
      </c>
      <c r="W214" s="88">
        <f t="shared" si="116"/>
        <v>0</v>
      </c>
      <c r="X214" s="88">
        <f t="shared" si="116"/>
        <v>0</v>
      </c>
      <c r="Y214" s="88">
        <f t="shared" si="116"/>
        <v>0</v>
      </c>
      <c r="Z214" s="88">
        <f t="shared" si="116"/>
        <v>0</v>
      </c>
      <c r="AA214" s="88">
        <f t="shared" si="116"/>
        <v>0</v>
      </c>
      <c r="AB214" s="88">
        <f t="shared" si="116"/>
        <v>0</v>
      </c>
      <c r="AC214" s="88">
        <f t="shared" si="116"/>
        <v>0</v>
      </c>
      <c r="AD214" s="88">
        <f t="shared" si="116"/>
        <v>0</v>
      </c>
      <c r="AE214" s="88">
        <f t="shared" si="116"/>
        <v>0</v>
      </c>
      <c r="AF214" s="88">
        <f t="shared" si="116"/>
        <v>0</v>
      </c>
      <c r="AG214" s="88">
        <f t="shared" si="116"/>
        <v>0</v>
      </c>
      <c r="AH214" s="88">
        <v>2580813</v>
      </c>
      <c r="AI214" s="88">
        <f t="shared" si="116"/>
        <v>2881956200</v>
      </c>
      <c r="AJ214" s="88">
        <f t="shared" si="116"/>
        <v>10335233568</v>
      </c>
      <c r="AK214" s="796"/>
      <c r="AL214" s="796"/>
      <c r="AM214" s="796"/>
      <c r="AN214" s="799"/>
    </row>
    <row r="215" spans="1:42" s="84" customFormat="1" ht="24.75" hidden="1" customHeight="1" outlineLevel="1">
      <c r="A215" s="36"/>
      <c r="B215" s="82"/>
      <c r="C215" s="82"/>
      <c r="D215" s="36"/>
      <c r="E215" s="36"/>
      <c r="F215" s="36"/>
      <c r="G215" s="36"/>
      <c r="H215" s="37"/>
      <c r="I215" s="36"/>
      <c r="J215" s="36"/>
      <c r="K215" s="36"/>
      <c r="L215" s="82"/>
      <c r="N215" s="83"/>
      <c r="O215" s="39"/>
      <c r="P215" s="39"/>
      <c r="Q215" s="91"/>
      <c r="R215" s="87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796"/>
      <c r="AL215" s="796"/>
      <c r="AM215" s="796"/>
      <c r="AN215" s="799"/>
    </row>
    <row r="216" spans="1:42" s="18" customFormat="1" ht="25.5" hidden="1" customHeight="1" outlineLevel="1">
      <c r="A216" s="36"/>
      <c r="B216" s="36"/>
      <c r="C216" s="36"/>
      <c r="D216" s="36"/>
      <c r="E216" s="36"/>
      <c r="F216" s="36"/>
      <c r="G216" s="36"/>
      <c r="H216" s="37"/>
      <c r="I216" s="36"/>
      <c r="J216" s="36"/>
      <c r="K216" s="36"/>
      <c r="L216" s="36"/>
      <c r="M216" s="95"/>
      <c r="N216" s="37"/>
      <c r="O216" s="39"/>
      <c r="P216" s="39"/>
      <c r="Q216" s="96" t="s">
        <v>199</v>
      </c>
      <c r="R216" s="50"/>
      <c r="S216" s="97"/>
      <c r="T216" s="97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796"/>
      <c r="AL216" s="796"/>
      <c r="AM216" s="796"/>
      <c r="AN216" s="799"/>
    </row>
    <row r="217" spans="1:42" s="33" customFormat="1" ht="25.5" hidden="1" customHeight="1" outlineLevel="2">
      <c r="A217" s="35"/>
      <c r="B217" s="35"/>
      <c r="C217" s="35"/>
      <c r="D217" s="35"/>
      <c r="E217" s="35"/>
      <c r="F217" s="36"/>
      <c r="G217" s="36"/>
      <c r="H217" s="37"/>
      <c r="I217" s="36"/>
      <c r="J217" s="36"/>
      <c r="K217" s="36"/>
      <c r="L217" s="35"/>
      <c r="M217" s="38"/>
      <c r="N217" s="39"/>
      <c r="O217" s="39"/>
      <c r="P217" s="39"/>
      <c r="Q217" s="17" t="s">
        <v>32</v>
      </c>
      <c r="R217" s="50"/>
      <c r="S217" s="51"/>
      <c r="T217" s="51"/>
      <c r="U217" s="52"/>
      <c r="V217" s="52"/>
      <c r="W217" s="52"/>
      <c r="X217" s="52"/>
      <c r="Y217" s="52"/>
      <c r="Z217" s="53"/>
      <c r="AA217" s="53"/>
      <c r="AB217" s="53"/>
      <c r="AC217" s="53"/>
      <c r="AD217" s="53"/>
      <c r="AE217" s="53"/>
      <c r="AF217" s="53"/>
      <c r="AG217" s="53"/>
      <c r="AH217" s="53"/>
      <c r="AI217" s="52"/>
      <c r="AJ217" s="52"/>
      <c r="AK217" s="796"/>
      <c r="AL217" s="796"/>
      <c r="AM217" s="796"/>
      <c r="AN217" s="799"/>
    </row>
    <row r="218" spans="1:42" s="33" customFormat="1" ht="25.5" hidden="1" customHeight="1" outlineLevel="2">
      <c r="A218" s="19"/>
      <c r="B218" s="19">
        <v>31</v>
      </c>
      <c r="C218" s="19"/>
      <c r="D218" s="19" t="s">
        <v>33</v>
      </c>
      <c r="E218" s="19" t="s">
        <v>34</v>
      </c>
      <c r="F218" s="19" t="s">
        <v>84</v>
      </c>
      <c r="G218" s="20" t="s">
        <v>49</v>
      </c>
      <c r="H218" s="21" t="s">
        <v>85</v>
      </c>
      <c r="I218" s="19" t="s">
        <v>173</v>
      </c>
      <c r="J218" s="19" t="s">
        <v>200</v>
      </c>
      <c r="K218" s="22">
        <v>11</v>
      </c>
      <c r="L218" s="19" t="s">
        <v>46</v>
      </c>
      <c r="M218" s="21" t="s">
        <v>56</v>
      </c>
      <c r="N218" s="21">
        <v>30085125</v>
      </c>
      <c r="O218" s="21" t="s">
        <v>754</v>
      </c>
      <c r="P218" s="21"/>
      <c r="Q218" s="23" t="s">
        <v>201</v>
      </c>
      <c r="R218" s="24"/>
      <c r="S218" s="26">
        <v>23800000</v>
      </c>
      <c r="T218" s="30">
        <v>14500000</v>
      </c>
      <c r="U218" s="30">
        <f>13700000-4400000</f>
        <v>9300000</v>
      </c>
      <c r="V218" s="285">
        <f t="shared" si="103"/>
        <v>0</v>
      </c>
      <c r="W218" s="29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>
        <v>0</v>
      </c>
      <c r="AI218" s="30">
        <f t="shared" si="104"/>
        <v>9300000</v>
      </c>
      <c r="AJ218" s="30">
        <f>+S218-T218-V218-AI218</f>
        <v>0</v>
      </c>
      <c r="AK218" s="796" t="s">
        <v>43</v>
      </c>
      <c r="AL218" s="796" t="s">
        <v>44</v>
      </c>
      <c r="AM218" s="796"/>
      <c r="AN218" s="799"/>
    </row>
    <row r="219" spans="1:42" s="33" customFormat="1" ht="25.5" hidden="1" customHeight="1" outlineLevel="2">
      <c r="A219" s="19"/>
      <c r="B219" s="19">
        <v>31</v>
      </c>
      <c r="C219" s="19"/>
      <c r="D219" s="19" t="s">
        <v>33</v>
      </c>
      <c r="E219" s="19" t="s">
        <v>34</v>
      </c>
      <c r="F219" s="19" t="s">
        <v>84</v>
      </c>
      <c r="G219" s="20" t="s">
        <v>49</v>
      </c>
      <c r="H219" s="21" t="s">
        <v>53</v>
      </c>
      <c r="I219" s="19" t="s">
        <v>173</v>
      </c>
      <c r="J219" s="19" t="s">
        <v>200</v>
      </c>
      <c r="K219" s="22">
        <v>11</v>
      </c>
      <c r="L219" s="19" t="s">
        <v>46</v>
      </c>
      <c r="M219" s="21" t="s">
        <v>56</v>
      </c>
      <c r="N219" s="21">
        <v>30328431</v>
      </c>
      <c r="O219" s="21" t="s">
        <v>754</v>
      </c>
      <c r="P219" s="21"/>
      <c r="Q219" s="23" t="s">
        <v>202</v>
      </c>
      <c r="R219" s="24"/>
      <c r="S219" s="26">
        <v>40280000</v>
      </c>
      <c r="T219" s="30">
        <v>20740000</v>
      </c>
      <c r="U219" s="30">
        <v>19540000</v>
      </c>
      <c r="V219" s="285">
        <f t="shared" si="103"/>
        <v>13160000</v>
      </c>
      <c r="W219" s="29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>
        <v>13160000</v>
      </c>
      <c r="AI219" s="30">
        <f t="shared" si="104"/>
        <v>6380000</v>
      </c>
      <c r="AJ219" s="30">
        <f>+S219-T219-V219-AI219</f>
        <v>0</v>
      </c>
      <c r="AK219" s="796" t="s">
        <v>43</v>
      </c>
      <c r="AL219" s="796" t="s">
        <v>44</v>
      </c>
      <c r="AM219" s="796"/>
      <c r="AN219" s="799"/>
    </row>
    <row r="220" spans="1:42" s="33" customFormat="1" ht="25.5" hidden="1" customHeight="1" outlineLevel="2">
      <c r="A220" s="19"/>
      <c r="B220" s="19">
        <v>31</v>
      </c>
      <c r="C220" s="19"/>
      <c r="D220" s="19" t="s">
        <v>33</v>
      </c>
      <c r="E220" s="19" t="s">
        <v>34</v>
      </c>
      <c r="F220" s="19"/>
      <c r="G220" s="20"/>
      <c r="H220" s="21" t="s">
        <v>53</v>
      </c>
      <c r="I220" s="19" t="s">
        <v>173</v>
      </c>
      <c r="J220" s="19" t="s">
        <v>200</v>
      </c>
      <c r="K220" s="22">
        <v>11</v>
      </c>
      <c r="L220" s="19" t="s">
        <v>46</v>
      </c>
      <c r="M220" s="23" t="s">
        <v>40</v>
      </c>
      <c r="N220" s="21">
        <v>30248522</v>
      </c>
      <c r="O220" s="21" t="s">
        <v>684</v>
      </c>
      <c r="P220" s="21"/>
      <c r="Q220" s="23" t="s">
        <v>203</v>
      </c>
      <c r="R220" s="24"/>
      <c r="S220" s="26">
        <v>1321664194</v>
      </c>
      <c r="T220" s="30">
        <v>0</v>
      </c>
      <c r="U220" s="30">
        <f>16220000+4400000</f>
        <v>20620000</v>
      </c>
      <c r="V220" s="285">
        <f t="shared" si="103"/>
        <v>0</v>
      </c>
      <c r="W220" s="29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>
        <v>0</v>
      </c>
      <c r="AI220" s="30">
        <f t="shared" si="104"/>
        <v>20620000</v>
      </c>
      <c r="AJ220" s="30">
        <f>+S220-T220-V220-AI220</f>
        <v>1301044194</v>
      </c>
      <c r="AK220" s="796" t="s">
        <v>43</v>
      </c>
      <c r="AL220" s="796"/>
      <c r="AM220" s="796"/>
      <c r="AN220" s="799"/>
    </row>
    <row r="221" spans="1:42" s="38" customFormat="1" ht="25.5" hidden="1" customHeight="1" outlineLevel="1">
      <c r="A221" s="35"/>
      <c r="B221" s="35"/>
      <c r="C221" s="35"/>
      <c r="D221" s="35"/>
      <c r="E221" s="35"/>
      <c r="F221" s="36"/>
      <c r="G221" s="36"/>
      <c r="H221" s="37"/>
      <c r="I221" s="36"/>
      <c r="J221" s="36"/>
      <c r="K221" s="36"/>
      <c r="L221" s="35"/>
      <c r="N221" s="39"/>
      <c r="O221" s="39"/>
      <c r="P221" s="39"/>
      <c r="Q221" s="132" t="s">
        <v>58</v>
      </c>
      <c r="R221" s="41"/>
      <c r="S221" s="133">
        <f t="shared" ref="S221:AJ221" si="117">SUBTOTAL(9,S218:S220)</f>
        <v>0</v>
      </c>
      <c r="T221" s="133">
        <f t="shared" ref="T221" si="118">SUBTOTAL(9,T218:T220)</f>
        <v>0</v>
      </c>
      <c r="U221" s="133">
        <f t="shared" si="117"/>
        <v>0</v>
      </c>
      <c r="V221" s="133">
        <f t="shared" si="117"/>
        <v>0</v>
      </c>
      <c r="W221" s="133">
        <f t="shared" si="117"/>
        <v>0</v>
      </c>
      <c r="X221" s="133">
        <f t="shared" si="117"/>
        <v>0</v>
      </c>
      <c r="Y221" s="133">
        <f t="shared" si="117"/>
        <v>0</v>
      </c>
      <c r="Z221" s="133">
        <f t="shared" si="117"/>
        <v>0</v>
      </c>
      <c r="AA221" s="133">
        <f t="shared" si="117"/>
        <v>0</v>
      </c>
      <c r="AB221" s="133">
        <f t="shared" si="117"/>
        <v>0</v>
      </c>
      <c r="AC221" s="133">
        <f t="shared" si="117"/>
        <v>0</v>
      </c>
      <c r="AD221" s="133">
        <f t="shared" si="117"/>
        <v>0</v>
      </c>
      <c r="AE221" s="133">
        <f t="shared" si="117"/>
        <v>0</v>
      </c>
      <c r="AF221" s="133">
        <f t="shared" si="117"/>
        <v>0</v>
      </c>
      <c r="AG221" s="133">
        <f t="shared" si="117"/>
        <v>0</v>
      </c>
      <c r="AH221" s="133">
        <v>13160000</v>
      </c>
      <c r="AI221" s="133">
        <f t="shared" si="117"/>
        <v>0</v>
      </c>
      <c r="AJ221" s="133">
        <f t="shared" si="117"/>
        <v>0</v>
      </c>
      <c r="AK221" s="796"/>
      <c r="AL221" s="796" t="s">
        <v>90</v>
      </c>
      <c r="AM221" s="796"/>
      <c r="AN221" s="799"/>
    </row>
    <row r="222" spans="1:42" s="18" customFormat="1" ht="25.5" hidden="1" customHeight="1" outlineLevel="1">
      <c r="A222" s="35"/>
      <c r="B222" s="35"/>
      <c r="C222" s="35"/>
      <c r="D222" s="35"/>
      <c r="E222" s="35"/>
      <c r="F222" s="36"/>
      <c r="G222" s="36"/>
      <c r="H222" s="37"/>
      <c r="I222" s="36"/>
      <c r="J222" s="36"/>
      <c r="K222" s="36"/>
      <c r="L222" s="35"/>
      <c r="M222" s="38"/>
      <c r="N222" s="39"/>
      <c r="O222" s="39"/>
      <c r="P222" s="39"/>
      <c r="Q222" s="46"/>
      <c r="R222" s="42"/>
      <c r="S222" s="47"/>
      <c r="T222" s="47"/>
      <c r="U222" s="47"/>
      <c r="V222" s="47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7"/>
      <c r="AJ222" s="47"/>
      <c r="AK222" s="796"/>
      <c r="AL222" s="796"/>
      <c r="AM222" s="796"/>
      <c r="AN222" s="799"/>
    </row>
    <row r="223" spans="1:42" s="33" customFormat="1" ht="25.5" hidden="1" customHeight="1" outlineLevel="2">
      <c r="A223" s="35"/>
      <c r="B223" s="35"/>
      <c r="C223" s="35"/>
      <c r="D223" s="35"/>
      <c r="E223" s="35"/>
      <c r="F223" s="36"/>
      <c r="G223" s="36"/>
      <c r="H223" s="37"/>
      <c r="I223" s="36"/>
      <c r="J223" s="36"/>
      <c r="K223" s="36"/>
      <c r="L223" s="35"/>
      <c r="M223" s="38"/>
      <c r="N223" s="39"/>
      <c r="O223" s="39"/>
      <c r="P223" s="39"/>
      <c r="Q223" s="17" t="s">
        <v>59</v>
      </c>
      <c r="R223" s="50"/>
      <c r="S223" s="51"/>
      <c r="T223" s="51"/>
      <c r="U223" s="52"/>
      <c r="V223" s="52"/>
      <c r="W223" s="52"/>
      <c r="X223" s="52"/>
      <c r="Y223" s="52"/>
      <c r="Z223" s="53"/>
      <c r="AA223" s="53"/>
      <c r="AB223" s="53"/>
      <c r="AC223" s="53"/>
      <c r="AD223" s="53"/>
      <c r="AE223" s="53"/>
      <c r="AF223" s="53"/>
      <c r="AG223" s="53"/>
      <c r="AH223" s="53"/>
      <c r="AI223" s="52"/>
      <c r="AJ223" s="52"/>
      <c r="AK223" s="796"/>
      <c r="AL223" s="796"/>
      <c r="AM223" s="796"/>
      <c r="AN223" s="799"/>
    </row>
    <row r="224" spans="1:42" s="18" customFormat="1" ht="25.5" hidden="1" customHeight="1" outlineLevel="1">
      <c r="A224" s="54"/>
      <c r="B224" s="54">
        <v>31</v>
      </c>
      <c r="C224" s="54"/>
      <c r="D224" s="54" t="s">
        <v>33</v>
      </c>
      <c r="E224" s="54" t="s">
        <v>60</v>
      </c>
      <c r="F224" s="54" t="s">
        <v>35</v>
      </c>
      <c r="G224" s="55" t="s">
        <v>49</v>
      </c>
      <c r="H224" s="56" t="s">
        <v>50</v>
      </c>
      <c r="I224" s="54" t="s">
        <v>173</v>
      </c>
      <c r="J224" s="54" t="s">
        <v>200</v>
      </c>
      <c r="K224" s="57">
        <v>11</v>
      </c>
      <c r="L224" s="54" t="s">
        <v>46</v>
      </c>
      <c r="M224" s="58" t="s">
        <v>56</v>
      </c>
      <c r="N224" s="56">
        <v>40006863</v>
      </c>
      <c r="O224" s="56" t="s">
        <v>754</v>
      </c>
      <c r="P224" s="56"/>
      <c r="Q224" s="58" t="s">
        <v>204</v>
      </c>
      <c r="R224" s="24"/>
      <c r="S224" s="59">
        <v>129430000</v>
      </c>
      <c r="T224" s="60">
        <v>22757400</v>
      </c>
      <c r="U224" s="60">
        <v>40000000</v>
      </c>
      <c r="V224" s="292">
        <f t="shared" si="103"/>
        <v>0</v>
      </c>
      <c r="W224" s="29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>
        <v>0</v>
      </c>
      <c r="AI224" s="60">
        <f t="shared" si="104"/>
        <v>40000000</v>
      </c>
      <c r="AJ224" s="60">
        <f>+S224-T224-V224-AI224</f>
        <v>66672600</v>
      </c>
      <c r="AK224" s="796" t="s">
        <v>43</v>
      </c>
      <c r="AL224" s="796" t="s">
        <v>162</v>
      </c>
      <c r="AM224" s="796"/>
      <c r="AN224" s="799"/>
    </row>
    <row r="225" spans="1:42" s="18" customFormat="1" ht="25.5" customHeight="1" outlineLevel="1">
      <c r="A225" s="54"/>
      <c r="B225" s="801">
        <v>31</v>
      </c>
      <c r="C225" s="729"/>
      <c r="D225" s="54" t="s">
        <v>33</v>
      </c>
      <c r="E225" s="801" t="s">
        <v>60</v>
      </c>
      <c r="F225" s="729" t="s">
        <v>84</v>
      </c>
      <c r="G225" s="55" t="s">
        <v>158</v>
      </c>
      <c r="H225" s="56" t="s">
        <v>72</v>
      </c>
      <c r="I225" s="801" t="s">
        <v>173</v>
      </c>
      <c r="J225" s="801" t="s">
        <v>200</v>
      </c>
      <c r="K225" s="57">
        <v>11</v>
      </c>
      <c r="L225" s="54" t="s">
        <v>205</v>
      </c>
      <c r="M225" s="802" t="s">
        <v>40</v>
      </c>
      <c r="N225" s="803">
        <v>30116479</v>
      </c>
      <c r="O225" s="770" t="s">
        <v>754</v>
      </c>
      <c r="P225" s="56"/>
      <c r="Q225" s="802" t="s">
        <v>206</v>
      </c>
      <c r="R225" s="24"/>
      <c r="S225" s="804">
        <v>606455904</v>
      </c>
      <c r="T225" s="805">
        <v>0</v>
      </c>
      <c r="U225" s="805">
        <v>200209996</v>
      </c>
      <c r="V225" s="805">
        <f t="shared" si="103"/>
        <v>0</v>
      </c>
      <c r="W225" s="29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>
        <v>0</v>
      </c>
      <c r="AI225" s="805">
        <f t="shared" si="104"/>
        <v>200209996</v>
      </c>
      <c r="AJ225" s="805">
        <f>+S225-T225-V225-AI225</f>
        <v>406245908</v>
      </c>
      <c r="AK225" s="806" t="s">
        <v>43</v>
      </c>
      <c r="AL225" s="806" t="s">
        <v>767</v>
      </c>
      <c r="AM225" s="806"/>
      <c r="AN225" s="807">
        <v>44221</v>
      </c>
      <c r="AO225" s="33" t="e">
        <f>VLOOKUP(N225,'CONVENIOS 2021'!A$1:A$53,1,FALSE)</f>
        <v>#N/A</v>
      </c>
      <c r="AP225" s="33" t="e">
        <f>VLOOKUP(N225,'CONVENIOS 2020'!A$2:A$72,1,FALSE)</f>
        <v>#N/A</v>
      </c>
    </row>
    <row r="226" spans="1:42" s="38" customFormat="1" ht="25.5" customHeight="1" outlineLevel="1">
      <c r="A226" s="54"/>
      <c r="B226" s="801">
        <v>31</v>
      </c>
      <c r="C226" s="729"/>
      <c r="D226" s="54" t="s">
        <v>33</v>
      </c>
      <c r="E226" s="801" t="s">
        <v>60</v>
      </c>
      <c r="F226" s="729" t="s">
        <v>84</v>
      </c>
      <c r="G226" s="54" t="s">
        <v>49</v>
      </c>
      <c r="H226" s="56" t="s">
        <v>50</v>
      </c>
      <c r="I226" s="801" t="s">
        <v>173</v>
      </c>
      <c r="J226" s="801" t="s">
        <v>200</v>
      </c>
      <c r="K226" s="729">
        <v>11</v>
      </c>
      <c r="L226" s="54" t="s">
        <v>46</v>
      </c>
      <c r="M226" s="802" t="s">
        <v>56</v>
      </c>
      <c r="N226" s="803">
        <v>40015801</v>
      </c>
      <c r="O226" s="770"/>
      <c r="P226" s="56"/>
      <c r="Q226" s="802" t="s">
        <v>207</v>
      </c>
      <c r="R226" s="62"/>
      <c r="S226" s="804">
        <v>122370000</v>
      </c>
      <c r="T226" s="805">
        <v>0</v>
      </c>
      <c r="U226" s="805">
        <v>10000000</v>
      </c>
      <c r="V226" s="805">
        <f t="shared" si="103"/>
        <v>0</v>
      </c>
      <c r="W226" s="157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28">
        <v>0</v>
      </c>
      <c r="AI226" s="805">
        <f t="shared" si="104"/>
        <v>10000000</v>
      </c>
      <c r="AJ226" s="805">
        <f>+S226-T226-V226-AI226</f>
        <v>112370000</v>
      </c>
      <c r="AK226" s="806" t="s">
        <v>43</v>
      </c>
      <c r="AL226" s="806" t="s">
        <v>773</v>
      </c>
      <c r="AM226" s="806"/>
      <c r="AN226" s="807"/>
      <c r="AO226" s="33" t="e">
        <f>VLOOKUP(N226,'CONVENIOS 2021'!A$1:A$53,1,FALSE)</f>
        <v>#N/A</v>
      </c>
      <c r="AP226" s="33" t="e">
        <f>VLOOKUP(N226,'CONVENIOS 2020'!A$2:A$72,1,FALSE)</f>
        <v>#N/A</v>
      </c>
    </row>
    <row r="227" spans="1:42" s="18" customFormat="1" ht="25.5" customHeight="1" outlineLevel="1">
      <c r="A227" s="54" t="s">
        <v>118</v>
      </c>
      <c r="B227" s="801">
        <v>31</v>
      </c>
      <c r="C227" s="729"/>
      <c r="D227" s="54" t="s">
        <v>33</v>
      </c>
      <c r="E227" s="801" t="s">
        <v>60</v>
      </c>
      <c r="F227" s="729" t="s">
        <v>84</v>
      </c>
      <c r="G227" s="55" t="s">
        <v>208</v>
      </c>
      <c r="H227" s="56" t="s">
        <v>208</v>
      </c>
      <c r="I227" s="801" t="s">
        <v>173</v>
      </c>
      <c r="J227" s="801" t="s">
        <v>200</v>
      </c>
      <c r="K227" s="57">
        <v>11</v>
      </c>
      <c r="L227" s="54" t="s">
        <v>46</v>
      </c>
      <c r="M227" s="802" t="s">
        <v>40</v>
      </c>
      <c r="N227" s="803">
        <v>40019107</v>
      </c>
      <c r="O227" s="770" t="s">
        <v>683</v>
      </c>
      <c r="P227" s="56"/>
      <c r="Q227" s="802" t="s">
        <v>209</v>
      </c>
      <c r="R227" s="148"/>
      <c r="S227" s="804">
        <v>769101000</v>
      </c>
      <c r="T227" s="805">
        <v>0</v>
      </c>
      <c r="U227" s="805">
        <v>400000000</v>
      </c>
      <c r="V227" s="805">
        <f t="shared" si="103"/>
        <v>0</v>
      </c>
      <c r="W227" s="149"/>
      <c r="X227" s="150"/>
      <c r="Y227" s="150"/>
      <c r="Z227" s="150"/>
      <c r="AA227" s="120"/>
      <c r="AB227" s="120"/>
      <c r="AC227" s="120"/>
      <c r="AD227" s="120"/>
      <c r="AE227" s="120"/>
      <c r="AF227" s="120"/>
      <c r="AG227" s="150"/>
      <c r="AH227" s="28">
        <v>0</v>
      </c>
      <c r="AI227" s="805">
        <f t="shared" si="104"/>
        <v>400000000</v>
      </c>
      <c r="AJ227" s="805">
        <f>+S227-T227-V227-AI227</f>
        <v>369101000</v>
      </c>
      <c r="AK227" s="806" t="s">
        <v>43</v>
      </c>
      <c r="AL227" s="806" t="s">
        <v>759</v>
      </c>
      <c r="AM227" s="806" t="str">
        <f t="shared" ref="AM225:AM227" si="119">HYPERLINK(CONCATENATE("DOCUMENTOS\ACTA-",N227,".PDF"))</f>
        <v>DOCUMENTOS\ACTA-40019107.PDF</v>
      </c>
      <c r="AN227" s="807"/>
      <c r="AO227" s="33" t="e">
        <f>VLOOKUP(N227,'CONVENIOS 2021'!A$1:A$53,1,FALSE)</f>
        <v>#N/A</v>
      </c>
      <c r="AP227" s="33" t="e">
        <f>VLOOKUP(N227,'CONVENIOS 2020'!A$2:A$72,1,FALSE)</f>
        <v>#N/A</v>
      </c>
    </row>
    <row r="228" spans="1:42" s="38" customFormat="1" ht="25.5" hidden="1" customHeight="1" outlineLevel="1">
      <c r="A228" s="35"/>
      <c r="B228" s="35"/>
      <c r="C228" s="35"/>
      <c r="D228" s="35"/>
      <c r="E228" s="35"/>
      <c r="F228" s="36"/>
      <c r="G228" s="36"/>
      <c r="H228" s="37"/>
      <c r="I228" s="36"/>
      <c r="J228" s="36"/>
      <c r="K228" s="36"/>
      <c r="L228" s="35"/>
      <c r="N228" s="39"/>
      <c r="O228" s="39"/>
      <c r="P228" s="39"/>
      <c r="Q228" s="139" t="s">
        <v>67</v>
      </c>
      <c r="R228" s="64"/>
      <c r="S228" s="140">
        <f t="shared" ref="S228:AJ228" si="120">SUBTOTAL(9,S224:S227)</f>
        <v>1497926904</v>
      </c>
      <c r="T228" s="140">
        <f t="shared" ref="T228" si="121">SUBTOTAL(9,T224:T227)</f>
        <v>0</v>
      </c>
      <c r="U228" s="140">
        <f t="shared" si="120"/>
        <v>610209996</v>
      </c>
      <c r="V228" s="140">
        <f t="shared" si="120"/>
        <v>0</v>
      </c>
      <c r="W228" s="140">
        <f t="shared" si="120"/>
        <v>0</v>
      </c>
      <c r="X228" s="140">
        <f t="shared" si="120"/>
        <v>0</v>
      </c>
      <c r="Y228" s="140">
        <f t="shared" si="120"/>
        <v>0</v>
      </c>
      <c r="Z228" s="140">
        <f t="shared" si="120"/>
        <v>0</v>
      </c>
      <c r="AA228" s="140">
        <f t="shared" si="120"/>
        <v>0</v>
      </c>
      <c r="AB228" s="140">
        <f t="shared" si="120"/>
        <v>0</v>
      </c>
      <c r="AC228" s="140">
        <f t="shared" si="120"/>
        <v>0</v>
      </c>
      <c r="AD228" s="140">
        <f t="shared" si="120"/>
        <v>0</v>
      </c>
      <c r="AE228" s="140">
        <f t="shared" si="120"/>
        <v>0</v>
      </c>
      <c r="AF228" s="140">
        <f t="shared" si="120"/>
        <v>0</v>
      </c>
      <c r="AG228" s="140">
        <f t="shared" si="120"/>
        <v>0</v>
      </c>
      <c r="AH228" s="140">
        <v>0</v>
      </c>
      <c r="AI228" s="140">
        <f t="shared" si="120"/>
        <v>610209996</v>
      </c>
      <c r="AJ228" s="140">
        <f t="shared" si="120"/>
        <v>887716908</v>
      </c>
      <c r="AK228" s="796"/>
      <c r="AL228" s="796"/>
      <c r="AM228" s="796"/>
      <c r="AN228" s="799"/>
    </row>
    <row r="229" spans="1:42" s="38" customFormat="1" ht="25.5" hidden="1" customHeight="1" outlineLevel="1">
      <c r="A229" s="35"/>
      <c r="B229" s="35"/>
      <c r="C229" s="35"/>
      <c r="D229" s="35"/>
      <c r="E229" s="35"/>
      <c r="F229" s="36"/>
      <c r="G229" s="36"/>
      <c r="H229" s="37"/>
      <c r="I229" s="36"/>
      <c r="J229" s="36"/>
      <c r="K229" s="36"/>
      <c r="L229" s="35"/>
      <c r="N229" s="39"/>
      <c r="O229" s="39"/>
      <c r="P229" s="39"/>
      <c r="Q229" s="46"/>
      <c r="R229" s="42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796"/>
      <c r="AL229" s="796"/>
      <c r="AM229" s="796"/>
      <c r="AN229" s="799"/>
    </row>
    <row r="230" spans="1:42" s="18" customFormat="1" ht="25.5" hidden="1" customHeight="1" outlineLevel="1">
      <c r="A230" s="35"/>
      <c r="B230" s="35"/>
      <c r="C230" s="35"/>
      <c r="D230" s="35"/>
      <c r="E230" s="35"/>
      <c r="F230" s="36"/>
      <c r="G230" s="36"/>
      <c r="H230" s="37"/>
      <c r="I230" s="36"/>
      <c r="J230" s="36"/>
      <c r="K230" s="36"/>
      <c r="L230" s="35"/>
      <c r="M230" s="38"/>
      <c r="N230" s="39"/>
      <c r="O230" s="39"/>
      <c r="P230" s="39"/>
      <c r="Q230" s="17" t="s">
        <v>68</v>
      </c>
      <c r="R230" s="42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796"/>
      <c r="AL230" s="796"/>
      <c r="AM230" s="796"/>
      <c r="AN230" s="799"/>
    </row>
    <row r="231" spans="1:42" s="38" customFormat="1" ht="25.5" hidden="1" customHeight="1" outlineLevel="1">
      <c r="A231" s="66"/>
      <c r="B231" s="66">
        <v>31</v>
      </c>
      <c r="C231" s="730"/>
      <c r="D231" s="66" t="s">
        <v>33</v>
      </c>
      <c r="E231" s="66" t="s">
        <v>69</v>
      </c>
      <c r="F231" s="730"/>
      <c r="G231" s="66"/>
      <c r="H231" s="68" t="s">
        <v>85</v>
      </c>
      <c r="I231" s="66" t="s">
        <v>173</v>
      </c>
      <c r="J231" s="66" t="s">
        <v>200</v>
      </c>
      <c r="K231" s="69">
        <v>11</v>
      </c>
      <c r="L231" s="66" t="s">
        <v>46</v>
      </c>
      <c r="M231" s="70" t="s">
        <v>56</v>
      </c>
      <c r="N231" s="68">
        <v>40015528</v>
      </c>
      <c r="O231" s="68"/>
      <c r="P231" s="68"/>
      <c r="Q231" s="742" t="s">
        <v>210</v>
      </c>
      <c r="R231" s="24"/>
      <c r="S231" s="71">
        <v>25000000</v>
      </c>
      <c r="T231" s="72">
        <v>0</v>
      </c>
      <c r="U231" s="72">
        <v>10000000</v>
      </c>
      <c r="V231" s="297">
        <f t="shared" si="103"/>
        <v>0</v>
      </c>
      <c r="W231" s="29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>
        <v>0</v>
      </c>
      <c r="AI231" s="72">
        <f t="shared" si="104"/>
        <v>10000000</v>
      </c>
      <c r="AJ231" s="72">
        <f>+S231-T231-V231-AI231</f>
        <v>15000000</v>
      </c>
      <c r="AK231" s="796" t="s">
        <v>43</v>
      </c>
      <c r="AL231" s="796" t="s">
        <v>66</v>
      </c>
      <c r="AM231" s="796"/>
      <c r="AN231" s="799"/>
      <c r="AO231" s="33">
        <f>VLOOKUP(N231,'CONVENIOS 2021'!A$1:A$53,1,FALSE)</f>
        <v>40015528</v>
      </c>
    </row>
    <row r="232" spans="1:42" s="38" customFormat="1" ht="25.5" hidden="1" customHeight="1" outlineLevel="1">
      <c r="A232" s="66"/>
      <c r="B232" s="66">
        <v>31</v>
      </c>
      <c r="C232" s="730"/>
      <c r="D232" s="66" t="s">
        <v>33</v>
      </c>
      <c r="E232" s="66" t="s">
        <v>69</v>
      </c>
      <c r="F232" s="730"/>
      <c r="G232" s="66"/>
      <c r="H232" s="68" t="s">
        <v>45</v>
      </c>
      <c r="I232" s="66" t="s">
        <v>173</v>
      </c>
      <c r="J232" s="66" t="s">
        <v>200</v>
      </c>
      <c r="K232" s="69">
        <v>11</v>
      </c>
      <c r="L232" s="66" t="s">
        <v>46</v>
      </c>
      <c r="M232" s="70" t="s">
        <v>56</v>
      </c>
      <c r="N232" s="68">
        <v>40005745</v>
      </c>
      <c r="O232" s="68"/>
      <c r="P232" s="68"/>
      <c r="Q232" s="742" t="s">
        <v>211</v>
      </c>
      <c r="R232" s="24"/>
      <c r="S232" s="71">
        <v>42500000</v>
      </c>
      <c r="T232" s="72">
        <v>0</v>
      </c>
      <c r="U232" s="72">
        <v>10000000</v>
      </c>
      <c r="V232" s="297">
        <f t="shared" si="103"/>
        <v>0</v>
      </c>
      <c r="W232" s="29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>
        <v>0</v>
      </c>
      <c r="AI232" s="72">
        <f t="shared" si="104"/>
        <v>10000000</v>
      </c>
      <c r="AJ232" s="72">
        <f>+S232-T232-V232-AI232</f>
        <v>32500000</v>
      </c>
      <c r="AK232" s="796" t="s">
        <v>43</v>
      </c>
      <c r="AL232" s="796" t="s">
        <v>66</v>
      </c>
      <c r="AM232" s="796"/>
      <c r="AN232" s="799"/>
      <c r="AO232" s="33">
        <f>VLOOKUP(N232,'CONVENIOS 2021'!A$1:A$53,1,FALSE)</f>
        <v>40005745</v>
      </c>
    </row>
    <row r="233" spans="1:42" s="18" customFormat="1" ht="25.5" hidden="1" customHeight="1" outlineLevel="1">
      <c r="A233" s="66"/>
      <c r="B233" s="66">
        <v>33</v>
      </c>
      <c r="C233" s="66"/>
      <c r="D233" s="66" t="s">
        <v>76</v>
      </c>
      <c r="E233" s="66" t="s">
        <v>69</v>
      </c>
      <c r="F233" s="66" t="s">
        <v>35</v>
      </c>
      <c r="G233" s="67" t="s">
        <v>49</v>
      </c>
      <c r="H233" s="68" t="s">
        <v>61</v>
      </c>
      <c r="I233" s="66" t="s">
        <v>173</v>
      </c>
      <c r="J233" s="66" t="s">
        <v>200</v>
      </c>
      <c r="K233" s="69">
        <v>11</v>
      </c>
      <c r="L233" s="66" t="s">
        <v>76</v>
      </c>
      <c r="M233" s="70" t="s">
        <v>40</v>
      </c>
      <c r="N233" s="68" t="s">
        <v>76</v>
      </c>
      <c r="O233" s="68"/>
      <c r="P233" s="68"/>
      <c r="Q233" s="70" t="s">
        <v>77</v>
      </c>
      <c r="R233" s="141"/>
      <c r="S233" s="71">
        <v>200000000</v>
      </c>
      <c r="T233" s="72">
        <v>0</v>
      </c>
      <c r="U233" s="72">
        <v>200000000</v>
      </c>
      <c r="V233" s="296">
        <f t="shared" si="103"/>
        <v>26963134</v>
      </c>
      <c r="W233" s="144"/>
      <c r="X233" s="143"/>
      <c r="Y233" s="143"/>
      <c r="Z233" s="143"/>
      <c r="AA233" s="143"/>
      <c r="AB233" s="28"/>
      <c r="AC233" s="143"/>
      <c r="AD233" s="143"/>
      <c r="AE233" s="143"/>
      <c r="AF233" s="143"/>
      <c r="AG233" s="28"/>
      <c r="AH233" s="72">
        <v>26963134</v>
      </c>
      <c r="AI233" s="72">
        <f t="shared" si="104"/>
        <v>173036866</v>
      </c>
      <c r="AJ233" s="72">
        <f>+S233-T233-V233-AI233</f>
        <v>0</v>
      </c>
      <c r="AK233" s="796" t="s">
        <v>78</v>
      </c>
      <c r="AL233" s="796"/>
      <c r="AM233" s="796"/>
      <c r="AN233" s="799"/>
    </row>
    <row r="234" spans="1:42" s="38" customFormat="1" ht="25.5" hidden="1" customHeight="1" outlineLevel="1">
      <c r="A234" s="35"/>
      <c r="B234" s="35"/>
      <c r="C234" s="35"/>
      <c r="D234" s="35"/>
      <c r="E234" s="35"/>
      <c r="F234" s="36"/>
      <c r="G234" s="36"/>
      <c r="H234" s="37"/>
      <c r="I234" s="36"/>
      <c r="J234" s="36"/>
      <c r="K234" s="36"/>
      <c r="L234" s="35"/>
      <c r="N234" s="39"/>
      <c r="O234" s="39"/>
      <c r="P234" s="39"/>
      <c r="Q234" s="134" t="s">
        <v>80</v>
      </c>
      <c r="R234" s="42"/>
      <c r="S234" s="110">
        <f t="shared" ref="S234:U234" si="122">SUBTOTAL(9,S231:S233)</f>
        <v>0</v>
      </c>
      <c r="T234" s="110">
        <f t="shared" ref="T234" si="123">SUBTOTAL(9,T231:T233)</f>
        <v>0</v>
      </c>
      <c r="U234" s="110">
        <f t="shared" si="122"/>
        <v>0</v>
      </c>
      <c r="V234" s="110">
        <f t="shared" ref="V234:AJ234" si="124">SUBTOTAL(9,V231:V233)</f>
        <v>0</v>
      </c>
      <c r="W234" s="110">
        <f t="shared" si="124"/>
        <v>0</v>
      </c>
      <c r="X234" s="110">
        <f t="shared" si="124"/>
        <v>0</v>
      </c>
      <c r="Y234" s="110">
        <f t="shared" si="124"/>
        <v>0</v>
      </c>
      <c r="Z234" s="110">
        <f t="shared" si="124"/>
        <v>0</v>
      </c>
      <c r="AA234" s="110">
        <f t="shared" si="124"/>
        <v>0</v>
      </c>
      <c r="AB234" s="110">
        <f t="shared" si="124"/>
        <v>0</v>
      </c>
      <c r="AC234" s="110">
        <f t="shared" si="124"/>
        <v>0</v>
      </c>
      <c r="AD234" s="110">
        <f t="shared" si="124"/>
        <v>0</v>
      </c>
      <c r="AE234" s="110">
        <f t="shared" si="124"/>
        <v>0</v>
      </c>
      <c r="AF234" s="110">
        <f t="shared" si="124"/>
        <v>0</v>
      </c>
      <c r="AG234" s="110">
        <f t="shared" si="124"/>
        <v>0</v>
      </c>
      <c r="AH234" s="110">
        <v>26963134</v>
      </c>
      <c r="AI234" s="110">
        <f t="shared" si="124"/>
        <v>0</v>
      </c>
      <c r="AJ234" s="110">
        <f t="shared" si="124"/>
        <v>0</v>
      </c>
      <c r="AK234" s="796"/>
      <c r="AL234" s="796"/>
      <c r="AM234" s="796"/>
      <c r="AN234" s="799"/>
    </row>
    <row r="235" spans="1:42" s="90" customFormat="1" ht="24.75" hidden="1" customHeight="1" outlineLevel="1">
      <c r="A235" s="35"/>
      <c r="B235" s="35"/>
      <c r="C235" s="35"/>
      <c r="D235" s="35"/>
      <c r="E235" s="35"/>
      <c r="F235" s="36"/>
      <c r="G235" s="36"/>
      <c r="H235" s="37"/>
      <c r="I235" s="36"/>
      <c r="J235" s="36"/>
      <c r="K235" s="36"/>
      <c r="L235" s="35"/>
      <c r="M235" s="38"/>
      <c r="N235" s="39"/>
      <c r="O235" s="39"/>
      <c r="P235" s="39"/>
      <c r="Q235" s="46"/>
      <c r="R235" s="42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796"/>
      <c r="AL235" s="796"/>
      <c r="AM235" s="796"/>
      <c r="AN235" s="799"/>
    </row>
    <row r="236" spans="1:42" s="84" customFormat="1" ht="24.75" hidden="1" customHeight="1" outlineLevel="1">
      <c r="A236" s="36"/>
      <c r="B236" s="82"/>
      <c r="C236" s="82"/>
      <c r="D236" s="36"/>
      <c r="E236" s="36"/>
      <c r="F236" s="36"/>
      <c r="G236" s="36"/>
      <c r="H236" s="37"/>
      <c r="I236" s="36"/>
      <c r="J236" s="36"/>
      <c r="K236" s="36"/>
      <c r="L236" s="82"/>
      <c r="N236" s="83"/>
      <c r="O236" s="39"/>
      <c r="P236" s="39"/>
      <c r="Q236" s="85" t="s">
        <v>212</v>
      </c>
      <c r="R236" s="111"/>
      <c r="S236" s="88">
        <f t="shared" ref="S236:U236" si="125">S221+S228+S234</f>
        <v>1497926904</v>
      </c>
      <c r="T236" s="88">
        <f t="shared" ref="T236" si="126">T221+T228+T234</f>
        <v>0</v>
      </c>
      <c r="U236" s="88">
        <f t="shared" si="125"/>
        <v>610209996</v>
      </c>
      <c r="V236" s="88">
        <f t="shared" ref="V236:AJ236" si="127">V221+V228+V234</f>
        <v>0</v>
      </c>
      <c r="W236" s="88">
        <f t="shared" si="127"/>
        <v>0</v>
      </c>
      <c r="X236" s="88">
        <f t="shared" si="127"/>
        <v>0</v>
      </c>
      <c r="Y236" s="88">
        <f t="shared" si="127"/>
        <v>0</v>
      </c>
      <c r="Z236" s="88">
        <f t="shared" si="127"/>
        <v>0</v>
      </c>
      <c r="AA236" s="88">
        <f t="shared" si="127"/>
        <v>0</v>
      </c>
      <c r="AB236" s="88">
        <f t="shared" si="127"/>
        <v>0</v>
      </c>
      <c r="AC236" s="88">
        <f t="shared" si="127"/>
        <v>0</v>
      </c>
      <c r="AD236" s="88">
        <f t="shared" si="127"/>
        <v>0</v>
      </c>
      <c r="AE236" s="88">
        <f t="shared" si="127"/>
        <v>0</v>
      </c>
      <c r="AF236" s="88">
        <f t="shared" si="127"/>
        <v>0</v>
      </c>
      <c r="AG236" s="88">
        <f t="shared" si="127"/>
        <v>0</v>
      </c>
      <c r="AH236" s="88">
        <v>40123134</v>
      </c>
      <c r="AI236" s="88">
        <f t="shared" si="127"/>
        <v>610209996</v>
      </c>
      <c r="AJ236" s="88">
        <f t="shared" si="127"/>
        <v>887716908</v>
      </c>
      <c r="AK236" s="796"/>
      <c r="AL236" s="796"/>
      <c r="AM236" s="796"/>
      <c r="AN236" s="799"/>
    </row>
    <row r="237" spans="1:42" s="84" customFormat="1" ht="24.75" hidden="1" customHeight="1" outlineLevel="1">
      <c r="A237" s="36"/>
      <c r="B237" s="82"/>
      <c r="C237" s="82"/>
      <c r="D237" s="36"/>
      <c r="E237" s="36"/>
      <c r="F237" s="36"/>
      <c r="G237" s="36"/>
      <c r="H237" s="37"/>
      <c r="I237" s="36"/>
      <c r="J237" s="36"/>
      <c r="K237" s="36"/>
      <c r="L237" s="82"/>
      <c r="N237" s="83"/>
      <c r="O237" s="39"/>
      <c r="P237" s="39"/>
      <c r="Q237" s="91"/>
      <c r="R237" s="87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796"/>
      <c r="AL237" s="796"/>
      <c r="AM237" s="796"/>
      <c r="AN237" s="799"/>
    </row>
    <row r="238" spans="1:42" s="84" customFormat="1" ht="24.75" hidden="1" customHeight="1" outlineLevel="1">
      <c r="A238" s="36"/>
      <c r="B238" s="82"/>
      <c r="C238" s="82"/>
      <c r="D238" s="36"/>
      <c r="E238" s="36"/>
      <c r="F238" s="36"/>
      <c r="G238" s="36"/>
      <c r="H238" s="37"/>
      <c r="I238" s="36"/>
      <c r="J238" s="36"/>
      <c r="K238" s="36"/>
      <c r="L238" s="82"/>
      <c r="N238" s="83"/>
      <c r="O238" s="39"/>
      <c r="P238" s="39"/>
      <c r="Q238" s="596"/>
      <c r="R238" s="87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796"/>
      <c r="AL238" s="796"/>
      <c r="AM238" s="796"/>
      <c r="AN238" s="799"/>
    </row>
    <row r="239" spans="1:42" s="18" customFormat="1" ht="25.5" hidden="1" customHeight="1" outlineLevel="1">
      <c r="A239" s="36"/>
      <c r="B239" s="36"/>
      <c r="C239" s="36"/>
      <c r="D239" s="36"/>
      <c r="E239" s="36"/>
      <c r="F239" s="36"/>
      <c r="G239" s="36"/>
      <c r="H239" s="37"/>
      <c r="I239" s="36"/>
      <c r="J239" s="36"/>
      <c r="K239" s="36"/>
      <c r="L239" s="36"/>
      <c r="M239" s="95"/>
      <c r="N239" s="37"/>
      <c r="O239" s="39"/>
      <c r="P239" s="39"/>
      <c r="Q239" s="96" t="s">
        <v>213</v>
      </c>
      <c r="R239" s="50"/>
      <c r="S239" s="97"/>
      <c r="T239" s="97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796"/>
      <c r="AL239" s="796"/>
      <c r="AM239" s="796"/>
      <c r="AN239" s="799"/>
    </row>
    <row r="240" spans="1:42" s="33" customFormat="1" ht="25.5" hidden="1" customHeight="1" outlineLevel="2">
      <c r="A240" s="35"/>
      <c r="B240" s="35"/>
      <c r="C240" s="35"/>
      <c r="D240" s="35"/>
      <c r="E240" s="35"/>
      <c r="F240" s="36"/>
      <c r="G240" s="36"/>
      <c r="H240" s="37"/>
      <c r="I240" s="36"/>
      <c r="J240" s="36"/>
      <c r="K240" s="36"/>
      <c r="L240" s="35"/>
      <c r="M240" s="38"/>
      <c r="N240" s="39"/>
      <c r="O240" s="39"/>
      <c r="P240" s="39"/>
      <c r="Q240" s="17" t="s">
        <v>32</v>
      </c>
      <c r="R240" s="50"/>
      <c r="S240" s="51"/>
      <c r="T240" s="51"/>
      <c r="U240" s="52"/>
      <c r="V240" s="52"/>
      <c r="W240" s="52"/>
      <c r="X240" s="52"/>
      <c r="Y240" s="52"/>
      <c r="Z240" s="53"/>
      <c r="AA240" s="53"/>
      <c r="AB240" s="53"/>
      <c r="AC240" s="53"/>
      <c r="AD240" s="53"/>
      <c r="AE240" s="53"/>
      <c r="AF240" s="53"/>
      <c r="AG240" s="53"/>
      <c r="AH240" s="53"/>
      <c r="AI240" s="52"/>
      <c r="AJ240" s="52"/>
      <c r="AK240" s="796"/>
      <c r="AL240" s="796"/>
      <c r="AM240" s="796"/>
      <c r="AN240" s="799"/>
    </row>
    <row r="241" spans="1:42" s="33" customFormat="1" ht="25.5" hidden="1" customHeight="1" outlineLevel="2">
      <c r="A241" s="19" t="s">
        <v>133</v>
      </c>
      <c r="B241" s="19">
        <v>31</v>
      </c>
      <c r="C241" s="19"/>
      <c r="D241" s="19" t="s">
        <v>33</v>
      </c>
      <c r="E241" s="19" t="s">
        <v>34</v>
      </c>
      <c r="F241" s="19" t="s">
        <v>84</v>
      </c>
      <c r="G241" s="20" t="s">
        <v>49</v>
      </c>
      <c r="H241" s="21" t="s">
        <v>85</v>
      </c>
      <c r="I241" s="19" t="s">
        <v>173</v>
      </c>
      <c r="J241" s="19" t="s">
        <v>214</v>
      </c>
      <c r="K241" s="22">
        <v>12</v>
      </c>
      <c r="L241" s="19" t="s">
        <v>46</v>
      </c>
      <c r="M241" s="23" t="s">
        <v>40</v>
      </c>
      <c r="N241" s="21">
        <v>30282773</v>
      </c>
      <c r="O241" s="21" t="s">
        <v>754</v>
      </c>
      <c r="P241" s="21"/>
      <c r="Q241" s="23" t="s">
        <v>215</v>
      </c>
      <c r="R241" s="151" t="s">
        <v>666</v>
      </c>
      <c r="S241" s="26">
        <v>538319065</v>
      </c>
      <c r="T241" s="30">
        <v>201443501</v>
      </c>
      <c r="U241" s="30">
        <f>300214314-34868815-105000000</f>
        <v>160345499</v>
      </c>
      <c r="V241" s="285">
        <f t="shared" si="103"/>
        <v>0</v>
      </c>
      <c r="W241" s="153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28">
        <v>0</v>
      </c>
      <c r="AI241" s="30">
        <f t="shared" si="104"/>
        <v>160345499</v>
      </c>
      <c r="AJ241" s="30">
        <f>+S241-T241-V241-AI241</f>
        <v>176530065</v>
      </c>
      <c r="AK241" s="796" t="s">
        <v>137</v>
      </c>
      <c r="AL241" s="796" t="s">
        <v>44</v>
      </c>
      <c r="AM241" s="796"/>
      <c r="AN241" s="799"/>
    </row>
    <row r="242" spans="1:42" s="33" customFormat="1" ht="25.5" hidden="1" customHeight="1" outlineLevel="2">
      <c r="A242" s="19"/>
      <c r="B242" s="19">
        <v>31</v>
      </c>
      <c r="C242" s="19"/>
      <c r="D242" s="19" t="s">
        <v>33</v>
      </c>
      <c r="E242" s="19" t="s">
        <v>34</v>
      </c>
      <c r="F242" s="19" t="s">
        <v>84</v>
      </c>
      <c r="G242" s="20" t="s">
        <v>49</v>
      </c>
      <c r="H242" s="21" t="s">
        <v>85</v>
      </c>
      <c r="I242" s="19" t="s">
        <v>173</v>
      </c>
      <c r="J242" s="19" t="s">
        <v>214</v>
      </c>
      <c r="K242" s="22">
        <v>12</v>
      </c>
      <c r="L242" s="19" t="s">
        <v>46</v>
      </c>
      <c r="M242" s="23" t="s">
        <v>40</v>
      </c>
      <c r="N242" s="21">
        <v>30397144</v>
      </c>
      <c r="O242" s="21" t="s">
        <v>684</v>
      </c>
      <c r="P242" s="21"/>
      <c r="Q242" s="23" t="s">
        <v>679</v>
      </c>
      <c r="R242" s="151" t="s">
        <v>680</v>
      </c>
      <c r="S242" s="26">
        <v>1317717000</v>
      </c>
      <c r="T242" s="30">
        <v>957303978</v>
      </c>
      <c r="U242" s="30">
        <v>105000000</v>
      </c>
      <c r="V242" s="285">
        <f t="shared" si="103"/>
        <v>0</v>
      </c>
      <c r="W242" s="153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28">
        <v>0</v>
      </c>
      <c r="AI242" s="30">
        <f t="shared" si="104"/>
        <v>105000000</v>
      </c>
      <c r="AJ242" s="30">
        <f>+S242-T242-V242-AI242</f>
        <v>255413022</v>
      </c>
      <c r="AK242" s="796" t="s">
        <v>43</v>
      </c>
      <c r="AL242" s="796"/>
      <c r="AM242" s="796"/>
      <c r="AN242" s="799"/>
    </row>
    <row r="243" spans="1:42" s="33" customFormat="1" ht="25.5" hidden="1" customHeight="1" outlineLevel="2">
      <c r="A243" s="19"/>
      <c r="B243" s="19">
        <v>31</v>
      </c>
      <c r="C243" s="19"/>
      <c r="D243" s="19" t="s">
        <v>33</v>
      </c>
      <c r="E243" s="19" t="s">
        <v>34</v>
      </c>
      <c r="F243" s="19" t="s">
        <v>84</v>
      </c>
      <c r="G243" s="20" t="s">
        <v>49</v>
      </c>
      <c r="H243" s="21" t="s">
        <v>85</v>
      </c>
      <c r="I243" s="19" t="s">
        <v>173</v>
      </c>
      <c r="J243" s="19" t="s">
        <v>214</v>
      </c>
      <c r="K243" s="22">
        <v>12</v>
      </c>
      <c r="L243" s="19" t="s">
        <v>46</v>
      </c>
      <c r="M243" s="23" t="s">
        <v>40</v>
      </c>
      <c r="N243" s="21">
        <v>30088011</v>
      </c>
      <c r="O243" s="21" t="s">
        <v>684</v>
      </c>
      <c r="P243" s="21"/>
      <c r="Q243" s="23" t="s">
        <v>677</v>
      </c>
      <c r="R243" s="151" t="s">
        <v>678</v>
      </c>
      <c r="S243" s="26">
        <v>590808430</v>
      </c>
      <c r="T243" s="30">
        <v>335213608</v>
      </c>
      <c r="U243" s="30">
        <v>72430113</v>
      </c>
      <c r="V243" s="285">
        <f t="shared" ref="V243" si="128">+SUM(W243:AH243)</f>
        <v>63815489</v>
      </c>
      <c r="W243" s="153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28">
        <v>63815489</v>
      </c>
      <c r="AI243" s="30">
        <f t="shared" ref="AI243" si="129">+U243-V243</f>
        <v>8614624</v>
      </c>
      <c r="AJ243" s="30">
        <f>+S243-T243-V243-AI243</f>
        <v>183164709</v>
      </c>
      <c r="AK243" s="796" t="s">
        <v>43</v>
      </c>
      <c r="AL243" s="796"/>
      <c r="AM243" s="796"/>
      <c r="AN243" s="799"/>
    </row>
    <row r="244" spans="1:42" s="33" customFormat="1" ht="25.5" hidden="1" customHeight="1" outlineLevel="2">
      <c r="A244" s="19"/>
      <c r="B244" s="19">
        <v>31</v>
      </c>
      <c r="C244" s="19"/>
      <c r="D244" s="19" t="s">
        <v>33</v>
      </c>
      <c r="E244" s="19" t="s">
        <v>34</v>
      </c>
      <c r="F244" s="19" t="s">
        <v>84</v>
      </c>
      <c r="G244" s="20" t="s">
        <v>158</v>
      </c>
      <c r="H244" s="21" t="s">
        <v>72</v>
      </c>
      <c r="I244" s="19" t="s">
        <v>173</v>
      </c>
      <c r="J244" s="19" t="s">
        <v>214</v>
      </c>
      <c r="K244" s="22">
        <v>12</v>
      </c>
      <c r="L244" s="19" t="s">
        <v>46</v>
      </c>
      <c r="M244" s="21" t="s">
        <v>40</v>
      </c>
      <c r="N244" s="21">
        <v>30212472</v>
      </c>
      <c r="O244" s="21"/>
      <c r="P244" s="21"/>
      <c r="Q244" s="23" t="s">
        <v>216</v>
      </c>
      <c r="R244" s="151"/>
      <c r="S244" s="26">
        <v>490790000</v>
      </c>
      <c r="T244" s="30">
        <v>376365503</v>
      </c>
      <c r="U244" s="30">
        <f>114424497-72430113</f>
        <v>41994384</v>
      </c>
      <c r="V244" s="285">
        <f t="shared" si="103"/>
        <v>0</v>
      </c>
      <c r="W244" s="153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28">
        <v>0</v>
      </c>
      <c r="AI244" s="30">
        <f t="shared" si="104"/>
        <v>41994384</v>
      </c>
      <c r="AJ244" s="30">
        <f>+S244-T244-V244-AI244</f>
        <v>72430113</v>
      </c>
      <c r="AK244" s="796" t="s">
        <v>43</v>
      </c>
      <c r="AL244" s="796" t="s">
        <v>83</v>
      </c>
      <c r="AM244" s="796"/>
      <c r="AN244" s="799"/>
    </row>
    <row r="245" spans="1:42" s="38" customFormat="1" ht="25.5" hidden="1" customHeight="1" outlineLevel="1">
      <c r="A245" s="35"/>
      <c r="B245" s="35"/>
      <c r="C245" s="35"/>
      <c r="D245" s="35"/>
      <c r="E245" s="35"/>
      <c r="F245" s="36"/>
      <c r="G245" s="36"/>
      <c r="H245" s="37"/>
      <c r="I245" s="36"/>
      <c r="J245" s="36"/>
      <c r="K245" s="36"/>
      <c r="L245" s="35"/>
      <c r="N245" s="39"/>
      <c r="O245" s="39"/>
      <c r="P245" s="39"/>
      <c r="Q245" s="132" t="s">
        <v>58</v>
      </c>
      <c r="R245" s="41"/>
      <c r="S245" s="133">
        <f>SUBTOTAL(9,S241:S244)</f>
        <v>0</v>
      </c>
      <c r="T245" s="133">
        <f t="shared" ref="T245:AJ245" si="130">SUBTOTAL(9,T241:T244)</f>
        <v>0</v>
      </c>
      <c r="U245" s="133">
        <f t="shared" si="130"/>
        <v>0</v>
      </c>
      <c r="V245" s="133">
        <f t="shared" si="130"/>
        <v>0</v>
      </c>
      <c r="W245" s="133">
        <f t="shared" si="130"/>
        <v>0</v>
      </c>
      <c r="X245" s="133">
        <f t="shared" si="130"/>
        <v>0</v>
      </c>
      <c r="Y245" s="133">
        <f t="shared" si="130"/>
        <v>0</v>
      </c>
      <c r="Z245" s="133">
        <f t="shared" si="130"/>
        <v>0</v>
      </c>
      <c r="AA245" s="133">
        <f t="shared" si="130"/>
        <v>0</v>
      </c>
      <c r="AB245" s="133">
        <f t="shared" si="130"/>
        <v>0</v>
      </c>
      <c r="AC245" s="133">
        <f t="shared" si="130"/>
        <v>0</v>
      </c>
      <c r="AD245" s="133">
        <f t="shared" si="130"/>
        <v>0</v>
      </c>
      <c r="AE245" s="133">
        <f t="shared" si="130"/>
        <v>0</v>
      </c>
      <c r="AF245" s="133">
        <f t="shared" si="130"/>
        <v>0</v>
      </c>
      <c r="AG245" s="133">
        <f t="shared" si="130"/>
        <v>0</v>
      </c>
      <c r="AH245" s="133">
        <v>63815489</v>
      </c>
      <c r="AI245" s="133">
        <f t="shared" si="130"/>
        <v>0</v>
      </c>
      <c r="AJ245" s="133">
        <f t="shared" si="130"/>
        <v>0</v>
      </c>
      <c r="AK245" s="796"/>
      <c r="AL245" s="796" t="s">
        <v>79</v>
      </c>
      <c r="AM245" s="796"/>
      <c r="AN245" s="799"/>
    </row>
    <row r="246" spans="1:42" s="18" customFormat="1" ht="25.5" hidden="1" customHeight="1" outlineLevel="1">
      <c r="A246" s="35"/>
      <c r="B246" s="35"/>
      <c r="C246" s="35"/>
      <c r="D246" s="35"/>
      <c r="E246" s="35"/>
      <c r="F246" s="36"/>
      <c r="G246" s="36"/>
      <c r="H246" s="37"/>
      <c r="I246" s="36"/>
      <c r="J246" s="36"/>
      <c r="K246" s="36"/>
      <c r="L246" s="35"/>
      <c r="M246" s="38"/>
      <c r="N246" s="39"/>
      <c r="O246" s="39"/>
      <c r="P246" s="39"/>
      <c r="Q246" s="46"/>
      <c r="R246" s="42"/>
      <c r="S246" s="47"/>
      <c r="T246" s="47"/>
      <c r="U246" s="47"/>
      <c r="V246" s="47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7"/>
      <c r="AJ246" s="47"/>
      <c r="AK246" s="796"/>
      <c r="AL246" s="796"/>
      <c r="AM246" s="796"/>
      <c r="AN246" s="799"/>
    </row>
    <row r="247" spans="1:42" s="33" customFormat="1" ht="25.5" hidden="1" customHeight="1" outlineLevel="2">
      <c r="A247" s="35"/>
      <c r="B247" s="35"/>
      <c r="C247" s="35"/>
      <c r="D247" s="35"/>
      <c r="E247" s="35"/>
      <c r="F247" s="36"/>
      <c r="G247" s="36"/>
      <c r="H247" s="37"/>
      <c r="I247" s="36"/>
      <c r="J247" s="36"/>
      <c r="K247" s="36"/>
      <c r="L247" s="35"/>
      <c r="M247" s="38"/>
      <c r="N247" s="39"/>
      <c r="O247" s="39"/>
      <c r="P247" s="39"/>
      <c r="Q247" s="17" t="s">
        <v>59</v>
      </c>
      <c r="R247" s="50"/>
      <c r="S247" s="51"/>
      <c r="T247" s="51"/>
      <c r="U247" s="52"/>
      <c r="V247" s="52"/>
      <c r="W247" s="52"/>
      <c r="X247" s="52"/>
      <c r="Y247" s="52"/>
      <c r="Z247" s="53"/>
      <c r="AA247" s="53"/>
      <c r="AB247" s="53"/>
      <c r="AC247" s="53"/>
      <c r="AD247" s="53"/>
      <c r="AE247" s="53"/>
      <c r="AF247" s="53"/>
      <c r="AG247" s="53"/>
      <c r="AH247" s="53"/>
      <c r="AI247" s="52"/>
      <c r="AJ247" s="52"/>
      <c r="AK247" s="796"/>
      <c r="AL247" s="796"/>
      <c r="AM247" s="796"/>
      <c r="AN247" s="799"/>
    </row>
    <row r="248" spans="1:42" s="33" customFormat="1" ht="25.5" customHeight="1" outlineLevel="2">
      <c r="A248" s="54"/>
      <c r="B248" s="801">
        <v>31</v>
      </c>
      <c r="C248" s="729"/>
      <c r="D248" s="54" t="s">
        <v>33</v>
      </c>
      <c r="E248" s="801" t="s">
        <v>60</v>
      </c>
      <c r="F248" s="729" t="s">
        <v>35</v>
      </c>
      <c r="G248" s="55" t="s">
        <v>49</v>
      </c>
      <c r="H248" s="56" t="s">
        <v>53</v>
      </c>
      <c r="I248" s="801" t="s">
        <v>173</v>
      </c>
      <c r="J248" s="801" t="s">
        <v>214</v>
      </c>
      <c r="K248" s="57">
        <v>12</v>
      </c>
      <c r="L248" s="54" t="s">
        <v>46</v>
      </c>
      <c r="M248" s="802" t="s">
        <v>40</v>
      </c>
      <c r="N248" s="803">
        <v>30134714</v>
      </c>
      <c r="O248" s="770" t="s">
        <v>684</v>
      </c>
      <c r="P248" s="56"/>
      <c r="Q248" s="802" t="s">
        <v>217</v>
      </c>
      <c r="R248" s="24"/>
      <c r="S248" s="804">
        <v>919116000</v>
      </c>
      <c r="T248" s="805">
        <v>0</v>
      </c>
      <c r="U248" s="805">
        <f>300372000+34868815</f>
        <v>335240815</v>
      </c>
      <c r="V248" s="805">
        <f t="shared" si="103"/>
        <v>0</v>
      </c>
      <c r="W248" s="29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>
        <v>0</v>
      </c>
      <c r="AI248" s="805">
        <f t="shared" si="104"/>
        <v>335240815</v>
      </c>
      <c r="AJ248" s="805">
        <f>+S248-T248-V248-AI248</f>
        <v>583875185</v>
      </c>
      <c r="AK248" s="806" t="s">
        <v>43</v>
      </c>
      <c r="AL248" s="806" t="s">
        <v>768</v>
      </c>
      <c r="AM248" s="806"/>
      <c r="AN248" s="807">
        <v>44271</v>
      </c>
      <c r="AO248" s="33" t="e">
        <f>VLOOKUP(N248,'CONVENIOS 2021'!A$1:A$53,1,FALSE)</f>
        <v>#N/A</v>
      </c>
      <c r="AP248" s="33" t="e">
        <f>VLOOKUP(N248,'CONVENIOS 2020'!A$2:A$72,1,FALSE)</f>
        <v>#N/A</v>
      </c>
    </row>
    <row r="249" spans="1:42" s="18" customFormat="1" ht="25.5" customHeight="1" outlineLevel="1">
      <c r="A249" s="54"/>
      <c r="B249" s="801">
        <v>31</v>
      </c>
      <c r="C249" s="729"/>
      <c r="D249" s="54" t="s">
        <v>33</v>
      </c>
      <c r="E249" s="801" t="s">
        <v>60</v>
      </c>
      <c r="F249" s="729" t="s">
        <v>84</v>
      </c>
      <c r="G249" s="55" t="s">
        <v>36</v>
      </c>
      <c r="H249" s="56" t="s">
        <v>64</v>
      </c>
      <c r="I249" s="801" t="s">
        <v>173</v>
      </c>
      <c r="J249" s="801" t="s">
        <v>214</v>
      </c>
      <c r="K249" s="57">
        <v>12</v>
      </c>
      <c r="L249" s="54" t="s">
        <v>46</v>
      </c>
      <c r="M249" s="802" t="s">
        <v>40</v>
      </c>
      <c r="N249" s="803">
        <v>40006229</v>
      </c>
      <c r="O249" s="770" t="s">
        <v>684</v>
      </c>
      <c r="P249" s="56"/>
      <c r="Q249" s="802" t="s">
        <v>218</v>
      </c>
      <c r="R249" s="24"/>
      <c r="S249" s="804">
        <v>774200000</v>
      </c>
      <c r="T249" s="805">
        <v>0</v>
      </c>
      <c r="U249" s="805">
        <v>200066666.66666701</v>
      </c>
      <c r="V249" s="805">
        <f t="shared" si="103"/>
        <v>0</v>
      </c>
      <c r="W249" s="29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>
        <v>0</v>
      </c>
      <c r="AI249" s="805">
        <f t="shared" si="104"/>
        <v>200066666.66666701</v>
      </c>
      <c r="AJ249" s="805">
        <f>+S249-T249-V249-AI249</f>
        <v>574133333.33333302</v>
      </c>
      <c r="AK249" s="806" t="s">
        <v>43</v>
      </c>
      <c r="AL249" s="806" t="s">
        <v>767</v>
      </c>
      <c r="AM249" s="806"/>
      <c r="AN249" s="807">
        <v>44232</v>
      </c>
      <c r="AO249" s="33" t="e">
        <f>VLOOKUP(N249,'CONVENIOS 2021'!A$1:A$53,1,FALSE)</f>
        <v>#N/A</v>
      </c>
      <c r="AP249" s="33" t="e">
        <f>VLOOKUP(N249,'CONVENIOS 2020'!A$2:A$72,1,FALSE)</f>
        <v>#N/A</v>
      </c>
    </row>
    <row r="250" spans="1:42" s="33" customFormat="1" ht="25.5" customHeight="1" outlineLevel="2">
      <c r="A250" s="54"/>
      <c r="B250" s="801">
        <v>31</v>
      </c>
      <c r="C250" s="729"/>
      <c r="D250" s="54" t="s">
        <v>33</v>
      </c>
      <c r="E250" s="801" t="s">
        <v>60</v>
      </c>
      <c r="F250" s="729" t="s">
        <v>84</v>
      </c>
      <c r="G250" s="55" t="s">
        <v>36</v>
      </c>
      <c r="H250" s="56" t="s">
        <v>37</v>
      </c>
      <c r="I250" s="801" t="s">
        <v>173</v>
      </c>
      <c r="J250" s="801" t="s">
        <v>214</v>
      </c>
      <c r="K250" s="57">
        <v>12</v>
      </c>
      <c r="L250" s="54" t="s">
        <v>46</v>
      </c>
      <c r="M250" s="802" t="s">
        <v>40</v>
      </c>
      <c r="N250" s="803">
        <v>30396424</v>
      </c>
      <c r="O250" s="770" t="s">
        <v>754</v>
      </c>
      <c r="P250" s="56"/>
      <c r="Q250" s="802" t="s">
        <v>219</v>
      </c>
      <c r="R250" s="24"/>
      <c r="S250" s="804">
        <v>866629000</v>
      </c>
      <c r="T250" s="805">
        <v>0</v>
      </c>
      <c r="U250" s="805">
        <v>300876333.33333302</v>
      </c>
      <c r="V250" s="805">
        <f t="shared" si="103"/>
        <v>0</v>
      </c>
      <c r="W250" s="29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>
        <v>0</v>
      </c>
      <c r="AI250" s="805">
        <f t="shared" si="104"/>
        <v>300876333.33333302</v>
      </c>
      <c r="AJ250" s="805">
        <f>+S250-T250-V250-AI250</f>
        <v>565752666.66666698</v>
      </c>
      <c r="AK250" s="806" t="s">
        <v>48</v>
      </c>
      <c r="AL250" s="806" t="s">
        <v>769</v>
      </c>
      <c r="AM250" s="806"/>
      <c r="AN250" s="807">
        <v>44243</v>
      </c>
      <c r="AO250" s="33" t="e">
        <f>VLOOKUP(N250,'CONVENIOS 2021'!A$1:A$53,1,FALSE)</f>
        <v>#N/A</v>
      </c>
      <c r="AP250" s="33" t="e">
        <f>VLOOKUP(N250,'CONVENIOS 2020'!A$2:A$72,1,FALSE)</f>
        <v>#N/A</v>
      </c>
    </row>
    <row r="251" spans="1:42" s="18" customFormat="1" ht="25.5" hidden="1" customHeight="1" outlineLevel="1">
      <c r="A251" s="54"/>
      <c r="B251" s="782">
        <v>29</v>
      </c>
      <c r="C251" s="54"/>
      <c r="D251" s="54" t="s">
        <v>92</v>
      </c>
      <c r="E251" s="782" t="s">
        <v>60</v>
      </c>
      <c r="F251" s="54" t="s">
        <v>84</v>
      </c>
      <c r="G251" s="55" t="s">
        <v>49</v>
      </c>
      <c r="H251" s="56" t="s">
        <v>45</v>
      </c>
      <c r="I251" s="782" t="s">
        <v>173</v>
      </c>
      <c r="J251" s="782" t="s">
        <v>214</v>
      </c>
      <c r="K251" s="57">
        <v>12</v>
      </c>
      <c r="L251" s="54" t="s">
        <v>46</v>
      </c>
      <c r="M251" s="783" t="s">
        <v>40</v>
      </c>
      <c r="N251" s="784">
        <v>30340925</v>
      </c>
      <c r="O251" s="56" t="s">
        <v>754</v>
      </c>
      <c r="P251" s="56"/>
      <c r="Q251" s="783" t="s">
        <v>220</v>
      </c>
      <c r="R251" s="154"/>
      <c r="S251" s="785">
        <v>534844000</v>
      </c>
      <c r="T251" s="786">
        <v>0</v>
      </c>
      <c r="U251" s="786">
        <v>200000000</v>
      </c>
      <c r="V251" s="787">
        <f t="shared" si="103"/>
        <v>0</v>
      </c>
      <c r="W251" s="156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28">
        <v>0</v>
      </c>
      <c r="AI251" s="786">
        <f t="shared" si="104"/>
        <v>200000000</v>
      </c>
      <c r="AJ251" s="786">
        <f>+S251-T251-V251-AI251</f>
        <v>334844000</v>
      </c>
      <c r="AK251" s="796" t="s">
        <v>48</v>
      </c>
      <c r="AL251" s="796" t="s">
        <v>44</v>
      </c>
      <c r="AM251" s="796"/>
      <c r="AN251" s="799"/>
    </row>
    <row r="252" spans="1:42" s="90" customFormat="1" ht="24.75" hidden="1" customHeight="1" outlineLevel="1">
      <c r="A252" s="35"/>
      <c r="B252" s="35"/>
      <c r="C252" s="35"/>
      <c r="D252" s="35"/>
      <c r="E252" s="35"/>
      <c r="F252" s="36"/>
      <c r="G252" s="36"/>
      <c r="H252" s="37"/>
      <c r="I252" s="36"/>
      <c r="J252" s="36"/>
      <c r="K252" s="36"/>
      <c r="L252" s="35"/>
      <c r="M252" s="38"/>
      <c r="N252" s="39"/>
      <c r="O252" s="39"/>
      <c r="P252" s="39"/>
      <c r="Q252" s="139" t="s">
        <v>67</v>
      </c>
      <c r="R252" s="41"/>
      <c r="S252" s="140">
        <f t="shared" ref="S252:AJ252" si="131">SUBTOTAL(9,S248:S251)</f>
        <v>2559945000</v>
      </c>
      <c r="T252" s="140">
        <f t="shared" si="131"/>
        <v>0</v>
      </c>
      <c r="U252" s="140">
        <f t="shared" si="131"/>
        <v>836183815</v>
      </c>
      <c r="V252" s="140">
        <f t="shared" si="131"/>
        <v>0</v>
      </c>
      <c r="W252" s="140">
        <f t="shared" si="131"/>
        <v>0</v>
      </c>
      <c r="X252" s="140">
        <f t="shared" si="131"/>
        <v>0</v>
      </c>
      <c r="Y252" s="140">
        <f t="shared" si="131"/>
        <v>0</v>
      </c>
      <c r="Z252" s="140">
        <f t="shared" si="131"/>
        <v>0</v>
      </c>
      <c r="AA252" s="140">
        <f t="shared" si="131"/>
        <v>0</v>
      </c>
      <c r="AB252" s="140">
        <f t="shared" si="131"/>
        <v>0</v>
      </c>
      <c r="AC252" s="140">
        <f t="shared" si="131"/>
        <v>0</v>
      </c>
      <c r="AD252" s="140">
        <f t="shared" si="131"/>
        <v>0</v>
      </c>
      <c r="AE252" s="140">
        <f t="shared" si="131"/>
        <v>0</v>
      </c>
      <c r="AF252" s="140">
        <f t="shared" si="131"/>
        <v>0</v>
      </c>
      <c r="AG252" s="140">
        <f t="shared" si="131"/>
        <v>0</v>
      </c>
      <c r="AH252" s="140">
        <v>0</v>
      </c>
      <c r="AI252" s="140">
        <f t="shared" si="131"/>
        <v>836183815</v>
      </c>
      <c r="AJ252" s="140">
        <f t="shared" si="131"/>
        <v>1723761185</v>
      </c>
      <c r="AK252" s="796"/>
      <c r="AL252" s="796"/>
      <c r="AM252" s="796"/>
      <c r="AN252" s="799"/>
    </row>
    <row r="253" spans="1:42" s="90" customFormat="1" ht="24.75" hidden="1" customHeight="1" outlineLevel="1">
      <c r="A253" s="36"/>
      <c r="B253" s="82"/>
      <c r="C253" s="82"/>
      <c r="D253" s="36"/>
      <c r="E253" s="36"/>
      <c r="F253" s="36"/>
      <c r="G253" s="36"/>
      <c r="H253" s="37"/>
      <c r="I253" s="36"/>
      <c r="J253" s="36"/>
      <c r="K253" s="36"/>
      <c r="L253" s="82"/>
      <c r="M253" s="84"/>
      <c r="N253" s="83"/>
      <c r="O253" s="39"/>
      <c r="P253" s="39"/>
      <c r="Q253" s="91"/>
      <c r="R253" s="87"/>
      <c r="S253" s="92"/>
      <c r="T253" s="92" t="e">
        <v>#N/A</v>
      </c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796"/>
      <c r="AL253" s="796"/>
      <c r="AM253" s="796"/>
      <c r="AN253" s="799"/>
    </row>
    <row r="254" spans="1:42" s="18" customFormat="1" ht="25.5" hidden="1" customHeight="1" outlineLevel="1">
      <c r="A254" s="36"/>
      <c r="B254" s="82"/>
      <c r="C254" s="82"/>
      <c r="D254" s="36"/>
      <c r="E254" s="36"/>
      <c r="F254" s="36"/>
      <c r="G254" s="36"/>
      <c r="H254" s="37"/>
      <c r="I254" s="36"/>
      <c r="J254" s="36"/>
      <c r="K254" s="36"/>
      <c r="L254" s="82"/>
      <c r="M254" s="84"/>
      <c r="N254" s="83"/>
      <c r="O254" s="39"/>
      <c r="P254" s="39"/>
      <c r="Q254" s="17" t="s">
        <v>68</v>
      </c>
      <c r="R254" s="87"/>
      <c r="S254" s="92"/>
      <c r="T254" s="92" t="e">
        <v>#N/A</v>
      </c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796"/>
      <c r="AL254" s="796"/>
      <c r="AM254" s="796"/>
      <c r="AN254" s="799"/>
    </row>
    <row r="255" spans="1:42" s="90" customFormat="1" ht="24.75" customHeight="1" outlineLevel="1">
      <c r="A255" s="66"/>
      <c r="B255" s="801">
        <v>31</v>
      </c>
      <c r="C255" s="730"/>
      <c r="D255" s="66" t="s">
        <v>33</v>
      </c>
      <c r="E255" s="801" t="s">
        <v>69</v>
      </c>
      <c r="F255" s="730" t="s">
        <v>35</v>
      </c>
      <c r="G255" s="67" t="s">
        <v>36</v>
      </c>
      <c r="H255" s="68" t="s">
        <v>64</v>
      </c>
      <c r="I255" s="801" t="s">
        <v>173</v>
      </c>
      <c r="J255" s="801" t="s">
        <v>214</v>
      </c>
      <c r="K255" s="69">
        <v>12</v>
      </c>
      <c r="L255" s="66" t="s">
        <v>46</v>
      </c>
      <c r="M255" s="802" t="s">
        <v>40</v>
      </c>
      <c r="N255" s="803">
        <v>40021313</v>
      </c>
      <c r="O255" s="771"/>
      <c r="P255" s="68"/>
      <c r="Q255" s="802" t="s">
        <v>221</v>
      </c>
      <c r="R255" s="24"/>
      <c r="S255" s="804">
        <v>239183000</v>
      </c>
      <c r="T255" s="805">
        <v>0</v>
      </c>
      <c r="U255" s="805">
        <f>100000000+21760012</f>
        <v>121760012</v>
      </c>
      <c r="V255" s="805">
        <f t="shared" si="103"/>
        <v>0</v>
      </c>
      <c r="W255" s="29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>
        <v>0</v>
      </c>
      <c r="AI255" s="805">
        <f t="shared" si="104"/>
        <v>121760012</v>
      </c>
      <c r="AJ255" s="805">
        <f>+S255-T255-V255-AI255</f>
        <v>117422988</v>
      </c>
      <c r="AK255" s="806" t="s">
        <v>43</v>
      </c>
      <c r="AL255" s="806" t="s">
        <v>767</v>
      </c>
      <c r="AM255" s="806"/>
      <c r="AN255" s="807">
        <v>44195</v>
      </c>
      <c r="AO255" s="33" t="e">
        <f>VLOOKUP(N255,'CONVENIOS 2021'!A$1:A$53,1,FALSE)</f>
        <v>#N/A</v>
      </c>
      <c r="AP255" s="33" t="e">
        <f>VLOOKUP(N255,'CONVENIOS 2020'!A$2:A$72,1,FALSE)</f>
        <v>#N/A</v>
      </c>
    </row>
    <row r="256" spans="1:42" s="18" customFormat="1" ht="25.5" hidden="1" customHeight="1" outlineLevel="1">
      <c r="A256" s="66"/>
      <c r="B256" s="180">
        <v>33</v>
      </c>
      <c r="C256" s="66"/>
      <c r="D256" s="66" t="s">
        <v>76</v>
      </c>
      <c r="E256" s="180" t="s">
        <v>69</v>
      </c>
      <c r="F256" s="66" t="s">
        <v>35</v>
      </c>
      <c r="G256" s="67" t="s">
        <v>49</v>
      </c>
      <c r="H256" s="68" t="s">
        <v>61</v>
      </c>
      <c r="I256" s="180" t="s">
        <v>173</v>
      </c>
      <c r="J256" s="180" t="s">
        <v>214</v>
      </c>
      <c r="K256" s="69">
        <v>12</v>
      </c>
      <c r="L256" s="66" t="s">
        <v>76</v>
      </c>
      <c r="M256" s="184" t="s">
        <v>40</v>
      </c>
      <c r="N256" s="182" t="s">
        <v>76</v>
      </c>
      <c r="O256" s="68"/>
      <c r="P256" s="68"/>
      <c r="Q256" s="184" t="s">
        <v>77</v>
      </c>
      <c r="R256" s="24"/>
      <c r="S256" s="188">
        <v>200000000</v>
      </c>
      <c r="T256" s="189">
        <v>0</v>
      </c>
      <c r="U256" s="189">
        <v>200000000</v>
      </c>
      <c r="V256" s="776">
        <f t="shared" si="103"/>
        <v>0</v>
      </c>
      <c r="W256" s="29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72"/>
      <c r="AI256" s="189">
        <f t="shared" si="104"/>
        <v>200000000</v>
      </c>
      <c r="AJ256" s="189">
        <f>+S256-T256-V256-AI256</f>
        <v>0</v>
      </c>
      <c r="AK256" s="796" t="s">
        <v>78</v>
      </c>
      <c r="AL256" s="796"/>
      <c r="AM256" s="796"/>
      <c r="AN256" s="799"/>
    </row>
    <row r="257" spans="1:42" s="84" customFormat="1" ht="24.75" hidden="1" customHeight="1" outlineLevel="1">
      <c r="A257" s="36"/>
      <c r="B257" s="82"/>
      <c r="C257" s="82"/>
      <c r="D257" s="36"/>
      <c r="E257" s="36"/>
      <c r="F257" s="36"/>
      <c r="G257" s="36"/>
      <c r="H257" s="37"/>
      <c r="I257" s="36"/>
      <c r="J257" s="36"/>
      <c r="K257" s="36"/>
      <c r="L257" s="82"/>
      <c r="N257" s="83"/>
      <c r="O257" s="39"/>
      <c r="P257" s="39"/>
      <c r="Q257" s="134" t="s">
        <v>80</v>
      </c>
      <c r="R257" s="87"/>
      <c r="S257" s="110">
        <f t="shared" ref="S257:U257" si="132">SUBTOTAL(9,S255:S256)</f>
        <v>239183000</v>
      </c>
      <c r="T257" s="110">
        <f t="shared" ref="T257" si="133">SUBTOTAL(9,T255:T256)</f>
        <v>0</v>
      </c>
      <c r="U257" s="110">
        <f t="shared" si="132"/>
        <v>121760012</v>
      </c>
      <c r="V257" s="110">
        <f t="shared" ref="V257:AJ257" si="134">SUBTOTAL(9,V255:V256)</f>
        <v>0</v>
      </c>
      <c r="W257" s="110">
        <f t="shared" si="134"/>
        <v>0</v>
      </c>
      <c r="X257" s="110">
        <f t="shared" si="134"/>
        <v>0</v>
      </c>
      <c r="Y257" s="110">
        <f t="shared" si="134"/>
        <v>0</v>
      </c>
      <c r="Z257" s="110">
        <f t="shared" si="134"/>
        <v>0</v>
      </c>
      <c r="AA257" s="110">
        <f t="shared" si="134"/>
        <v>0</v>
      </c>
      <c r="AB257" s="110">
        <f t="shared" si="134"/>
        <v>0</v>
      </c>
      <c r="AC257" s="110">
        <f t="shared" si="134"/>
        <v>0</v>
      </c>
      <c r="AD257" s="110">
        <f t="shared" si="134"/>
        <v>0</v>
      </c>
      <c r="AE257" s="110">
        <f t="shared" si="134"/>
        <v>0</v>
      </c>
      <c r="AF257" s="110">
        <f t="shared" si="134"/>
        <v>0</v>
      </c>
      <c r="AG257" s="110">
        <f t="shared" si="134"/>
        <v>0</v>
      </c>
      <c r="AH257" s="110">
        <v>0</v>
      </c>
      <c r="AI257" s="110">
        <f t="shared" si="134"/>
        <v>121760012</v>
      </c>
      <c r="AJ257" s="110">
        <f t="shared" si="134"/>
        <v>117422988</v>
      </c>
      <c r="AK257" s="796"/>
      <c r="AL257" s="796"/>
      <c r="AM257" s="796"/>
      <c r="AN257" s="799"/>
    </row>
    <row r="258" spans="1:42" s="90" customFormat="1" ht="24.75" hidden="1" customHeight="1" outlineLevel="1">
      <c r="A258" s="36"/>
      <c r="B258" s="82"/>
      <c r="C258" s="82"/>
      <c r="D258" s="36"/>
      <c r="E258" s="36"/>
      <c r="F258" s="36"/>
      <c r="G258" s="36"/>
      <c r="H258" s="37"/>
      <c r="I258" s="36"/>
      <c r="J258" s="36"/>
      <c r="K258" s="36"/>
      <c r="L258" s="82"/>
      <c r="M258" s="84"/>
      <c r="N258" s="83"/>
      <c r="O258" s="39"/>
      <c r="P258" s="39"/>
      <c r="Q258" s="91"/>
      <c r="R258" s="87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796"/>
      <c r="AL258" s="796"/>
      <c r="AM258" s="796"/>
      <c r="AN258" s="799"/>
    </row>
    <row r="259" spans="1:42" s="84" customFormat="1" ht="24.75" hidden="1" customHeight="1" outlineLevel="1">
      <c r="A259" s="36"/>
      <c r="B259" s="82"/>
      <c r="C259" s="82"/>
      <c r="D259" s="36"/>
      <c r="E259" s="36"/>
      <c r="F259" s="36"/>
      <c r="G259" s="36"/>
      <c r="H259" s="37"/>
      <c r="I259" s="36"/>
      <c r="J259" s="36"/>
      <c r="K259" s="36"/>
      <c r="L259" s="82"/>
      <c r="N259" s="83"/>
      <c r="O259" s="39"/>
      <c r="P259" s="39"/>
      <c r="Q259" s="85" t="s">
        <v>222</v>
      </c>
      <c r="R259" s="111"/>
      <c r="S259" s="88">
        <f t="shared" ref="S259:U259" si="135">S245+S252+S257</f>
        <v>2799128000</v>
      </c>
      <c r="T259" s="88">
        <f t="shared" ref="T259" si="136">T245+T252+T257</f>
        <v>0</v>
      </c>
      <c r="U259" s="88">
        <f t="shared" si="135"/>
        <v>957943827</v>
      </c>
      <c r="V259" s="88">
        <f t="shared" ref="V259:AJ259" si="137">V245+V252+V257</f>
        <v>0</v>
      </c>
      <c r="W259" s="88">
        <f t="shared" si="137"/>
        <v>0</v>
      </c>
      <c r="X259" s="88">
        <f t="shared" si="137"/>
        <v>0</v>
      </c>
      <c r="Y259" s="88">
        <f t="shared" si="137"/>
        <v>0</v>
      </c>
      <c r="Z259" s="88">
        <f t="shared" si="137"/>
        <v>0</v>
      </c>
      <c r="AA259" s="88">
        <f t="shared" si="137"/>
        <v>0</v>
      </c>
      <c r="AB259" s="88">
        <f t="shared" si="137"/>
        <v>0</v>
      </c>
      <c r="AC259" s="88">
        <f t="shared" si="137"/>
        <v>0</v>
      </c>
      <c r="AD259" s="88">
        <f t="shared" si="137"/>
        <v>0</v>
      </c>
      <c r="AE259" s="88">
        <f t="shared" si="137"/>
        <v>0</v>
      </c>
      <c r="AF259" s="88">
        <f t="shared" si="137"/>
        <v>0</v>
      </c>
      <c r="AG259" s="88">
        <f t="shared" si="137"/>
        <v>0</v>
      </c>
      <c r="AH259" s="88">
        <v>63815489</v>
      </c>
      <c r="AI259" s="88">
        <f t="shared" si="137"/>
        <v>957943827</v>
      </c>
      <c r="AJ259" s="88">
        <f t="shared" si="137"/>
        <v>1841184173</v>
      </c>
      <c r="AK259" s="796"/>
      <c r="AL259" s="796"/>
      <c r="AM259" s="796"/>
      <c r="AN259" s="799"/>
    </row>
    <row r="260" spans="1:42" s="84" customFormat="1" ht="24.75" hidden="1" customHeight="1" outlineLevel="1">
      <c r="A260" s="36"/>
      <c r="B260" s="82"/>
      <c r="C260" s="82"/>
      <c r="D260" s="36"/>
      <c r="E260" s="36"/>
      <c r="F260" s="36"/>
      <c r="G260" s="36"/>
      <c r="H260" s="37"/>
      <c r="I260" s="36"/>
      <c r="J260" s="36"/>
      <c r="K260" s="36"/>
      <c r="L260" s="82"/>
      <c r="N260" s="83"/>
      <c r="O260" s="39"/>
      <c r="P260" s="39"/>
      <c r="Q260" s="91"/>
      <c r="R260" s="87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796"/>
      <c r="AL260" s="796"/>
      <c r="AM260" s="796"/>
      <c r="AN260" s="799"/>
    </row>
    <row r="261" spans="1:42" s="18" customFormat="1" ht="25.5" hidden="1" customHeight="1" outlineLevel="1">
      <c r="A261" s="36"/>
      <c r="B261" s="36"/>
      <c r="C261" s="36"/>
      <c r="D261" s="36"/>
      <c r="E261" s="36"/>
      <c r="F261" s="36"/>
      <c r="G261" s="36"/>
      <c r="H261" s="37"/>
      <c r="I261" s="36"/>
      <c r="J261" s="36"/>
      <c r="K261" s="36"/>
      <c r="L261" s="36"/>
      <c r="M261" s="95"/>
      <c r="N261" s="37"/>
      <c r="O261" s="39"/>
      <c r="P261" s="39"/>
      <c r="Q261" s="96" t="s">
        <v>223</v>
      </c>
      <c r="R261" s="50"/>
      <c r="S261" s="97"/>
      <c r="T261" s="97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796"/>
      <c r="AL261" s="796"/>
      <c r="AM261" s="796"/>
      <c r="AN261" s="799"/>
    </row>
    <row r="262" spans="1:42" s="33" customFormat="1" ht="25.5" hidden="1" customHeight="1" outlineLevel="2">
      <c r="A262" s="35"/>
      <c r="B262" s="35"/>
      <c r="C262" s="35"/>
      <c r="D262" s="35"/>
      <c r="E262" s="35"/>
      <c r="F262" s="36"/>
      <c r="G262" s="36"/>
      <c r="H262" s="37"/>
      <c r="I262" s="36"/>
      <c r="J262" s="36"/>
      <c r="K262" s="36"/>
      <c r="L262" s="35"/>
      <c r="M262" s="38"/>
      <c r="N262" s="39"/>
      <c r="O262" s="39"/>
      <c r="P262" s="39"/>
      <c r="Q262" s="17" t="s">
        <v>32</v>
      </c>
      <c r="R262" s="50"/>
      <c r="S262" s="51"/>
      <c r="T262" s="51"/>
      <c r="U262" s="52"/>
      <c r="V262" s="52"/>
      <c r="W262" s="52"/>
      <c r="X262" s="52"/>
      <c r="Y262" s="52"/>
      <c r="Z262" s="53"/>
      <c r="AA262" s="53"/>
      <c r="AB262" s="53"/>
      <c r="AC262" s="53"/>
      <c r="AD262" s="53"/>
      <c r="AE262" s="53"/>
      <c r="AF262" s="53"/>
      <c r="AG262" s="53"/>
      <c r="AH262" s="53"/>
      <c r="AI262" s="52"/>
      <c r="AJ262" s="52"/>
      <c r="AK262" s="796"/>
      <c r="AL262" s="796"/>
      <c r="AM262" s="796"/>
      <c r="AN262" s="799"/>
    </row>
    <row r="263" spans="1:42" s="33" customFormat="1" ht="25.5" hidden="1" customHeight="1" outlineLevel="2">
      <c r="A263" s="19"/>
      <c r="B263" s="19">
        <v>31</v>
      </c>
      <c r="C263" s="19"/>
      <c r="D263" s="19" t="s">
        <v>33</v>
      </c>
      <c r="E263" s="19" t="s">
        <v>34</v>
      </c>
      <c r="F263" s="19" t="s">
        <v>84</v>
      </c>
      <c r="G263" s="20" t="s">
        <v>158</v>
      </c>
      <c r="H263" s="21" t="s">
        <v>72</v>
      </c>
      <c r="I263" s="19" t="s">
        <v>173</v>
      </c>
      <c r="J263" s="19" t="s">
        <v>224</v>
      </c>
      <c r="K263" s="22">
        <v>13</v>
      </c>
      <c r="L263" s="19" t="s">
        <v>46</v>
      </c>
      <c r="M263" s="21" t="s">
        <v>40</v>
      </c>
      <c r="N263" s="21">
        <v>30465246</v>
      </c>
      <c r="O263" s="21" t="s">
        <v>684</v>
      </c>
      <c r="P263" s="21"/>
      <c r="Q263" s="23" t="s">
        <v>225</v>
      </c>
      <c r="R263" s="24"/>
      <c r="S263" s="26">
        <v>164685391</v>
      </c>
      <c r="T263" s="30">
        <v>163185391</v>
      </c>
      <c r="U263" s="30">
        <f>12970000-11470000</f>
        <v>1500000</v>
      </c>
      <c r="V263" s="285">
        <f t="shared" ref="V263:V320" si="138">+SUM(W263:AH263)</f>
        <v>0</v>
      </c>
      <c r="W263" s="29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>
        <v>0</v>
      </c>
      <c r="AI263" s="30">
        <f t="shared" ref="AI263:AI320" si="139">+U263-V263</f>
        <v>1500000</v>
      </c>
      <c r="AJ263" s="30">
        <f>+S263-T263-V263-AI263</f>
        <v>0</v>
      </c>
      <c r="AK263" s="796" t="s">
        <v>43</v>
      </c>
      <c r="AL263" s="796" t="s">
        <v>44</v>
      </c>
      <c r="AM263" s="796"/>
      <c r="AN263" s="799"/>
    </row>
    <row r="264" spans="1:42" s="33" customFormat="1" ht="25.5" hidden="1" customHeight="1" outlineLevel="2">
      <c r="A264" s="19"/>
      <c r="B264" s="19">
        <v>31</v>
      </c>
      <c r="C264" s="19"/>
      <c r="D264" s="19" t="s">
        <v>33</v>
      </c>
      <c r="E264" s="19" t="s">
        <v>34</v>
      </c>
      <c r="F264" s="19" t="s">
        <v>84</v>
      </c>
      <c r="G264" s="20" t="s">
        <v>36</v>
      </c>
      <c r="H264" s="21" t="s">
        <v>64</v>
      </c>
      <c r="I264" s="19" t="s">
        <v>173</v>
      </c>
      <c r="J264" s="19" t="s">
        <v>224</v>
      </c>
      <c r="K264" s="22">
        <v>13</v>
      </c>
      <c r="L264" s="19" t="s">
        <v>46</v>
      </c>
      <c r="M264" s="23" t="s">
        <v>40</v>
      </c>
      <c r="N264" s="21">
        <v>30077934</v>
      </c>
      <c r="O264" s="21" t="s">
        <v>684</v>
      </c>
      <c r="P264" s="21"/>
      <c r="Q264" s="23" t="s">
        <v>226</v>
      </c>
      <c r="R264" s="24"/>
      <c r="S264" s="26">
        <v>1461360000</v>
      </c>
      <c r="T264" s="30">
        <v>1218124258</v>
      </c>
      <c r="U264" s="30">
        <f>398405707-155169965</f>
        <v>243235742</v>
      </c>
      <c r="V264" s="285">
        <f t="shared" si="138"/>
        <v>0</v>
      </c>
      <c r="W264" s="29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>
        <v>0</v>
      </c>
      <c r="AI264" s="30">
        <f t="shared" si="139"/>
        <v>243235742</v>
      </c>
      <c r="AJ264" s="30">
        <f>+S264-T264-V264-AI264</f>
        <v>0</v>
      </c>
      <c r="AK264" s="796" t="s">
        <v>43</v>
      </c>
      <c r="AL264" s="796" t="s">
        <v>44</v>
      </c>
      <c r="AM264" s="796"/>
      <c r="AN264" s="799"/>
    </row>
    <row r="265" spans="1:42" s="33" customFormat="1" ht="25.5" hidden="1" customHeight="1" outlineLevel="2">
      <c r="A265" s="19"/>
      <c r="B265" s="19">
        <v>31</v>
      </c>
      <c r="C265" s="19"/>
      <c r="D265" s="19" t="s">
        <v>33</v>
      </c>
      <c r="E265" s="19" t="s">
        <v>34</v>
      </c>
      <c r="F265" s="19" t="s">
        <v>84</v>
      </c>
      <c r="G265" s="20" t="s">
        <v>49</v>
      </c>
      <c r="H265" s="21" t="s">
        <v>72</v>
      </c>
      <c r="I265" s="19" t="s">
        <v>173</v>
      </c>
      <c r="J265" s="19" t="s">
        <v>224</v>
      </c>
      <c r="K265" s="22">
        <v>13</v>
      </c>
      <c r="L265" s="19" t="s">
        <v>46</v>
      </c>
      <c r="M265" s="23" t="s">
        <v>40</v>
      </c>
      <c r="N265" s="21">
        <v>30485141</v>
      </c>
      <c r="O265" s="21" t="s">
        <v>684</v>
      </c>
      <c r="P265" s="21"/>
      <c r="Q265" s="23" t="s">
        <v>227</v>
      </c>
      <c r="R265" s="24"/>
      <c r="S265" s="26">
        <v>229003000</v>
      </c>
      <c r="T265" s="30">
        <v>105198517</v>
      </c>
      <c r="U265" s="30">
        <f>71441875+11470000</f>
        <v>82911875</v>
      </c>
      <c r="V265" s="285">
        <f t="shared" si="138"/>
        <v>53498189</v>
      </c>
      <c r="W265" s="29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>
        <v>53498189</v>
      </c>
      <c r="AI265" s="30">
        <f t="shared" si="139"/>
        <v>29413686</v>
      </c>
      <c r="AJ265" s="30">
        <f>+S265-T265-V265-AI265</f>
        <v>40892608</v>
      </c>
      <c r="AK265" s="796" t="s">
        <v>43</v>
      </c>
      <c r="AL265" s="796" t="s">
        <v>44</v>
      </c>
      <c r="AM265" s="796"/>
      <c r="AN265" s="799"/>
    </row>
    <row r="266" spans="1:42" s="38" customFormat="1" ht="25.5" hidden="1" customHeight="1" outlineLevel="1">
      <c r="A266" s="35"/>
      <c r="B266" s="35"/>
      <c r="C266" s="35"/>
      <c r="D266" s="35"/>
      <c r="E266" s="35"/>
      <c r="F266" s="36"/>
      <c r="G266" s="36"/>
      <c r="H266" s="37"/>
      <c r="I266" s="36"/>
      <c r="J266" s="36"/>
      <c r="K266" s="36"/>
      <c r="L266" s="35"/>
      <c r="N266" s="39"/>
      <c r="O266" s="39"/>
      <c r="P266" s="39"/>
      <c r="Q266" s="132" t="s">
        <v>58</v>
      </c>
      <c r="R266" s="41"/>
      <c r="S266" s="133">
        <f t="shared" ref="S266:AJ266" si="140">SUBTOTAL(9,S263:S265)</f>
        <v>0</v>
      </c>
      <c r="T266" s="133">
        <f t="shared" ref="T266" si="141">SUBTOTAL(9,T263:T265)</f>
        <v>0</v>
      </c>
      <c r="U266" s="133">
        <f t="shared" si="140"/>
        <v>0</v>
      </c>
      <c r="V266" s="133">
        <f t="shared" si="140"/>
        <v>0</v>
      </c>
      <c r="W266" s="133">
        <f t="shared" si="140"/>
        <v>0</v>
      </c>
      <c r="X266" s="133">
        <f t="shared" si="140"/>
        <v>0</v>
      </c>
      <c r="Y266" s="133">
        <f t="shared" si="140"/>
        <v>0</v>
      </c>
      <c r="Z266" s="133">
        <f t="shared" si="140"/>
        <v>0</v>
      </c>
      <c r="AA266" s="133">
        <f t="shared" si="140"/>
        <v>0</v>
      </c>
      <c r="AB266" s="133">
        <f t="shared" si="140"/>
        <v>0</v>
      </c>
      <c r="AC266" s="133">
        <f t="shared" si="140"/>
        <v>0</v>
      </c>
      <c r="AD266" s="133">
        <f t="shared" si="140"/>
        <v>0</v>
      </c>
      <c r="AE266" s="133">
        <f t="shared" si="140"/>
        <v>0</v>
      </c>
      <c r="AF266" s="133">
        <f t="shared" si="140"/>
        <v>0</v>
      </c>
      <c r="AG266" s="133">
        <f t="shared" si="140"/>
        <v>0</v>
      </c>
      <c r="AH266" s="133">
        <v>53498189</v>
      </c>
      <c r="AI266" s="133">
        <f t="shared" si="140"/>
        <v>0</v>
      </c>
      <c r="AJ266" s="133">
        <f t="shared" si="140"/>
        <v>0</v>
      </c>
      <c r="AK266" s="796"/>
      <c r="AL266" s="796" t="s">
        <v>90</v>
      </c>
      <c r="AM266" s="796"/>
      <c r="AN266" s="799"/>
    </row>
    <row r="267" spans="1:42" s="18" customFormat="1" ht="25.5" hidden="1" customHeight="1" outlineLevel="1">
      <c r="A267" s="35"/>
      <c r="B267" s="35"/>
      <c r="C267" s="35"/>
      <c r="D267" s="35"/>
      <c r="E267" s="35"/>
      <c r="F267" s="36"/>
      <c r="G267" s="36"/>
      <c r="H267" s="37"/>
      <c r="I267" s="36"/>
      <c r="J267" s="36"/>
      <c r="K267" s="36"/>
      <c r="L267" s="35"/>
      <c r="M267" s="38"/>
      <c r="N267" s="39"/>
      <c r="O267" s="39"/>
      <c r="P267" s="39"/>
      <c r="Q267" s="46"/>
      <c r="R267" s="42"/>
      <c r="S267" s="47"/>
      <c r="T267" s="47"/>
      <c r="U267" s="47"/>
      <c r="V267" s="47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7"/>
      <c r="AJ267" s="47"/>
      <c r="AK267" s="796"/>
      <c r="AL267" s="796"/>
      <c r="AM267" s="796"/>
      <c r="AN267" s="799"/>
    </row>
    <row r="268" spans="1:42" s="33" customFormat="1" ht="25.5" hidden="1" customHeight="1" outlineLevel="2">
      <c r="A268" s="35"/>
      <c r="B268" s="35"/>
      <c r="C268" s="35"/>
      <c r="D268" s="35"/>
      <c r="E268" s="35"/>
      <c r="F268" s="36"/>
      <c r="G268" s="36"/>
      <c r="H268" s="37"/>
      <c r="I268" s="36"/>
      <c r="J268" s="36"/>
      <c r="K268" s="36"/>
      <c r="L268" s="35"/>
      <c r="M268" s="38"/>
      <c r="N268" s="39"/>
      <c r="O268" s="39"/>
      <c r="P268" s="39"/>
      <c r="Q268" s="17" t="s">
        <v>59</v>
      </c>
      <c r="R268" s="50"/>
      <c r="S268" s="51"/>
      <c r="T268" s="51"/>
      <c r="U268" s="52"/>
      <c r="V268" s="52"/>
      <c r="W268" s="52"/>
      <c r="X268" s="52"/>
      <c r="Y268" s="52"/>
      <c r="Z268" s="53"/>
      <c r="AA268" s="53"/>
      <c r="AB268" s="53"/>
      <c r="AC268" s="53"/>
      <c r="AD268" s="53"/>
      <c r="AE268" s="53"/>
      <c r="AF268" s="53"/>
      <c r="AG268" s="53"/>
      <c r="AH268" s="53"/>
      <c r="AI268" s="52"/>
      <c r="AJ268" s="52"/>
      <c r="AK268" s="796"/>
      <c r="AL268" s="796"/>
      <c r="AM268" s="796"/>
      <c r="AN268" s="799"/>
    </row>
    <row r="269" spans="1:42" s="33" customFormat="1" ht="25.5" customHeight="1" outlineLevel="2">
      <c r="A269" s="54"/>
      <c r="B269" s="801">
        <v>31</v>
      </c>
      <c r="C269" s="729"/>
      <c r="D269" s="54" t="s">
        <v>33</v>
      </c>
      <c r="E269" s="801" t="s">
        <v>60</v>
      </c>
      <c r="F269" s="729" t="s">
        <v>84</v>
      </c>
      <c r="G269" s="55" t="s">
        <v>49</v>
      </c>
      <c r="H269" s="56" t="s">
        <v>72</v>
      </c>
      <c r="I269" s="801" t="s">
        <v>173</v>
      </c>
      <c r="J269" s="801" t="s">
        <v>224</v>
      </c>
      <c r="K269" s="57">
        <v>13</v>
      </c>
      <c r="L269" s="54" t="s">
        <v>46</v>
      </c>
      <c r="M269" s="802" t="s">
        <v>40</v>
      </c>
      <c r="N269" s="803">
        <v>30485139</v>
      </c>
      <c r="O269" s="770" t="s">
        <v>754</v>
      </c>
      <c r="P269" s="56"/>
      <c r="Q269" s="802" t="s">
        <v>228</v>
      </c>
      <c r="R269" s="24"/>
      <c r="S269" s="804">
        <v>218397000</v>
      </c>
      <c r="T269" s="805">
        <v>0</v>
      </c>
      <c r="U269" s="805">
        <v>100000000</v>
      </c>
      <c r="V269" s="805">
        <f t="shared" si="138"/>
        <v>0</v>
      </c>
      <c r="W269" s="29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>
        <v>0</v>
      </c>
      <c r="AI269" s="805">
        <f t="shared" si="139"/>
        <v>100000000</v>
      </c>
      <c r="AJ269" s="805">
        <f>+S269-T269-V269-AI269</f>
        <v>118397000</v>
      </c>
      <c r="AK269" s="806" t="s">
        <v>43</v>
      </c>
      <c r="AL269" s="806" t="s">
        <v>765</v>
      </c>
      <c r="AM269" s="806" t="str">
        <f t="shared" ref="AM269:AM270" si="142">HYPERLINK(CONCATENATE("DOCUMENTOS\ACTA-",N269,".PDF"))</f>
        <v>DOCUMENTOS\ACTA-30485139.PDF</v>
      </c>
      <c r="AN269" s="807"/>
      <c r="AO269" s="33" t="e">
        <f>VLOOKUP(N269,'CONVENIOS 2021'!A$1:A$53,1,FALSE)</f>
        <v>#N/A</v>
      </c>
      <c r="AP269" s="33" t="e">
        <f>VLOOKUP(N269,'CONVENIOS 2020'!A$2:A$72,1,FALSE)</f>
        <v>#N/A</v>
      </c>
    </row>
    <row r="270" spans="1:42" s="33" customFormat="1" ht="25.5" customHeight="1" outlineLevel="2">
      <c r="A270" s="54"/>
      <c r="B270" s="801">
        <v>31</v>
      </c>
      <c r="C270" s="729"/>
      <c r="D270" s="54" t="s">
        <v>33</v>
      </c>
      <c r="E270" s="801" t="s">
        <v>60</v>
      </c>
      <c r="F270" s="729" t="s">
        <v>84</v>
      </c>
      <c r="G270" s="55" t="s">
        <v>49</v>
      </c>
      <c r="H270" s="56" t="s">
        <v>72</v>
      </c>
      <c r="I270" s="801" t="s">
        <v>173</v>
      </c>
      <c r="J270" s="801" t="s">
        <v>224</v>
      </c>
      <c r="K270" s="57">
        <v>13</v>
      </c>
      <c r="L270" s="54" t="s">
        <v>46</v>
      </c>
      <c r="M270" s="802" t="s">
        <v>40</v>
      </c>
      <c r="N270" s="803">
        <v>30485133</v>
      </c>
      <c r="O270" s="770" t="s">
        <v>754</v>
      </c>
      <c r="P270" s="56"/>
      <c r="Q270" s="802" t="s">
        <v>229</v>
      </c>
      <c r="R270" s="24"/>
      <c r="S270" s="804">
        <v>449572000</v>
      </c>
      <c r="T270" s="805">
        <v>0</v>
      </c>
      <c r="U270" s="805">
        <v>150709000</v>
      </c>
      <c r="V270" s="805">
        <f t="shared" si="138"/>
        <v>0</v>
      </c>
      <c r="W270" s="29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>
        <v>0</v>
      </c>
      <c r="AI270" s="805">
        <f t="shared" si="139"/>
        <v>150709000</v>
      </c>
      <c r="AJ270" s="805">
        <f>+S270-T270-V270-AI270</f>
        <v>298863000</v>
      </c>
      <c r="AK270" s="806" t="s">
        <v>43</v>
      </c>
      <c r="AL270" s="806" t="s">
        <v>767</v>
      </c>
      <c r="AM270" s="806"/>
      <c r="AN270" s="807">
        <v>44242</v>
      </c>
      <c r="AO270" s="33" t="e">
        <f>VLOOKUP(N270,'CONVENIOS 2021'!A$1:A$53,1,FALSE)</f>
        <v>#N/A</v>
      </c>
      <c r="AP270" s="33" t="e">
        <f>VLOOKUP(N270,'CONVENIOS 2020'!A$2:A$72,1,FALSE)</f>
        <v>#N/A</v>
      </c>
    </row>
    <row r="271" spans="1:42" s="33" customFormat="1" ht="25.5" hidden="1" customHeight="1" outlineLevel="2">
      <c r="A271" s="54"/>
      <c r="B271" s="782">
        <v>31</v>
      </c>
      <c r="C271" s="54"/>
      <c r="D271" s="54" t="s">
        <v>33</v>
      </c>
      <c r="E271" s="782" t="s">
        <v>60</v>
      </c>
      <c r="F271" s="54" t="s">
        <v>35</v>
      </c>
      <c r="G271" s="55" t="s">
        <v>49</v>
      </c>
      <c r="H271" s="56" t="s">
        <v>50</v>
      </c>
      <c r="I271" s="782" t="s">
        <v>173</v>
      </c>
      <c r="J271" s="782" t="s">
        <v>224</v>
      </c>
      <c r="K271" s="57">
        <v>13</v>
      </c>
      <c r="L271" s="54" t="s">
        <v>46</v>
      </c>
      <c r="M271" s="783" t="s">
        <v>40</v>
      </c>
      <c r="N271" s="784">
        <v>30085259</v>
      </c>
      <c r="O271" s="56" t="s">
        <v>684</v>
      </c>
      <c r="P271" s="56"/>
      <c r="Q271" s="783" t="s">
        <v>230</v>
      </c>
      <c r="R271" s="24"/>
      <c r="S271" s="785">
        <v>6379910000</v>
      </c>
      <c r="T271" s="786">
        <v>830345185</v>
      </c>
      <c r="U271" s="786">
        <v>1000000000</v>
      </c>
      <c r="V271" s="787">
        <f t="shared" si="138"/>
        <v>1817407180</v>
      </c>
      <c r="W271" s="29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>
        <v>1817407180</v>
      </c>
      <c r="AI271" s="786">
        <f t="shared" si="139"/>
        <v>-817407180</v>
      </c>
      <c r="AJ271" s="786">
        <f>+S271-T271-V271-AI271</f>
        <v>4549564815</v>
      </c>
      <c r="AK271" s="796" t="s">
        <v>42</v>
      </c>
      <c r="AL271" s="796" t="s">
        <v>164</v>
      </c>
      <c r="AM271" s="796"/>
      <c r="AN271" s="799"/>
    </row>
    <row r="272" spans="1:42" ht="28.5" customHeight="1" outlineLevel="1" collapsed="1">
      <c r="A272" s="54" t="s">
        <v>118</v>
      </c>
      <c r="B272" s="801">
        <v>31</v>
      </c>
      <c r="C272" s="729"/>
      <c r="D272" s="54" t="s">
        <v>33</v>
      </c>
      <c r="E272" s="801" t="s">
        <v>60</v>
      </c>
      <c r="F272" s="729"/>
      <c r="G272" s="55"/>
      <c r="H272" s="56" t="s">
        <v>37</v>
      </c>
      <c r="I272" s="801" t="s">
        <v>173</v>
      </c>
      <c r="J272" s="801" t="s">
        <v>224</v>
      </c>
      <c r="K272" s="57">
        <v>13</v>
      </c>
      <c r="L272" s="54" t="s">
        <v>46</v>
      </c>
      <c r="M272" s="802" t="s">
        <v>40</v>
      </c>
      <c r="N272" s="803">
        <v>40005972</v>
      </c>
      <c r="O272" s="770"/>
      <c r="P272" s="56"/>
      <c r="Q272" s="802" t="s">
        <v>231</v>
      </c>
      <c r="R272" s="62"/>
      <c r="S272" s="804">
        <v>410792000</v>
      </c>
      <c r="T272" s="805">
        <v>0</v>
      </c>
      <c r="U272" s="805">
        <f>200539600-50000000+155169965+4319112</f>
        <v>310028677</v>
      </c>
      <c r="V272" s="805">
        <f t="shared" si="138"/>
        <v>0</v>
      </c>
      <c r="W272" s="157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28">
        <v>0</v>
      </c>
      <c r="AI272" s="805">
        <f t="shared" si="139"/>
        <v>310028677</v>
      </c>
      <c r="AJ272" s="805">
        <f>+S272-T272-V272-AI272</f>
        <v>100763323</v>
      </c>
      <c r="AK272" s="806" t="s">
        <v>48</v>
      </c>
      <c r="AL272" s="806" t="s">
        <v>767</v>
      </c>
      <c r="AM272" s="806"/>
      <c r="AN272" s="807">
        <v>44252</v>
      </c>
      <c r="AO272" s="33" t="e">
        <f>VLOOKUP(N272,'CONVENIOS 2021'!A$1:A$53,1,FALSE)</f>
        <v>#N/A</v>
      </c>
      <c r="AP272" s="33" t="e">
        <f>VLOOKUP(N272,'CONVENIOS 2020'!A$2:A$72,1,FALSE)</f>
        <v>#N/A</v>
      </c>
    </row>
    <row r="273" spans="1:42" s="18" customFormat="1" ht="25.5" customHeight="1" outlineLevel="1">
      <c r="A273" s="54"/>
      <c r="B273" s="801">
        <v>31</v>
      </c>
      <c r="C273" s="729"/>
      <c r="D273" s="54" t="s">
        <v>33</v>
      </c>
      <c r="E273" s="801" t="s">
        <v>60</v>
      </c>
      <c r="F273" s="729" t="s">
        <v>84</v>
      </c>
      <c r="G273" s="55" t="s">
        <v>49</v>
      </c>
      <c r="H273" s="56" t="s">
        <v>72</v>
      </c>
      <c r="I273" s="801" t="s">
        <v>173</v>
      </c>
      <c r="J273" s="801" t="s">
        <v>224</v>
      </c>
      <c r="K273" s="57">
        <v>13</v>
      </c>
      <c r="L273" s="54" t="s">
        <v>46</v>
      </c>
      <c r="M273" s="802" t="s">
        <v>40</v>
      </c>
      <c r="N273" s="803">
        <v>30485115</v>
      </c>
      <c r="O273" s="770" t="s">
        <v>754</v>
      </c>
      <c r="P273" s="56"/>
      <c r="Q273" s="802" t="s">
        <v>232</v>
      </c>
      <c r="R273" s="24"/>
      <c r="S273" s="804">
        <v>425742000</v>
      </c>
      <c r="T273" s="805">
        <v>0</v>
      </c>
      <c r="U273" s="805">
        <v>150000000</v>
      </c>
      <c r="V273" s="805">
        <f t="shared" si="138"/>
        <v>0</v>
      </c>
      <c r="W273" s="29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>
        <v>0</v>
      </c>
      <c r="AI273" s="805">
        <f t="shared" si="139"/>
        <v>150000000</v>
      </c>
      <c r="AJ273" s="805">
        <f>+S273-T273-V273-AI273</f>
        <v>275742000</v>
      </c>
      <c r="AK273" s="806" t="s">
        <v>43</v>
      </c>
      <c r="AL273" s="806" t="s">
        <v>759</v>
      </c>
      <c r="AM273" s="806" t="str">
        <f t="shared" ref="AM272:AM273" si="143">HYPERLINK(CONCATENATE("DOCUMENTOS\ACTA-",N273,".PDF"))</f>
        <v>DOCUMENTOS\ACTA-30485115.PDF</v>
      </c>
      <c r="AN273" s="807"/>
      <c r="AO273" s="33" t="e">
        <f>VLOOKUP(N273,'CONVENIOS 2021'!A$1:A$53,1,FALSE)</f>
        <v>#N/A</v>
      </c>
      <c r="AP273" s="33" t="e">
        <f>VLOOKUP(N273,'CONVENIOS 2020'!A$2:A$72,1,FALSE)</f>
        <v>#N/A</v>
      </c>
    </row>
    <row r="274" spans="1:42" s="38" customFormat="1" ht="25.5" hidden="1" customHeight="1" outlineLevel="1">
      <c r="A274" s="35"/>
      <c r="B274" s="35"/>
      <c r="C274" s="35"/>
      <c r="D274" s="35"/>
      <c r="E274" s="35"/>
      <c r="F274" s="36"/>
      <c r="G274" s="36"/>
      <c r="H274" s="37"/>
      <c r="I274" s="36"/>
      <c r="J274" s="36"/>
      <c r="K274" s="36"/>
      <c r="L274" s="35"/>
      <c r="N274" s="39"/>
      <c r="O274" s="39"/>
      <c r="P274" s="39"/>
      <c r="Q274" s="139" t="s">
        <v>67</v>
      </c>
      <c r="R274" s="41"/>
      <c r="S274" s="140">
        <f t="shared" ref="S274:AJ274" si="144">SUBTOTAL(9,S269:S273)</f>
        <v>1504503000</v>
      </c>
      <c r="T274" s="140">
        <f t="shared" ref="T274" si="145">SUBTOTAL(9,T269:T273)</f>
        <v>0</v>
      </c>
      <c r="U274" s="140">
        <f t="shared" si="144"/>
        <v>710737677</v>
      </c>
      <c r="V274" s="140">
        <f t="shared" si="144"/>
        <v>0</v>
      </c>
      <c r="W274" s="140">
        <f t="shared" si="144"/>
        <v>0</v>
      </c>
      <c r="X274" s="140">
        <f t="shared" si="144"/>
        <v>0</v>
      </c>
      <c r="Y274" s="140">
        <f t="shared" si="144"/>
        <v>0</v>
      </c>
      <c r="Z274" s="140">
        <f t="shared" si="144"/>
        <v>0</v>
      </c>
      <c r="AA274" s="140">
        <f t="shared" si="144"/>
        <v>0</v>
      </c>
      <c r="AB274" s="140">
        <f t="shared" si="144"/>
        <v>0</v>
      </c>
      <c r="AC274" s="140">
        <f t="shared" si="144"/>
        <v>0</v>
      </c>
      <c r="AD274" s="140">
        <f t="shared" si="144"/>
        <v>0</v>
      </c>
      <c r="AE274" s="140">
        <f t="shared" si="144"/>
        <v>0</v>
      </c>
      <c r="AF274" s="140">
        <f t="shared" si="144"/>
        <v>0</v>
      </c>
      <c r="AG274" s="140">
        <f t="shared" si="144"/>
        <v>0</v>
      </c>
      <c r="AH274" s="140">
        <v>1817407180</v>
      </c>
      <c r="AI274" s="140">
        <f t="shared" si="144"/>
        <v>710737677</v>
      </c>
      <c r="AJ274" s="140">
        <f t="shared" si="144"/>
        <v>793765323</v>
      </c>
      <c r="AK274" s="796"/>
      <c r="AL274" s="796"/>
      <c r="AM274" s="796"/>
      <c r="AN274" s="799"/>
    </row>
    <row r="275" spans="1:42" ht="18.75" hidden="1" customHeight="1" outlineLevel="1">
      <c r="A275" s="35"/>
      <c r="B275" s="35"/>
      <c r="C275" s="35"/>
      <c r="D275" s="35"/>
      <c r="E275" s="35"/>
      <c r="F275" s="36"/>
      <c r="G275" s="36"/>
      <c r="H275" s="37"/>
      <c r="I275" s="36"/>
      <c r="J275" s="36"/>
      <c r="K275" s="36"/>
      <c r="L275" s="35"/>
      <c r="M275" s="38"/>
      <c r="N275" s="39"/>
      <c r="O275" s="39"/>
      <c r="P275" s="39"/>
      <c r="Q275" s="46"/>
      <c r="R275" s="42"/>
      <c r="S275" s="47"/>
      <c r="T275" s="47"/>
      <c r="U275" s="47"/>
      <c r="V275" s="47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7"/>
      <c r="AJ275" s="47"/>
      <c r="AK275" s="796"/>
      <c r="AL275" s="796"/>
      <c r="AM275" s="796"/>
      <c r="AN275" s="799"/>
    </row>
    <row r="276" spans="1:42" s="33" customFormat="1" ht="25.5" hidden="1" customHeight="1" outlineLevel="2">
      <c r="A276" s="36"/>
      <c r="B276" s="36"/>
      <c r="C276" s="36"/>
      <c r="D276" s="36"/>
      <c r="E276" s="36"/>
      <c r="F276" s="36"/>
      <c r="G276" s="36"/>
      <c r="H276" s="37"/>
      <c r="I276" s="36"/>
      <c r="J276" s="36"/>
      <c r="K276" s="36"/>
      <c r="L276" s="36"/>
      <c r="M276" s="95"/>
      <c r="N276" s="37"/>
      <c r="O276" s="39"/>
      <c r="P276" s="39"/>
      <c r="Q276" s="17" t="s">
        <v>68</v>
      </c>
      <c r="R276" s="50"/>
      <c r="S276" s="97"/>
      <c r="T276" s="97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796"/>
      <c r="AL276" s="796"/>
      <c r="AM276" s="796"/>
      <c r="AN276" s="799"/>
    </row>
    <row r="277" spans="1:42" ht="23.25" outlineLevel="1" collapsed="1">
      <c r="A277" s="66"/>
      <c r="B277" s="801">
        <v>31</v>
      </c>
      <c r="C277" s="730"/>
      <c r="D277" s="66" t="s">
        <v>33</v>
      </c>
      <c r="E277" s="801" t="s">
        <v>69</v>
      </c>
      <c r="F277" s="730"/>
      <c r="G277" s="67"/>
      <c r="H277" s="68" t="s">
        <v>72</v>
      </c>
      <c r="I277" s="801" t="s">
        <v>173</v>
      </c>
      <c r="J277" s="801" t="s">
        <v>224</v>
      </c>
      <c r="K277" s="69">
        <v>13</v>
      </c>
      <c r="L277" s="66" t="s">
        <v>46</v>
      </c>
      <c r="M277" s="802" t="s">
        <v>40</v>
      </c>
      <c r="N277" s="803">
        <v>30485157</v>
      </c>
      <c r="O277" s="771"/>
      <c r="P277" s="68"/>
      <c r="Q277" s="802" t="s">
        <v>233</v>
      </c>
      <c r="R277" s="77"/>
      <c r="S277" s="804">
        <v>322319000</v>
      </c>
      <c r="T277" s="805">
        <v>0</v>
      </c>
      <c r="U277" s="805">
        <v>50000000</v>
      </c>
      <c r="V277" s="805">
        <f t="shared" si="138"/>
        <v>0</v>
      </c>
      <c r="W277" s="79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28">
        <v>0</v>
      </c>
      <c r="AI277" s="805">
        <f t="shared" si="139"/>
        <v>50000000</v>
      </c>
      <c r="AJ277" s="805">
        <f>+S277-T277-V277-AI277</f>
        <v>272319000</v>
      </c>
      <c r="AK277" s="806" t="s">
        <v>43</v>
      </c>
      <c r="AL277" s="806" t="s">
        <v>771</v>
      </c>
      <c r="AM277" s="806"/>
      <c r="AN277" s="807"/>
      <c r="AO277" s="33" t="e">
        <f>VLOOKUP(N277,'CONVENIOS 2021'!A$1:A$53,1,FALSE)</f>
        <v>#N/A</v>
      </c>
      <c r="AP277" s="33" t="e">
        <f>VLOOKUP(N277,'CONVENIOS 2020'!A$2:A$72,1,FALSE)</f>
        <v>#N/A</v>
      </c>
    </row>
    <row r="278" spans="1:42" s="18" customFormat="1" ht="25.5" hidden="1" customHeight="1" outlineLevel="1">
      <c r="A278" s="66"/>
      <c r="B278" s="180">
        <v>33</v>
      </c>
      <c r="C278" s="66"/>
      <c r="D278" s="66" t="s">
        <v>76</v>
      </c>
      <c r="E278" s="180" t="s">
        <v>69</v>
      </c>
      <c r="F278" s="66" t="s">
        <v>35</v>
      </c>
      <c r="G278" s="67" t="s">
        <v>49</v>
      </c>
      <c r="H278" s="68" t="s">
        <v>61</v>
      </c>
      <c r="I278" s="180" t="s">
        <v>173</v>
      </c>
      <c r="J278" s="180" t="s">
        <v>224</v>
      </c>
      <c r="K278" s="69">
        <v>13</v>
      </c>
      <c r="L278" s="66" t="s">
        <v>76</v>
      </c>
      <c r="M278" s="184" t="s">
        <v>40</v>
      </c>
      <c r="N278" s="182" t="s">
        <v>76</v>
      </c>
      <c r="O278" s="68"/>
      <c r="P278" s="68"/>
      <c r="Q278" s="184" t="s">
        <v>77</v>
      </c>
      <c r="R278" s="141"/>
      <c r="S278" s="188">
        <v>200000000</v>
      </c>
      <c r="T278" s="189">
        <v>0</v>
      </c>
      <c r="U278" s="189">
        <v>200000000</v>
      </c>
      <c r="V278" s="776">
        <f t="shared" si="138"/>
        <v>0</v>
      </c>
      <c r="W278" s="144"/>
      <c r="X278" s="143"/>
      <c r="Y278" s="143"/>
      <c r="Z278" s="143"/>
      <c r="AA278" s="143"/>
      <c r="AB278" s="28"/>
      <c r="AC278" s="143"/>
      <c r="AD278" s="143"/>
      <c r="AE278" s="143"/>
      <c r="AF278" s="143"/>
      <c r="AG278" s="28"/>
      <c r="AH278" s="72"/>
      <c r="AI278" s="189">
        <f t="shared" si="139"/>
        <v>200000000</v>
      </c>
      <c r="AJ278" s="189">
        <f>+S278-T278-V278-AI278</f>
        <v>0</v>
      </c>
      <c r="AK278" s="796" t="s">
        <v>78</v>
      </c>
      <c r="AL278" s="796"/>
      <c r="AM278" s="796"/>
      <c r="AN278" s="799"/>
    </row>
    <row r="279" spans="1:42" s="159" customFormat="1" ht="18.75" hidden="1" customHeight="1" outlineLevel="1">
      <c r="A279" s="36"/>
      <c r="B279" s="36"/>
      <c r="C279" s="36"/>
      <c r="D279" s="36"/>
      <c r="E279" s="36"/>
      <c r="F279" s="36"/>
      <c r="G279" s="36"/>
      <c r="H279" s="37"/>
      <c r="I279" s="36"/>
      <c r="J279" s="36"/>
      <c r="K279" s="36"/>
      <c r="L279" s="36"/>
      <c r="M279" s="95"/>
      <c r="N279" s="37"/>
      <c r="O279" s="39"/>
      <c r="P279" s="39"/>
      <c r="Q279" s="134" t="s">
        <v>80</v>
      </c>
      <c r="R279" s="158"/>
      <c r="S279" s="110">
        <f t="shared" ref="S279:U279" si="146">SUBTOTAL(9,S277:S278)</f>
        <v>322319000</v>
      </c>
      <c r="T279" s="110">
        <f t="shared" ref="T279" si="147">SUBTOTAL(9,T277:T278)</f>
        <v>0</v>
      </c>
      <c r="U279" s="110">
        <f t="shared" si="146"/>
        <v>50000000</v>
      </c>
      <c r="V279" s="110">
        <f t="shared" ref="V279:AJ279" si="148">SUBTOTAL(9,V277:V278)</f>
        <v>0</v>
      </c>
      <c r="W279" s="110">
        <f t="shared" si="148"/>
        <v>0</v>
      </c>
      <c r="X279" s="110">
        <f t="shared" si="148"/>
        <v>0</v>
      </c>
      <c r="Y279" s="110">
        <f t="shared" si="148"/>
        <v>0</v>
      </c>
      <c r="Z279" s="110">
        <f t="shared" si="148"/>
        <v>0</v>
      </c>
      <c r="AA279" s="110">
        <f t="shared" si="148"/>
        <v>0</v>
      </c>
      <c r="AB279" s="110">
        <f t="shared" si="148"/>
        <v>0</v>
      </c>
      <c r="AC279" s="110">
        <f t="shared" si="148"/>
        <v>0</v>
      </c>
      <c r="AD279" s="110">
        <f t="shared" si="148"/>
        <v>0</v>
      </c>
      <c r="AE279" s="110">
        <f t="shared" si="148"/>
        <v>0</v>
      </c>
      <c r="AF279" s="110">
        <f t="shared" si="148"/>
        <v>0</v>
      </c>
      <c r="AG279" s="110">
        <f t="shared" si="148"/>
        <v>0</v>
      </c>
      <c r="AH279" s="110">
        <v>0</v>
      </c>
      <c r="AI279" s="110">
        <f t="shared" si="148"/>
        <v>50000000</v>
      </c>
      <c r="AJ279" s="110">
        <f t="shared" si="148"/>
        <v>272319000</v>
      </c>
      <c r="AK279" s="796"/>
      <c r="AL279" s="796"/>
      <c r="AM279" s="796"/>
      <c r="AN279" s="799"/>
    </row>
    <row r="280" spans="1:42" s="90" customFormat="1" ht="24.75" hidden="1" customHeight="1" outlineLevel="1">
      <c r="A280" s="36"/>
      <c r="B280" s="36"/>
      <c r="C280" s="36"/>
      <c r="D280" s="36"/>
      <c r="E280" s="36"/>
      <c r="F280" s="36"/>
      <c r="G280" s="36"/>
      <c r="H280" s="37"/>
      <c r="I280" s="36"/>
      <c r="J280" s="36"/>
      <c r="K280" s="36"/>
      <c r="L280" s="36"/>
      <c r="M280" s="95"/>
      <c r="N280" s="37"/>
      <c r="O280" s="39"/>
      <c r="P280" s="39"/>
      <c r="Q280" s="46"/>
      <c r="R280" s="46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796"/>
      <c r="AL280" s="796"/>
      <c r="AM280" s="796"/>
      <c r="AN280" s="799"/>
    </row>
    <row r="281" spans="1:42" s="84" customFormat="1" ht="24.75" hidden="1" customHeight="1" outlineLevel="1">
      <c r="A281" s="36"/>
      <c r="B281" s="82"/>
      <c r="C281" s="82"/>
      <c r="D281" s="36"/>
      <c r="E281" s="36"/>
      <c r="F281" s="36"/>
      <c r="G281" s="36"/>
      <c r="H281" s="37"/>
      <c r="I281" s="36"/>
      <c r="J281" s="36"/>
      <c r="K281" s="36"/>
      <c r="L281" s="82"/>
      <c r="N281" s="83"/>
      <c r="O281" s="39"/>
      <c r="P281" s="39"/>
      <c r="Q281" s="85" t="s">
        <v>234</v>
      </c>
      <c r="R281" s="111"/>
      <c r="S281" s="88">
        <f t="shared" ref="S281:U281" si="149">S279+S274+S266</f>
        <v>1826822000</v>
      </c>
      <c r="T281" s="88">
        <f t="shared" ref="T281" si="150">T279+T274+T266</f>
        <v>0</v>
      </c>
      <c r="U281" s="88">
        <f t="shared" si="149"/>
        <v>760737677</v>
      </c>
      <c r="V281" s="88">
        <f t="shared" ref="V281:AJ281" si="151">V279+V274+V266</f>
        <v>0</v>
      </c>
      <c r="W281" s="88">
        <f t="shared" si="151"/>
        <v>0</v>
      </c>
      <c r="X281" s="88">
        <f t="shared" si="151"/>
        <v>0</v>
      </c>
      <c r="Y281" s="88">
        <f t="shared" si="151"/>
        <v>0</v>
      </c>
      <c r="Z281" s="88">
        <f t="shared" si="151"/>
        <v>0</v>
      </c>
      <c r="AA281" s="88">
        <f t="shared" si="151"/>
        <v>0</v>
      </c>
      <c r="AB281" s="88">
        <f t="shared" si="151"/>
        <v>0</v>
      </c>
      <c r="AC281" s="88">
        <f t="shared" si="151"/>
        <v>0</v>
      </c>
      <c r="AD281" s="88">
        <f t="shared" si="151"/>
        <v>0</v>
      </c>
      <c r="AE281" s="88">
        <f t="shared" si="151"/>
        <v>0</v>
      </c>
      <c r="AF281" s="88">
        <f t="shared" si="151"/>
        <v>0</v>
      </c>
      <c r="AG281" s="88">
        <f t="shared" si="151"/>
        <v>0</v>
      </c>
      <c r="AH281" s="88">
        <v>1870905369</v>
      </c>
      <c r="AI281" s="88">
        <f t="shared" si="151"/>
        <v>760737677</v>
      </c>
      <c r="AJ281" s="88">
        <f t="shared" si="151"/>
        <v>1066084323</v>
      </c>
      <c r="AK281" s="796"/>
      <c r="AL281" s="796"/>
      <c r="AM281" s="796"/>
      <c r="AN281" s="799"/>
    </row>
    <row r="282" spans="1:42" s="84" customFormat="1" ht="24.75" hidden="1" customHeight="1" outlineLevel="1">
      <c r="A282" s="36"/>
      <c r="B282" s="82"/>
      <c r="C282" s="82"/>
      <c r="D282" s="36"/>
      <c r="E282" s="36"/>
      <c r="F282" s="36"/>
      <c r="G282" s="36"/>
      <c r="H282" s="37"/>
      <c r="I282" s="36"/>
      <c r="J282" s="36"/>
      <c r="K282" s="36"/>
      <c r="L282" s="82"/>
      <c r="N282" s="83"/>
      <c r="O282" s="39"/>
      <c r="P282" s="39"/>
      <c r="Q282" s="91"/>
      <c r="R282" s="87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796"/>
      <c r="AL282" s="796"/>
      <c r="AM282" s="796"/>
      <c r="AN282" s="799"/>
    </row>
    <row r="283" spans="1:42" s="84" customFormat="1" ht="24.75" hidden="1" customHeight="1" outlineLevel="1">
      <c r="A283" s="36"/>
      <c r="B283" s="82"/>
      <c r="C283" s="82"/>
      <c r="D283" s="36"/>
      <c r="E283" s="36"/>
      <c r="F283" s="36"/>
      <c r="G283" s="36"/>
      <c r="H283" s="37"/>
      <c r="I283" s="36"/>
      <c r="J283" s="36"/>
      <c r="K283" s="36"/>
      <c r="L283" s="82"/>
      <c r="N283" s="83"/>
      <c r="O283" s="39"/>
      <c r="P283" s="39"/>
      <c r="Q283" s="596"/>
      <c r="R283" s="87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796"/>
      <c r="AL283" s="796"/>
      <c r="AM283" s="796"/>
      <c r="AN283" s="799"/>
    </row>
    <row r="284" spans="1:42" s="18" customFormat="1" ht="25.5" hidden="1" customHeight="1" outlineLevel="1">
      <c r="A284" s="36"/>
      <c r="B284" s="36"/>
      <c r="C284" s="36"/>
      <c r="D284" s="36"/>
      <c r="E284" s="36"/>
      <c r="F284" s="36"/>
      <c r="G284" s="36"/>
      <c r="H284" s="37"/>
      <c r="I284" s="36"/>
      <c r="J284" s="36"/>
      <c r="K284" s="36"/>
      <c r="L284" s="36"/>
      <c r="M284" s="95"/>
      <c r="N284" s="37"/>
      <c r="O284" s="39"/>
      <c r="P284" s="39"/>
      <c r="Q284" s="96" t="s">
        <v>235</v>
      </c>
      <c r="R284" s="50"/>
      <c r="S284" s="97"/>
      <c r="T284" s="97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796"/>
      <c r="AL284" s="796"/>
      <c r="AM284" s="796"/>
      <c r="AN284" s="799"/>
    </row>
    <row r="285" spans="1:42" s="33" customFormat="1" ht="25.5" hidden="1" customHeight="1" outlineLevel="2">
      <c r="A285" s="35"/>
      <c r="B285" s="35"/>
      <c r="C285" s="35"/>
      <c r="D285" s="35"/>
      <c r="E285" s="35"/>
      <c r="F285" s="36"/>
      <c r="G285" s="36"/>
      <c r="H285" s="37"/>
      <c r="I285" s="36"/>
      <c r="J285" s="36"/>
      <c r="K285" s="36"/>
      <c r="L285" s="35"/>
      <c r="M285" s="38"/>
      <c r="N285" s="39"/>
      <c r="O285" s="39"/>
      <c r="P285" s="39"/>
      <c r="Q285" s="17" t="s">
        <v>32</v>
      </c>
      <c r="R285" s="50"/>
      <c r="S285" s="51"/>
      <c r="T285" s="51"/>
      <c r="U285" s="52"/>
      <c r="V285" s="52"/>
      <c r="W285" s="52"/>
      <c r="X285" s="52"/>
      <c r="Y285" s="52"/>
      <c r="Z285" s="53"/>
      <c r="AA285" s="53"/>
      <c r="AB285" s="53"/>
      <c r="AC285" s="53"/>
      <c r="AD285" s="53"/>
      <c r="AE285" s="53"/>
      <c r="AF285" s="53"/>
      <c r="AG285" s="53"/>
      <c r="AH285" s="53"/>
      <c r="AI285" s="52"/>
      <c r="AJ285" s="52"/>
      <c r="AK285" s="796"/>
      <c r="AL285" s="796"/>
      <c r="AM285" s="796"/>
      <c r="AN285" s="799"/>
    </row>
    <row r="286" spans="1:42" s="33" customFormat="1" ht="25.5" hidden="1" customHeight="1" outlineLevel="2">
      <c r="A286" s="19"/>
      <c r="B286" s="19">
        <v>31</v>
      </c>
      <c r="C286" s="19"/>
      <c r="D286" s="19" t="s">
        <v>33</v>
      </c>
      <c r="E286" s="19" t="s">
        <v>34</v>
      </c>
      <c r="F286" s="19" t="s">
        <v>35</v>
      </c>
      <c r="G286" s="20" t="s">
        <v>49</v>
      </c>
      <c r="H286" s="21" t="s">
        <v>50</v>
      </c>
      <c r="I286" s="19" t="s">
        <v>173</v>
      </c>
      <c r="J286" s="19" t="s">
        <v>173</v>
      </c>
      <c r="K286" s="22">
        <v>14</v>
      </c>
      <c r="L286" s="19" t="s">
        <v>46</v>
      </c>
      <c r="M286" s="23" t="s">
        <v>40</v>
      </c>
      <c r="N286" s="21">
        <v>30076574</v>
      </c>
      <c r="O286" s="21" t="s">
        <v>684</v>
      </c>
      <c r="P286" s="21"/>
      <c r="Q286" s="23" t="s">
        <v>671</v>
      </c>
      <c r="R286" s="24" t="s">
        <v>672</v>
      </c>
      <c r="S286" s="26">
        <f>+T286+U286</f>
        <v>3532529768</v>
      </c>
      <c r="T286" s="30">
        <v>3488289637</v>
      </c>
      <c r="U286" s="30">
        <v>44240131</v>
      </c>
      <c r="V286" s="285">
        <f t="shared" ref="V286" si="152">+SUM(W286:AH286)</f>
        <v>6329255</v>
      </c>
      <c r="W286" s="29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>
        <v>6329255</v>
      </c>
      <c r="AI286" s="30">
        <f t="shared" ref="AI286" si="153">+U286-V286</f>
        <v>37910876</v>
      </c>
      <c r="AJ286" s="30">
        <f>+S286-T286-V286-AI286</f>
        <v>0</v>
      </c>
      <c r="AK286" s="796" t="s">
        <v>43</v>
      </c>
      <c r="AL286" s="796" t="s">
        <v>44</v>
      </c>
      <c r="AM286" s="796"/>
      <c r="AN286" s="799"/>
    </row>
    <row r="287" spans="1:42" s="33" customFormat="1" ht="25.5" hidden="1" customHeight="1" outlineLevel="2">
      <c r="A287" s="19"/>
      <c r="B287" s="19">
        <v>31</v>
      </c>
      <c r="C287" s="19"/>
      <c r="D287" s="19" t="s">
        <v>33</v>
      </c>
      <c r="E287" s="19" t="s">
        <v>34</v>
      </c>
      <c r="F287" s="19" t="s">
        <v>84</v>
      </c>
      <c r="G287" s="20" t="s">
        <v>158</v>
      </c>
      <c r="H287" s="21" t="s">
        <v>72</v>
      </c>
      <c r="I287" s="19" t="s">
        <v>173</v>
      </c>
      <c r="J287" s="19" t="s">
        <v>173</v>
      </c>
      <c r="K287" s="22">
        <v>14</v>
      </c>
      <c r="L287" s="19" t="s">
        <v>46</v>
      </c>
      <c r="M287" s="23" t="s">
        <v>40</v>
      </c>
      <c r="N287" s="21">
        <v>40007476</v>
      </c>
      <c r="O287" s="21" t="s">
        <v>754</v>
      </c>
      <c r="P287" s="21"/>
      <c r="Q287" s="23" t="s">
        <v>236</v>
      </c>
      <c r="R287" s="24"/>
      <c r="S287" s="26">
        <v>385181000</v>
      </c>
      <c r="T287" s="30">
        <v>340526632</v>
      </c>
      <c r="U287" s="30">
        <f>252098267-207443899</f>
        <v>44654368</v>
      </c>
      <c r="V287" s="285">
        <f t="shared" si="138"/>
        <v>0</v>
      </c>
      <c r="W287" s="29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>
        <v>0</v>
      </c>
      <c r="AI287" s="30">
        <f t="shared" si="139"/>
        <v>44654368</v>
      </c>
      <c r="AJ287" s="30">
        <f>+S287-T287-V287-AI287</f>
        <v>0</v>
      </c>
      <c r="AK287" s="796" t="s">
        <v>43</v>
      </c>
      <c r="AL287" s="796" t="s">
        <v>44</v>
      </c>
      <c r="AM287" s="796"/>
      <c r="AN287" s="799"/>
    </row>
    <row r="288" spans="1:42" s="38" customFormat="1" ht="25.5" hidden="1" customHeight="1" outlineLevel="1">
      <c r="A288" s="35"/>
      <c r="B288" s="35"/>
      <c r="C288" s="35"/>
      <c r="D288" s="35"/>
      <c r="E288" s="35"/>
      <c r="F288" s="36"/>
      <c r="G288" s="36"/>
      <c r="H288" s="37"/>
      <c r="I288" s="36"/>
      <c r="J288" s="36"/>
      <c r="K288" s="36"/>
      <c r="L288" s="35"/>
      <c r="N288" s="39"/>
      <c r="O288" s="39"/>
      <c r="P288" s="39"/>
      <c r="Q288" s="132" t="s">
        <v>58</v>
      </c>
      <c r="R288" s="41"/>
      <c r="S288" s="133">
        <f>SUM(S286:S287)</f>
        <v>3917710768</v>
      </c>
      <c r="T288" s="133">
        <f t="shared" ref="T288:AI288" si="154">SUM(T286:T287)</f>
        <v>3828816269</v>
      </c>
      <c r="U288" s="133">
        <f t="shared" si="154"/>
        <v>88894499</v>
      </c>
      <c r="V288" s="133">
        <f t="shared" si="154"/>
        <v>6329255</v>
      </c>
      <c r="W288" s="133">
        <f t="shared" si="154"/>
        <v>0</v>
      </c>
      <c r="X288" s="133">
        <f t="shared" si="154"/>
        <v>0</v>
      </c>
      <c r="Y288" s="133">
        <f t="shared" si="154"/>
        <v>0</v>
      </c>
      <c r="Z288" s="133">
        <f t="shared" si="154"/>
        <v>0</v>
      </c>
      <c r="AA288" s="133">
        <f t="shared" si="154"/>
        <v>0</v>
      </c>
      <c r="AB288" s="133">
        <f t="shared" si="154"/>
        <v>0</v>
      </c>
      <c r="AC288" s="133">
        <f t="shared" si="154"/>
        <v>0</v>
      </c>
      <c r="AD288" s="133">
        <f t="shared" si="154"/>
        <v>0</v>
      </c>
      <c r="AE288" s="133">
        <f t="shared" si="154"/>
        <v>0</v>
      </c>
      <c r="AF288" s="133">
        <f t="shared" si="154"/>
        <v>0</v>
      </c>
      <c r="AG288" s="133">
        <f t="shared" si="154"/>
        <v>0</v>
      </c>
      <c r="AH288" s="133">
        <v>6329255</v>
      </c>
      <c r="AI288" s="133">
        <f t="shared" si="154"/>
        <v>82565244</v>
      </c>
      <c r="AJ288" s="133">
        <f t="shared" ref="AJ288" si="155">SUBTOTAL(9,AJ287)</f>
        <v>0</v>
      </c>
      <c r="AK288" s="796"/>
      <c r="AL288" s="796" t="s">
        <v>79</v>
      </c>
      <c r="AM288" s="796"/>
      <c r="AN288" s="799"/>
    </row>
    <row r="289" spans="1:42" s="18" customFormat="1" ht="25.5" hidden="1" customHeight="1" outlineLevel="1">
      <c r="A289" s="35"/>
      <c r="B289" s="35"/>
      <c r="C289" s="35"/>
      <c r="D289" s="35"/>
      <c r="E289" s="35"/>
      <c r="F289" s="36"/>
      <c r="G289" s="36"/>
      <c r="H289" s="37"/>
      <c r="I289" s="36"/>
      <c r="J289" s="36"/>
      <c r="K289" s="36"/>
      <c r="L289" s="35"/>
      <c r="M289" s="38"/>
      <c r="N289" s="39"/>
      <c r="O289" s="39"/>
      <c r="P289" s="39"/>
      <c r="Q289" s="46"/>
      <c r="R289" s="42"/>
      <c r="S289" s="47"/>
      <c r="T289" s="47"/>
      <c r="U289" s="47"/>
      <c r="V289" s="47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7"/>
      <c r="AJ289" s="47"/>
      <c r="AK289" s="796"/>
      <c r="AL289" s="796"/>
      <c r="AM289" s="796"/>
      <c r="AN289" s="799"/>
    </row>
    <row r="290" spans="1:42" s="18" customFormat="1" ht="25.5" hidden="1" customHeight="1" outlineLevel="1">
      <c r="A290" s="35"/>
      <c r="B290" s="35"/>
      <c r="C290" s="35"/>
      <c r="D290" s="35"/>
      <c r="E290" s="35"/>
      <c r="F290" s="36"/>
      <c r="G290" s="36"/>
      <c r="H290" s="37"/>
      <c r="I290" s="36"/>
      <c r="J290" s="36"/>
      <c r="K290" s="36"/>
      <c r="L290" s="35"/>
      <c r="M290" s="38"/>
      <c r="N290" s="39"/>
      <c r="O290" s="39"/>
      <c r="P290" s="39"/>
      <c r="Q290" s="17" t="s">
        <v>59</v>
      </c>
      <c r="R290" s="50"/>
      <c r="S290" s="51"/>
      <c r="T290" s="51"/>
      <c r="U290" s="52"/>
      <c r="V290" s="52"/>
      <c r="W290" s="52"/>
      <c r="X290" s="52"/>
      <c r="Y290" s="52"/>
      <c r="Z290" s="53"/>
      <c r="AA290" s="53"/>
      <c r="AB290" s="53"/>
      <c r="AC290" s="53"/>
      <c r="AD290" s="53"/>
      <c r="AE290" s="53"/>
      <c r="AF290" s="53"/>
      <c r="AG290" s="53"/>
      <c r="AH290" s="53"/>
      <c r="AI290" s="52"/>
      <c r="AJ290" s="52"/>
      <c r="AK290" s="796"/>
      <c r="AL290" s="796"/>
      <c r="AM290" s="796"/>
      <c r="AN290" s="799"/>
    </row>
    <row r="291" spans="1:42" s="18" customFormat="1" ht="25.5" customHeight="1" outlineLevel="1">
      <c r="A291" s="54"/>
      <c r="B291" s="801">
        <v>31</v>
      </c>
      <c r="C291" s="729"/>
      <c r="D291" s="54" t="s">
        <v>33</v>
      </c>
      <c r="E291" s="801" t="s">
        <v>60</v>
      </c>
      <c r="F291" s="729" t="s">
        <v>35</v>
      </c>
      <c r="G291" s="55" t="s">
        <v>49</v>
      </c>
      <c r="H291" s="56" t="s">
        <v>64</v>
      </c>
      <c r="I291" s="801" t="s">
        <v>173</v>
      </c>
      <c r="J291" s="801" t="s">
        <v>173</v>
      </c>
      <c r="K291" s="57">
        <v>14</v>
      </c>
      <c r="L291" s="54" t="s">
        <v>46</v>
      </c>
      <c r="M291" s="802" t="s">
        <v>56</v>
      </c>
      <c r="N291" s="803">
        <v>40005289</v>
      </c>
      <c r="O291" s="770" t="s">
        <v>754</v>
      </c>
      <c r="P291" s="56"/>
      <c r="Q291" s="802" t="s">
        <v>237</v>
      </c>
      <c r="R291" s="118"/>
      <c r="S291" s="804">
        <v>82400000</v>
      </c>
      <c r="T291" s="805">
        <v>0</v>
      </c>
      <c r="U291" s="805">
        <f>82400000-44240131</f>
        <v>38159869</v>
      </c>
      <c r="V291" s="805">
        <f t="shared" si="138"/>
        <v>0</v>
      </c>
      <c r="W291" s="119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28">
        <v>0</v>
      </c>
      <c r="AI291" s="805">
        <f t="shared" si="139"/>
        <v>38159869</v>
      </c>
      <c r="AJ291" s="805">
        <f>+S291-T291-V291-AI291</f>
        <v>44240131</v>
      </c>
      <c r="AK291" s="806" t="s">
        <v>43</v>
      </c>
      <c r="AL291" s="806" t="s">
        <v>759</v>
      </c>
      <c r="AM291" s="806" t="str">
        <f>HYPERLINK(CONCATENATE("DOCUMENTOS\ACTA-",N291,".PDF"))</f>
        <v>DOCUMENTOS\ACTA-40005289.PDF</v>
      </c>
      <c r="AN291" s="807"/>
      <c r="AO291" s="33" t="e">
        <f>VLOOKUP(N291,'CONVENIOS 2021'!A$1:A$53,1,FALSE)</f>
        <v>#N/A</v>
      </c>
      <c r="AP291" s="33" t="e">
        <f>VLOOKUP(N291,'CONVENIOS 2020'!A$2:A$72,1,FALSE)</f>
        <v>#N/A</v>
      </c>
    </row>
    <row r="292" spans="1:42" s="38" customFormat="1" ht="25.5" hidden="1" customHeight="1" outlineLevel="1">
      <c r="A292" s="35"/>
      <c r="B292" s="35"/>
      <c r="C292" s="35"/>
      <c r="D292" s="35"/>
      <c r="E292" s="35"/>
      <c r="F292" s="36"/>
      <c r="G292" s="36"/>
      <c r="H292" s="37"/>
      <c r="I292" s="36"/>
      <c r="J292" s="36"/>
      <c r="K292" s="36"/>
      <c r="L292" s="35"/>
      <c r="N292" s="39"/>
      <c r="O292" s="39"/>
      <c r="P292" s="39"/>
      <c r="Q292" s="139" t="s">
        <v>67</v>
      </c>
      <c r="R292" s="64"/>
      <c r="S292" s="140">
        <f t="shared" ref="S292:AJ292" si="156">SUBTOTAL(9,S291:S291)</f>
        <v>82400000</v>
      </c>
      <c r="T292" s="140">
        <f t="shared" ref="T292" si="157">SUBTOTAL(9,T291:T291)</f>
        <v>0</v>
      </c>
      <c r="U292" s="140">
        <f t="shared" si="156"/>
        <v>38159869</v>
      </c>
      <c r="V292" s="140">
        <f t="shared" si="156"/>
        <v>0</v>
      </c>
      <c r="W292" s="140">
        <f t="shared" si="156"/>
        <v>0</v>
      </c>
      <c r="X292" s="140">
        <f t="shared" si="156"/>
        <v>0</v>
      </c>
      <c r="Y292" s="140">
        <f t="shared" si="156"/>
        <v>0</v>
      </c>
      <c r="Z292" s="140">
        <f t="shared" si="156"/>
        <v>0</v>
      </c>
      <c r="AA292" s="140">
        <f t="shared" si="156"/>
        <v>0</v>
      </c>
      <c r="AB292" s="140">
        <f t="shared" si="156"/>
        <v>0</v>
      </c>
      <c r="AC292" s="140">
        <f t="shared" si="156"/>
        <v>0</v>
      </c>
      <c r="AD292" s="140">
        <f t="shared" si="156"/>
        <v>0</v>
      </c>
      <c r="AE292" s="140">
        <f t="shared" si="156"/>
        <v>0</v>
      </c>
      <c r="AF292" s="140">
        <f t="shared" si="156"/>
        <v>0</v>
      </c>
      <c r="AG292" s="140">
        <f t="shared" si="156"/>
        <v>0</v>
      </c>
      <c r="AH292" s="140">
        <v>0</v>
      </c>
      <c r="AI292" s="140">
        <f t="shared" si="156"/>
        <v>38159869</v>
      </c>
      <c r="AJ292" s="140">
        <f t="shared" si="156"/>
        <v>44240131</v>
      </c>
      <c r="AK292" s="796"/>
      <c r="AL292" s="796"/>
      <c r="AM292" s="796"/>
      <c r="AN292" s="799"/>
    </row>
    <row r="293" spans="1:42" s="38" customFormat="1" ht="25.5" hidden="1" customHeight="1" outlineLevel="1">
      <c r="A293" s="35"/>
      <c r="B293" s="35"/>
      <c r="C293" s="35"/>
      <c r="D293" s="35"/>
      <c r="E293" s="35"/>
      <c r="F293" s="36"/>
      <c r="G293" s="36"/>
      <c r="H293" s="37"/>
      <c r="I293" s="36"/>
      <c r="J293" s="36"/>
      <c r="K293" s="36"/>
      <c r="L293" s="35"/>
      <c r="N293" s="39"/>
      <c r="O293" s="39"/>
      <c r="P293" s="39"/>
      <c r="Q293" s="161"/>
      <c r="R293" s="42"/>
      <c r="S293" s="162"/>
      <c r="T293" s="162"/>
      <c r="U293" s="162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162"/>
      <c r="AJ293" s="162"/>
      <c r="AK293" s="796"/>
      <c r="AL293" s="796"/>
      <c r="AM293" s="796"/>
      <c r="AN293" s="799"/>
    </row>
    <row r="294" spans="1:42" s="38" customFormat="1" ht="25.5" hidden="1" customHeight="1" outlineLevel="1">
      <c r="A294" s="35"/>
      <c r="B294" s="35"/>
      <c r="C294" s="35"/>
      <c r="D294" s="35"/>
      <c r="E294" s="35"/>
      <c r="F294" s="36"/>
      <c r="G294" s="36"/>
      <c r="H294" s="37"/>
      <c r="I294" s="36"/>
      <c r="J294" s="36"/>
      <c r="K294" s="36"/>
      <c r="L294" s="35"/>
      <c r="N294" s="39"/>
      <c r="O294" s="39"/>
      <c r="P294" s="39"/>
      <c r="Q294" s="17" t="s">
        <v>68</v>
      </c>
      <c r="R294" s="42"/>
      <c r="S294" s="162"/>
      <c r="T294" s="162"/>
      <c r="U294" s="162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162"/>
      <c r="AJ294" s="162"/>
      <c r="AK294" s="796"/>
      <c r="AL294" s="796"/>
      <c r="AM294" s="796"/>
      <c r="AN294" s="799"/>
    </row>
    <row r="295" spans="1:42" ht="24.75" hidden="1" customHeight="1" outlineLevel="1">
      <c r="A295" s="66"/>
      <c r="B295" s="66">
        <v>29</v>
      </c>
      <c r="C295" s="66"/>
      <c r="D295" s="102" t="s">
        <v>92</v>
      </c>
      <c r="E295" s="66" t="s">
        <v>69</v>
      </c>
      <c r="F295" s="66"/>
      <c r="G295" s="67"/>
      <c r="H295" s="68" t="s">
        <v>45</v>
      </c>
      <c r="I295" s="66" t="s">
        <v>173</v>
      </c>
      <c r="J295" s="66" t="s">
        <v>173</v>
      </c>
      <c r="K295" s="69">
        <v>14</v>
      </c>
      <c r="L295" s="66" t="s">
        <v>46</v>
      </c>
      <c r="M295" s="70" t="s">
        <v>40</v>
      </c>
      <c r="N295" s="68">
        <v>40016314</v>
      </c>
      <c r="O295" s="68" t="s">
        <v>753</v>
      </c>
      <c r="P295" s="68"/>
      <c r="Q295" s="70" t="s">
        <v>238</v>
      </c>
      <c r="R295" s="77"/>
      <c r="S295" s="71">
        <v>1446450000</v>
      </c>
      <c r="T295" s="72">
        <v>0</v>
      </c>
      <c r="U295" s="72">
        <v>700000000</v>
      </c>
      <c r="V295" s="296">
        <f t="shared" si="138"/>
        <v>0</v>
      </c>
      <c r="W295" s="79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28">
        <v>0</v>
      </c>
      <c r="AI295" s="72">
        <f t="shared" si="139"/>
        <v>700000000</v>
      </c>
      <c r="AJ295" s="72">
        <f>+S295-T295-V295-AI295</f>
        <v>746450000</v>
      </c>
      <c r="AK295" s="796" t="s">
        <v>48</v>
      </c>
      <c r="AL295" s="796"/>
      <c r="AM295" s="796"/>
      <c r="AN295" s="799"/>
    </row>
    <row r="296" spans="1:42" s="18" customFormat="1" ht="25.5" hidden="1" customHeight="1" outlineLevel="1">
      <c r="A296" s="66"/>
      <c r="B296" s="66">
        <v>33</v>
      </c>
      <c r="C296" s="66"/>
      <c r="D296" s="66" t="s">
        <v>76</v>
      </c>
      <c r="E296" s="66" t="s">
        <v>69</v>
      </c>
      <c r="F296" s="66" t="s">
        <v>35</v>
      </c>
      <c r="G296" s="67" t="s">
        <v>49</v>
      </c>
      <c r="H296" s="68" t="s">
        <v>61</v>
      </c>
      <c r="I296" s="66" t="s">
        <v>173</v>
      </c>
      <c r="J296" s="66" t="s">
        <v>173</v>
      </c>
      <c r="K296" s="69">
        <v>14</v>
      </c>
      <c r="L296" s="66" t="s">
        <v>76</v>
      </c>
      <c r="M296" s="70" t="s">
        <v>40</v>
      </c>
      <c r="N296" s="68" t="s">
        <v>76</v>
      </c>
      <c r="O296" s="68"/>
      <c r="P296" s="68"/>
      <c r="Q296" s="70" t="s">
        <v>77</v>
      </c>
      <c r="R296" s="24"/>
      <c r="S296" s="71">
        <v>200000000</v>
      </c>
      <c r="T296" s="72">
        <v>0</v>
      </c>
      <c r="U296" s="72">
        <v>200000000</v>
      </c>
      <c r="V296" s="296">
        <f t="shared" si="138"/>
        <v>0</v>
      </c>
      <c r="W296" s="29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72"/>
      <c r="AI296" s="72">
        <f t="shared" si="139"/>
        <v>200000000</v>
      </c>
      <c r="AJ296" s="72">
        <f>+S296-T296-V296-AI296</f>
        <v>0</v>
      </c>
      <c r="AK296" s="796" t="s">
        <v>78</v>
      </c>
      <c r="AL296" s="796"/>
      <c r="AM296" s="796"/>
      <c r="AN296" s="799"/>
    </row>
    <row r="297" spans="1:42" ht="18.75" hidden="1" customHeight="1" outlineLevel="1">
      <c r="A297" s="7"/>
      <c r="B297" s="7"/>
      <c r="C297" s="7"/>
      <c r="D297" s="7"/>
      <c r="E297" s="7"/>
      <c r="F297" s="7"/>
      <c r="G297" s="7"/>
      <c r="H297" s="163"/>
      <c r="I297" s="7"/>
      <c r="J297" s="7"/>
      <c r="K297" s="7"/>
      <c r="L297" s="7"/>
      <c r="M297" s="34"/>
      <c r="N297" s="163"/>
      <c r="O297" s="39"/>
      <c r="P297" s="39"/>
      <c r="Q297" s="134" t="s">
        <v>80</v>
      </c>
      <c r="R297" s="164"/>
      <c r="S297" s="110">
        <f t="shared" ref="S297:U297" si="158">SUBTOTAL(9,S295:S296)</f>
        <v>0</v>
      </c>
      <c r="T297" s="110">
        <f t="shared" ref="T297" si="159">SUBTOTAL(9,T295:T296)</f>
        <v>0</v>
      </c>
      <c r="U297" s="110">
        <f t="shared" si="158"/>
        <v>0</v>
      </c>
      <c r="V297" s="110">
        <f t="shared" ref="V297:AJ297" si="160">SUBTOTAL(9,V295:V296)</f>
        <v>0</v>
      </c>
      <c r="W297" s="110">
        <f t="shared" si="160"/>
        <v>0</v>
      </c>
      <c r="X297" s="110">
        <f t="shared" si="160"/>
        <v>0</v>
      </c>
      <c r="Y297" s="110">
        <f t="shared" si="160"/>
        <v>0</v>
      </c>
      <c r="Z297" s="110">
        <f t="shared" si="160"/>
        <v>0</v>
      </c>
      <c r="AA297" s="110">
        <f t="shared" si="160"/>
        <v>0</v>
      </c>
      <c r="AB297" s="110">
        <f t="shared" si="160"/>
        <v>0</v>
      </c>
      <c r="AC297" s="110">
        <f t="shared" si="160"/>
        <v>0</v>
      </c>
      <c r="AD297" s="110">
        <f t="shared" si="160"/>
        <v>0</v>
      </c>
      <c r="AE297" s="110">
        <f t="shared" si="160"/>
        <v>0</v>
      </c>
      <c r="AF297" s="110">
        <f t="shared" si="160"/>
        <v>0</v>
      </c>
      <c r="AG297" s="110">
        <f t="shared" si="160"/>
        <v>0</v>
      </c>
      <c r="AH297" s="110">
        <v>0</v>
      </c>
      <c r="AI297" s="110">
        <f t="shared" si="160"/>
        <v>0</v>
      </c>
      <c r="AJ297" s="110">
        <f t="shared" si="160"/>
        <v>0</v>
      </c>
      <c r="AK297" s="796"/>
      <c r="AL297" s="796"/>
      <c r="AM297" s="796"/>
      <c r="AN297" s="799"/>
    </row>
    <row r="298" spans="1:42" s="90" customFormat="1" ht="24.75" hidden="1" customHeight="1" outlineLevel="1">
      <c r="A298" s="35"/>
      <c r="B298" s="35"/>
      <c r="C298" s="35"/>
      <c r="D298" s="35"/>
      <c r="E298" s="35"/>
      <c r="F298" s="36"/>
      <c r="G298" s="36"/>
      <c r="H298" s="37"/>
      <c r="I298" s="36"/>
      <c r="J298" s="36"/>
      <c r="K298" s="36"/>
      <c r="L298" s="35"/>
      <c r="M298" s="38"/>
      <c r="N298" s="39"/>
      <c r="O298" s="39"/>
      <c r="P298" s="39"/>
      <c r="Q298" s="46"/>
      <c r="R298" s="42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796"/>
      <c r="AL298" s="796"/>
      <c r="AM298" s="796"/>
      <c r="AN298" s="799"/>
    </row>
    <row r="299" spans="1:42" s="84" customFormat="1" ht="24.75" hidden="1" customHeight="1" outlineLevel="1">
      <c r="A299" s="36"/>
      <c r="B299" s="82"/>
      <c r="C299" s="82"/>
      <c r="D299" s="36"/>
      <c r="E299" s="36"/>
      <c r="F299" s="36"/>
      <c r="G299" s="36"/>
      <c r="H299" s="37"/>
      <c r="I299" s="36"/>
      <c r="J299" s="36"/>
      <c r="K299" s="36"/>
      <c r="L299" s="82"/>
      <c r="N299" s="83"/>
      <c r="O299" s="39"/>
      <c r="P299" s="39"/>
      <c r="Q299" s="85" t="s">
        <v>239</v>
      </c>
      <c r="R299" s="111"/>
      <c r="S299" s="88">
        <f t="shared" ref="S299:U299" si="161">S292+S288+S297</f>
        <v>4000110768</v>
      </c>
      <c r="T299" s="88">
        <f t="shared" ref="T299" si="162">T292+T288+T297</f>
        <v>3828816269</v>
      </c>
      <c r="U299" s="88">
        <f t="shared" si="161"/>
        <v>127054368</v>
      </c>
      <c r="V299" s="88">
        <f t="shared" ref="V299:AJ299" si="163">V292+V288+V297</f>
        <v>6329255</v>
      </c>
      <c r="W299" s="88">
        <f t="shared" si="163"/>
        <v>0</v>
      </c>
      <c r="X299" s="88">
        <f t="shared" si="163"/>
        <v>0</v>
      </c>
      <c r="Y299" s="88">
        <f t="shared" si="163"/>
        <v>0</v>
      </c>
      <c r="Z299" s="88">
        <f t="shared" si="163"/>
        <v>0</v>
      </c>
      <c r="AA299" s="88">
        <f t="shared" si="163"/>
        <v>0</v>
      </c>
      <c r="AB299" s="88">
        <f t="shared" si="163"/>
        <v>0</v>
      </c>
      <c r="AC299" s="88">
        <f t="shared" si="163"/>
        <v>0</v>
      </c>
      <c r="AD299" s="88">
        <f t="shared" si="163"/>
        <v>0</v>
      </c>
      <c r="AE299" s="88">
        <f t="shared" si="163"/>
        <v>0</v>
      </c>
      <c r="AF299" s="88">
        <f t="shared" si="163"/>
        <v>0</v>
      </c>
      <c r="AG299" s="88">
        <f t="shared" si="163"/>
        <v>0</v>
      </c>
      <c r="AH299" s="88">
        <v>6329255</v>
      </c>
      <c r="AI299" s="88">
        <f t="shared" si="163"/>
        <v>120725113</v>
      </c>
      <c r="AJ299" s="88">
        <f t="shared" si="163"/>
        <v>44240131</v>
      </c>
      <c r="AK299" s="796"/>
      <c r="AL299" s="796"/>
      <c r="AM299" s="796"/>
      <c r="AN299" s="799"/>
    </row>
    <row r="300" spans="1:42" s="84" customFormat="1" ht="24.75" hidden="1" customHeight="1" outlineLevel="1">
      <c r="A300" s="36"/>
      <c r="B300" s="82"/>
      <c r="C300" s="82"/>
      <c r="D300" s="36"/>
      <c r="E300" s="36"/>
      <c r="F300" s="36"/>
      <c r="G300" s="36"/>
      <c r="H300" s="37"/>
      <c r="I300" s="36"/>
      <c r="J300" s="36"/>
      <c r="K300" s="36"/>
      <c r="L300" s="82"/>
      <c r="N300" s="83"/>
      <c r="O300" s="39"/>
      <c r="P300" s="39"/>
      <c r="Q300" s="91"/>
      <c r="R300" s="87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796"/>
      <c r="AL300" s="796"/>
      <c r="AM300" s="796"/>
      <c r="AN300" s="799"/>
    </row>
    <row r="301" spans="1:42" s="18" customFormat="1" ht="25.5" hidden="1" customHeight="1" outlineLevel="1">
      <c r="A301" s="36"/>
      <c r="B301" s="36"/>
      <c r="C301" s="36"/>
      <c r="D301" s="36"/>
      <c r="E301" s="36"/>
      <c r="F301" s="36"/>
      <c r="G301" s="36"/>
      <c r="H301" s="37"/>
      <c r="I301" s="36"/>
      <c r="J301" s="36"/>
      <c r="K301" s="36"/>
      <c r="L301" s="36"/>
      <c r="M301" s="95"/>
      <c r="N301" s="37"/>
      <c r="O301" s="39"/>
      <c r="P301" s="39"/>
      <c r="Q301" s="96" t="s">
        <v>240</v>
      </c>
      <c r="R301" s="50"/>
      <c r="S301" s="97"/>
      <c r="T301" s="97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796"/>
      <c r="AL301" s="796"/>
      <c r="AM301" s="796"/>
      <c r="AN301" s="799"/>
    </row>
    <row r="302" spans="1:42" s="33" customFormat="1" ht="25.5" hidden="1" customHeight="1" outlineLevel="2">
      <c r="A302" s="35"/>
      <c r="B302" s="35"/>
      <c r="C302" s="35"/>
      <c r="D302" s="35"/>
      <c r="E302" s="35"/>
      <c r="F302" s="36"/>
      <c r="G302" s="36"/>
      <c r="H302" s="37"/>
      <c r="I302" s="36"/>
      <c r="J302" s="36"/>
      <c r="K302" s="36"/>
      <c r="L302" s="35"/>
      <c r="M302" s="38"/>
      <c r="N302" s="39"/>
      <c r="O302" s="39"/>
      <c r="P302" s="39"/>
      <c r="Q302" s="17" t="s">
        <v>32</v>
      </c>
      <c r="R302" s="50"/>
      <c r="S302" s="51"/>
      <c r="T302" s="51"/>
      <c r="U302" s="52"/>
      <c r="V302" s="52"/>
      <c r="W302" s="52"/>
      <c r="X302" s="52"/>
      <c r="Y302" s="52"/>
      <c r="Z302" s="53"/>
      <c r="AA302" s="53"/>
      <c r="AB302" s="53"/>
      <c r="AC302" s="53"/>
      <c r="AD302" s="53"/>
      <c r="AE302" s="53"/>
      <c r="AF302" s="53"/>
      <c r="AG302" s="53"/>
      <c r="AH302" s="53"/>
      <c r="AI302" s="52"/>
      <c r="AJ302" s="52"/>
      <c r="AK302" s="796"/>
      <c r="AL302" s="796"/>
      <c r="AM302" s="796"/>
      <c r="AN302" s="799"/>
    </row>
    <row r="303" spans="1:42" s="33" customFormat="1" ht="25.5" hidden="1" customHeight="1" outlineLevel="2">
      <c r="A303" s="19"/>
      <c r="B303" s="19">
        <v>31</v>
      </c>
      <c r="C303" s="19"/>
      <c r="D303" s="19" t="s">
        <v>33</v>
      </c>
      <c r="E303" s="19" t="s">
        <v>34</v>
      </c>
      <c r="F303" s="19" t="s">
        <v>84</v>
      </c>
      <c r="G303" s="20" t="s">
        <v>158</v>
      </c>
      <c r="H303" s="21" t="s">
        <v>72</v>
      </c>
      <c r="I303" s="19" t="s">
        <v>173</v>
      </c>
      <c r="J303" s="19" t="s">
        <v>241</v>
      </c>
      <c r="K303" s="22">
        <v>15</v>
      </c>
      <c r="L303" s="19" t="s">
        <v>46</v>
      </c>
      <c r="M303" s="21" t="s">
        <v>56</v>
      </c>
      <c r="N303" s="21">
        <v>30361529</v>
      </c>
      <c r="O303" s="21" t="s">
        <v>754</v>
      </c>
      <c r="P303" s="21"/>
      <c r="Q303" s="23" t="s">
        <v>242</v>
      </c>
      <c r="R303" s="24"/>
      <c r="S303" s="26">
        <v>27260000</v>
      </c>
      <c r="T303" s="30">
        <v>12963000</v>
      </c>
      <c r="U303" s="30">
        <v>14297000</v>
      </c>
      <c r="V303" s="285">
        <f t="shared" si="138"/>
        <v>0</v>
      </c>
      <c r="W303" s="29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>
        <v>0</v>
      </c>
      <c r="AI303" s="30">
        <f t="shared" si="139"/>
        <v>14297000</v>
      </c>
      <c r="AJ303" s="30">
        <f t="shared" ref="AJ303:AJ308" si="164">+S303-T303-V303-AI303</f>
        <v>0</v>
      </c>
      <c r="AK303" s="796" t="s">
        <v>43</v>
      </c>
      <c r="AL303" s="796" t="s">
        <v>44</v>
      </c>
      <c r="AM303" s="796"/>
      <c r="AN303" s="799"/>
    </row>
    <row r="304" spans="1:42" s="33" customFormat="1" ht="25.5" hidden="1" customHeight="1" outlineLevel="2">
      <c r="A304" s="19"/>
      <c r="B304" s="19">
        <v>31</v>
      </c>
      <c r="C304" s="19"/>
      <c r="D304" s="19" t="s">
        <v>33</v>
      </c>
      <c r="E304" s="19" t="s">
        <v>34</v>
      </c>
      <c r="F304" s="19" t="s">
        <v>84</v>
      </c>
      <c r="G304" s="20" t="s">
        <v>158</v>
      </c>
      <c r="H304" s="21" t="s">
        <v>72</v>
      </c>
      <c r="I304" s="19" t="s">
        <v>173</v>
      </c>
      <c r="J304" s="19" t="s">
        <v>241</v>
      </c>
      <c r="K304" s="22">
        <v>15</v>
      </c>
      <c r="L304" s="19" t="s">
        <v>46</v>
      </c>
      <c r="M304" s="23" t="s">
        <v>56</v>
      </c>
      <c r="N304" s="21">
        <v>30465403</v>
      </c>
      <c r="O304" s="21" t="s">
        <v>754</v>
      </c>
      <c r="P304" s="21"/>
      <c r="Q304" s="23" t="s">
        <v>243</v>
      </c>
      <c r="R304" s="24"/>
      <c r="S304" s="26">
        <v>27413000</v>
      </c>
      <c r="T304" s="30">
        <v>10036840</v>
      </c>
      <c r="U304" s="30">
        <v>4820900</v>
      </c>
      <c r="V304" s="285">
        <f t="shared" si="138"/>
        <v>0</v>
      </c>
      <c r="W304" s="29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>
        <v>0</v>
      </c>
      <c r="AI304" s="30">
        <f t="shared" si="139"/>
        <v>4820900</v>
      </c>
      <c r="AJ304" s="30">
        <f t="shared" si="164"/>
        <v>12555260</v>
      </c>
      <c r="AK304" s="796" t="s">
        <v>43</v>
      </c>
      <c r="AL304" s="796" t="s">
        <v>44</v>
      </c>
      <c r="AM304" s="796"/>
      <c r="AN304" s="799"/>
    </row>
    <row r="305" spans="1:42" s="33" customFormat="1" ht="25.5" hidden="1" customHeight="1" outlineLevel="2">
      <c r="A305" s="19"/>
      <c r="B305" s="19">
        <v>31</v>
      </c>
      <c r="C305" s="19"/>
      <c r="D305" s="19" t="s">
        <v>33</v>
      </c>
      <c r="E305" s="19" t="s">
        <v>34</v>
      </c>
      <c r="F305" s="19" t="s">
        <v>84</v>
      </c>
      <c r="G305" s="20" t="s">
        <v>158</v>
      </c>
      <c r="H305" s="21" t="s">
        <v>72</v>
      </c>
      <c r="I305" s="19" t="s">
        <v>173</v>
      </c>
      <c r="J305" s="19" t="s">
        <v>241</v>
      </c>
      <c r="K305" s="22">
        <v>15</v>
      </c>
      <c r="L305" s="19" t="s">
        <v>244</v>
      </c>
      <c r="M305" s="23" t="s">
        <v>40</v>
      </c>
      <c r="N305" s="21">
        <v>30289475</v>
      </c>
      <c r="O305" s="21" t="s">
        <v>684</v>
      </c>
      <c r="P305" s="21"/>
      <c r="Q305" s="23" t="s">
        <v>245</v>
      </c>
      <c r="R305" s="24"/>
      <c r="S305" s="26">
        <v>1114527000</v>
      </c>
      <c r="T305" s="30">
        <v>262693000</v>
      </c>
      <c r="U305" s="30">
        <v>217176211</v>
      </c>
      <c r="V305" s="285">
        <f t="shared" si="138"/>
        <v>9360000</v>
      </c>
      <c r="W305" s="29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>
        <v>9360000</v>
      </c>
      <c r="AI305" s="30">
        <f t="shared" si="139"/>
        <v>207816211</v>
      </c>
      <c r="AJ305" s="30">
        <f t="shared" si="164"/>
        <v>634657789</v>
      </c>
      <c r="AK305" s="796" t="s">
        <v>115</v>
      </c>
      <c r="AL305" s="796" t="s">
        <v>44</v>
      </c>
      <c r="AM305" s="796"/>
      <c r="AN305" s="799"/>
    </row>
    <row r="306" spans="1:42" s="33" customFormat="1" ht="25.5" hidden="1" customHeight="1" outlineLevel="2">
      <c r="A306" s="19"/>
      <c r="B306" s="19">
        <v>31</v>
      </c>
      <c r="C306" s="19"/>
      <c r="D306" s="19" t="s">
        <v>33</v>
      </c>
      <c r="E306" s="19" t="s">
        <v>34</v>
      </c>
      <c r="F306" s="19" t="s">
        <v>35</v>
      </c>
      <c r="G306" s="20" t="s">
        <v>49</v>
      </c>
      <c r="H306" s="21" t="s">
        <v>64</v>
      </c>
      <c r="I306" s="19" t="s">
        <v>173</v>
      </c>
      <c r="J306" s="19" t="s">
        <v>241</v>
      </c>
      <c r="K306" s="22">
        <v>15</v>
      </c>
      <c r="L306" s="19" t="s">
        <v>46</v>
      </c>
      <c r="M306" s="23" t="s">
        <v>40</v>
      </c>
      <c r="N306" s="21">
        <v>40009545</v>
      </c>
      <c r="O306" s="21" t="s">
        <v>754</v>
      </c>
      <c r="P306" s="21"/>
      <c r="Q306" s="23" t="s">
        <v>246</v>
      </c>
      <c r="R306" s="24"/>
      <c r="S306" s="26">
        <v>526563000</v>
      </c>
      <c r="T306" s="30">
        <v>525729390</v>
      </c>
      <c r="U306" s="30">
        <f>93490785-92657175</f>
        <v>833610</v>
      </c>
      <c r="V306" s="285">
        <f t="shared" si="138"/>
        <v>0</v>
      </c>
      <c r="W306" s="29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>
        <v>0</v>
      </c>
      <c r="AI306" s="30">
        <f t="shared" si="139"/>
        <v>833610</v>
      </c>
      <c r="AJ306" s="30">
        <f t="shared" si="164"/>
        <v>0</v>
      </c>
      <c r="AK306" s="796" t="s">
        <v>48</v>
      </c>
      <c r="AL306" s="796" t="s">
        <v>44</v>
      </c>
      <c r="AM306" s="796"/>
      <c r="AN306" s="799"/>
    </row>
    <row r="307" spans="1:42" s="33" customFormat="1" ht="25.5" hidden="1" customHeight="1" outlineLevel="2">
      <c r="A307" s="19"/>
      <c r="B307" s="19">
        <v>31</v>
      </c>
      <c r="C307" s="19"/>
      <c r="D307" s="19" t="s">
        <v>33</v>
      </c>
      <c r="E307" s="19" t="s">
        <v>34</v>
      </c>
      <c r="F307" s="19" t="s">
        <v>84</v>
      </c>
      <c r="G307" s="20" t="s">
        <v>158</v>
      </c>
      <c r="H307" s="21" t="s">
        <v>72</v>
      </c>
      <c r="I307" s="19" t="s">
        <v>173</v>
      </c>
      <c r="J307" s="19" t="s">
        <v>241</v>
      </c>
      <c r="K307" s="22">
        <v>15</v>
      </c>
      <c r="L307" s="19" t="s">
        <v>205</v>
      </c>
      <c r="M307" s="23" t="s">
        <v>40</v>
      </c>
      <c r="N307" s="21">
        <v>30422722</v>
      </c>
      <c r="O307" s="21" t="s">
        <v>754</v>
      </c>
      <c r="P307" s="21"/>
      <c r="Q307" s="23" t="s">
        <v>247</v>
      </c>
      <c r="R307" s="24"/>
      <c r="S307" s="26">
        <v>653685000</v>
      </c>
      <c r="T307" s="30">
        <v>150000000</v>
      </c>
      <c r="U307" s="30">
        <v>300929004</v>
      </c>
      <c r="V307" s="285">
        <f t="shared" si="138"/>
        <v>0</v>
      </c>
      <c r="W307" s="29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>
        <v>0</v>
      </c>
      <c r="AI307" s="30">
        <f t="shared" si="139"/>
        <v>300929004</v>
      </c>
      <c r="AJ307" s="30">
        <f t="shared" si="164"/>
        <v>202755996</v>
      </c>
      <c r="AK307" s="796" t="s">
        <v>43</v>
      </c>
      <c r="AL307" s="796" t="s">
        <v>44</v>
      </c>
      <c r="AM307" s="796"/>
      <c r="AN307" s="799"/>
    </row>
    <row r="308" spans="1:42" s="33" customFormat="1" ht="25.5" hidden="1" customHeight="1" outlineLevel="2">
      <c r="A308" s="19"/>
      <c r="B308" s="19">
        <v>31</v>
      </c>
      <c r="C308" s="19"/>
      <c r="D308" s="19" t="s">
        <v>33</v>
      </c>
      <c r="E308" s="19" t="s">
        <v>34</v>
      </c>
      <c r="F308" s="19" t="s">
        <v>84</v>
      </c>
      <c r="G308" s="20" t="s">
        <v>49</v>
      </c>
      <c r="H308" s="21" t="s">
        <v>61</v>
      </c>
      <c r="I308" s="19" t="s">
        <v>173</v>
      </c>
      <c r="J308" s="19" t="s">
        <v>241</v>
      </c>
      <c r="K308" s="22">
        <v>15</v>
      </c>
      <c r="L308" s="19" t="s">
        <v>46</v>
      </c>
      <c r="M308" s="23" t="s">
        <v>40</v>
      </c>
      <c r="N308" s="21">
        <v>30103323</v>
      </c>
      <c r="O308" s="21" t="s">
        <v>754</v>
      </c>
      <c r="P308" s="21"/>
      <c r="Q308" s="23" t="s">
        <v>248</v>
      </c>
      <c r="R308" s="24"/>
      <c r="S308" s="26">
        <v>207019010</v>
      </c>
      <c r="T308" s="30">
        <v>99601553</v>
      </c>
      <c r="U308" s="30">
        <v>24025103</v>
      </c>
      <c r="V308" s="285">
        <f t="shared" si="138"/>
        <v>0</v>
      </c>
      <c r="W308" s="29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>
        <v>0</v>
      </c>
      <c r="AI308" s="30">
        <f t="shared" si="139"/>
        <v>24025103</v>
      </c>
      <c r="AJ308" s="30">
        <f t="shared" si="164"/>
        <v>83392354</v>
      </c>
      <c r="AK308" s="796" t="s">
        <v>43</v>
      </c>
      <c r="AL308" s="796" t="s">
        <v>83</v>
      </c>
      <c r="AM308" s="796"/>
      <c r="AN308" s="799"/>
    </row>
    <row r="309" spans="1:42" s="38" customFormat="1" ht="25.5" hidden="1" customHeight="1" outlineLevel="1">
      <c r="A309" s="35"/>
      <c r="B309" s="35"/>
      <c r="C309" s="35"/>
      <c r="D309" s="35"/>
      <c r="E309" s="35"/>
      <c r="F309" s="36"/>
      <c r="G309" s="36"/>
      <c r="H309" s="37"/>
      <c r="I309" s="36"/>
      <c r="J309" s="36"/>
      <c r="K309" s="36"/>
      <c r="L309" s="35"/>
      <c r="N309" s="39"/>
      <c r="O309" s="39"/>
      <c r="P309" s="39"/>
      <c r="Q309" s="132" t="s">
        <v>58</v>
      </c>
      <c r="R309" s="41"/>
      <c r="S309" s="133">
        <f t="shared" ref="S309:AJ309" si="165">SUBTOTAL(9,S303:S308)</f>
        <v>0</v>
      </c>
      <c r="T309" s="133">
        <f t="shared" ref="T309" si="166">SUBTOTAL(9,T303:T308)</f>
        <v>0</v>
      </c>
      <c r="U309" s="133">
        <f t="shared" si="165"/>
        <v>0</v>
      </c>
      <c r="V309" s="133">
        <f t="shared" si="165"/>
        <v>0</v>
      </c>
      <c r="W309" s="133">
        <f t="shared" si="165"/>
        <v>0</v>
      </c>
      <c r="X309" s="133">
        <f t="shared" si="165"/>
        <v>0</v>
      </c>
      <c r="Y309" s="133">
        <f t="shared" si="165"/>
        <v>0</v>
      </c>
      <c r="Z309" s="133">
        <f t="shared" si="165"/>
        <v>0</v>
      </c>
      <c r="AA309" s="133">
        <f t="shared" si="165"/>
        <v>0</v>
      </c>
      <c r="AB309" s="133">
        <f t="shared" si="165"/>
        <v>0</v>
      </c>
      <c r="AC309" s="133">
        <f t="shared" si="165"/>
        <v>0</v>
      </c>
      <c r="AD309" s="133">
        <f t="shared" si="165"/>
        <v>0</v>
      </c>
      <c r="AE309" s="133">
        <f t="shared" si="165"/>
        <v>0</v>
      </c>
      <c r="AF309" s="133">
        <f t="shared" si="165"/>
        <v>0</v>
      </c>
      <c r="AG309" s="133">
        <f t="shared" si="165"/>
        <v>0</v>
      </c>
      <c r="AH309" s="133">
        <v>9360000</v>
      </c>
      <c r="AI309" s="133">
        <f t="shared" si="165"/>
        <v>0</v>
      </c>
      <c r="AJ309" s="133">
        <f t="shared" si="165"/>
        <v>0</v>
      </c>
      <c r="AK309" s="796"/>
      <c r="AL309" s="796" t="s">
        <v>90</v>
      </c>
      <c r="AM309" s="796"/>
      <c r="AN309" s="799"/>
    </row>
    <row r="310" spans="1:42" s="18" customFormat="1" ht="25.5" hidden="1" customHeight="1" outlineLevel="1">
      <c r="A310" s="35"/>
      <c r="B310" s="35"/>
      <c r="C310" s="35"/>
      <c r="D310" s="35"/>
      <c r="E310" s="35"/>
      <c r="F310" s="36"/>
      <c r="G310" s="36"/>
      <c r="H310" s="37"/>
      <c r="I310" s="36"/>
      <c r="J310" s="36"/>
      <c r="K310" s="36"/>
      <c r="L310" s="35"/>
      <c r="M310" s="38"/>
      <c r="N310" s="39"/>
      <c r="O310" s="39"/>
      <c r="P310" s="39"/>
      <c r="Q310" s="46"/>
      <c r="R310" s="42"/>
      <c r="S310" s="47"/>
      <c r="T310" s="47"/>
      <c r="U310" s="47"/>
      <c r="V310" s="47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7"/>
      <c r="AJ310" s="47"/>
      <c r="AK310" s="796"/>
      <c r="AL310" s="796"/>
      <c r="AM310" s="796"/>
      <c r="AN310" s="799"/>
    </row>
    <row r="311" spans="1:42" s="18" customFormat="1" ht="25.5" hidden="1" customHeight="1" outlineLevel="1">
      <c r="A311" s="35"/>
      <c r="B311" s="35"/>
      <c r="C311" s="35"/>
      <c r="D311" s="35"/>
      <c r="E311" s="35"/>
      <c r="F311" s="36"/>
      <c r="G311" s="36"/>
      <c r="H311" s="37"/>
      <c r="I311" s="36"/>
      <c r="J311" s="36"/>
      <c r="K311" s="36"/>
      <c r="L311" s="35"/>
      <c r="M311" s="38"/>
      <c r="N311" s="39"/>
      <c r="O311" s="39"/>
      <c r="P311" s="39"/>
      <c r="Q311" s="17" t="s">
        <v>59</v>
      </c>
      <c r="R311" s="50"/>
      <c r="S311" s="51"/>
      <c r="T311" s="51"/>
      <c r="U311" s="52"/>
      <c r="V311" s="52"/>
      <c r="W311" s="52"/>
      <c r="X311" s="52"/>
      <c r="Y311" s="52"/>
      <c r="Z311" s="53"/>
      <c r="AA311" s="53"/>
      <c r="AB311" s="53"/>
      <c r="AC311" s="53"/>
      <c r="AD311" s="53"/>
      <c r="AE311" s="53"/>
      <c r="AF311" s="53"/>
      <c r="AG311" s="53"/>
      <c r="AH311" s="53"/>
      <c r="AI311" s="52"/>
      <c r="AJ311" s="52"/>
      <c r="AK311" s="796"/>
      <c r="AL311" s="796"/>
      <c r="AM311" s="796"/>
      <c r="AN311" s="799"/>
    </row>
    <row r="312" spans="1:42" s="18" customFormat="1" ht="25.5" hidden="1" customHeight="1" outlineLevel="1">
      <c r="A312" s="54"/>
      <c r="B312" s="54">
        <v>31</v>
      </c>
      <c r="C312" s="54"/>
      <c r="D312" s="54" t="s">
        <v>33</v>
      </c>
      <c r="E312" s="54" t="s">
        <v>60</v>
      </c>
      <c r="F312" s="54" t="s">
        <v>35</v>
      </c>
      <c r="G312" s="55" t="s">
        <v>36</v>
      </c>
      <c r="H312" s="56" t="s">
        <v>64</v>
      </c>
      <c r="I312" s="54" t="s">
        <v>173</v>
      </c>
      <c r="J312" s="54" t="s">
        <v>241</v>
      </c>
      <c r="K312" s="57">
        <v>15</v>
      </c>
      <c r="L312" s="54" t="s">
        <v>46</v>
      </c>
      <c r="M312" s="58" t="s">
        <v>56</v>
      </c>
      <c r="N312" s="56">
        <v>30463128</v>
      </c>
      <c r="O312" s="56" t="s">
        <v>754</v>
      </c>
      <c r="P312" s="56"/>
      <c r="Q312" s="58" t="s">
        <v>250</v>
      </c>
      <c r="R312" s="24"/>
      <c r="S312" s="59">
        <v>40580000</v>
      </c>
      <c r="T312" s="60">
        <v>24899112</v>
      </c>
      <c r="U312" s="60">
        <f>20000000-4319112</f>
        <v>15680888</v>
      </c>
      <c r="V312" s="292">
        <f t="shared" si="138"/>
        <v>0</v>
      </c>
      <c r="W312" s="29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>
        <v>0</v>
      </c>
      <c r="AI312" s="60">
        <f t="shared" si="139"/>
        <v>15680888</v>
      </c>
      <c r="AJ312" s="60">
        <f>+S312-T312-V312-AI312</f>
        <v>0</v>
      </c>
      <c r="AK312" s="796" t="s">
        <v>43</v>
      </c>
      <c r="AL312" s="796" t="s">
        <v>249</v>
      </c>
      <c r="AM312" s="796"/>
      <c r="AN312" s="799"/>
    </row>
    <row r="313" spans="1:42" s="18" customFormat="1" ht="25.5" hidden="1" customHeight="1" outlineLevel="1">
      <c r="A313" s="54"/>
      <c r="B313" s="54">
        <v>31</v>
      </c>
      <c r="C313" s="54"/>
      <c r="D313" s="54" t="s">
        <v>33</v>
      </c>
      <c r="E313" s="54" t="s">
        <v>60</v>
      </c>
      <c r="F313" s="54" t="s">
        <v>84</v>
      </c>
      <c r="G313" s="55" t="s">
        <v>49</v>
      </c>
      <c r="H313" s="56" t="s">
        <v>64</v>
      </c>
      <c r="I313" s="54" t="s">
        <v>173</v>
      </c>
      <c r="J313" s="54" t="s">
        <v>241</v>
      </c>
      <c r="K313" s="57">
        <v>15</v>
      </c>
      <c r="L313" s="54" t="s">
        <v>46</v>
      </c>
      <c r="M313" s="58" t="s">
        <v>40</v>
      </c>
      <c r="N313" s="56">
        <v>40011005</v>
      </c>
      <c r="O313" s="56" t="s">
        <v>754</v>
      </c>
      <c r="P313" s="56"/>
      <c r="Q313" s="58" t="s">
        <v>252</v>
      </c>
      <c r="R313" s="24"/>
      <c r="S313" s="59">
        <v>351704000</v>
      </c>
      <c r="T313" s="60">
        <v>73464012</v>
      </c>
      <c r="U313" s="60">
        <f>300000000-21760012</f>
        <v>278239988</v>
      </c>
      <c r="V313" s="292">
        <f t="shared" si="138"/>
        <v>170144456</v>
      </c>
      <c r="W313" s="29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>
        <v>170144456</v>
      </c>
      <c r="AI313" s="60">
        <f t="shared" si="139"/>
        <v>108095532</v>
      </c>
      <c r="AJ313" s="60">
        <f>+S313-T313-V313-AI313</f>
        <v>0</v>
      </c>
      <c r="AK313" s="796" t="s">
        <v>48</v>
      </c>
      <c r="AL313" s="796" t="s">
        <v>251</v>
      </c>
      <c r="AM313" s="796"/>
      <c r="AN313" s="799"/>
    </row>
    <row r="314" spans="1:42" s="18" customFormat="1" ht="25.5" hidden="1" customHeight="1" outlineLevel="1">
      <c r="A314" s="54"/>
      <c r="B314" s="54">
        <v>31</v>
      </c>
      <c r="C314" s="54"/>
      <c r="D314" s="54" t="s">
        <v>33</v>
      </c>
      <c r="E314" s="54" t="s">
        <v>60</v>
      </c>
      <c r="F314" s="54" t="s">
        <v>35</v>
      </c>
      <c r="G314" s="55" t="s">
        <v>49</v>
      </c>
      <c r="H314" s="56" t="s">
        <v>61</v>
      </c>
      <c r="I314" s="54" t="s">
        <v>173</v>
      </c>
      <c r="J314" s="54" t="s">
        <v>241</v>
      </c>
      <c r="K314" s="57">
        <v>15</v>
      </c>
      <c r="L314" s="54" t="s">
        <v>46</v>
      </c>
      <c r="M314" s="58" t="s">
        <v>56</v>
      </c>
      <c r="N314" s="56">
        <v>30125824</v>
      </c>
      <c r="O314" s="56" t="s">
        <v>684</v>
      </c>
      <c r="P314" s="56"/>
      <c r="Q314" s="58" t="s">
        <v>253</v>
      </c>
      <c r="R314" s="118"/>
      <c r="S314" s="59">
        <v>137650000</v>
      </c>
      <c r="T314" s="60">
        <v>0</v>
      </c>
      <c r="U314" s="60">
        <v>50000000</v>
      </c>
      <c r="V314" s="292">
        <f t="shared" si="138"/>
        <v>19831562</v>
      </c>
      <c r="W314" s="119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28">
        <v>19831562</v>
      </c>
      <c r="AI314" s="60">
        <f t="shared" si="139"/>
        <v>30168438</v>
      </c>
      <c r="AJ314" s="60">
        <f>+S314-T314-V314-AI314</f>
        <v>87650000</v>
      </c>
      <c r="AK314" s="796" t="s">
        <v>43</v>
      </c>
      <c r="AL314" s="796" t="s">
        <v>63</v>
      </c>
      <c r="AM314" s="796"/>
      <c r="AN314" s="799"/>
    </row>
    <row r="315" spans="1:42" s="38" customFormat="1" ht="25.5" hidden="1" customHeight="1" outlineLevel="1">
      <c r="A315" s="35"/>
      <c r="B315" s="35"/>
      <c r="C315" s="35"/>
      <c r="D315" s="35"/>
      <c r="E315" s="35"/>
      <c r="F315" s="36"/>
      <c r="G315" s="36"/>
      <c r="H315" s="37"/>
      <c r="I315" s="36"/>
      <c r="J315" s="36"/>
      <c r="K315" s="36"/>
      <c r="L315" s="35"/>
      <c r="N315" s="39"/>
      <c r="O315" s="39"/>
      <c r="P315" s="39"/>
      <c r="Q315" s="139" t="s">
        <v>67</v>
      </c>
      <c r="R315" s="64"/>
      <c r="S315" s="140">
        <f t="shared" ref="S315:AJ315" si="167">SUBTOTAL(9,S312:S314)</f>
        <v>0</v>
      </c>
      <c r="T315" s="140">
        <f t="shared" ref="T315" si="168">SUBTOTAL(9,T312:T314)</f>
        <v>0</v>
      </c>
      <c r="U315" s="140">
        <f t="shared" si="167"/>
        <v>0</v>
      </c>
      <c r="V315" s="140">
        <f t="shared" si="167"/>
        <v>0</v>
      </c>
      <c r="W315" s="140">
        <f t="shared" si="167"/>
        <v>0</v>
      </c>
      <c r="X315" s="140">
        <f t="shared" si="167"/>
        <v>0</v>
      </c>
      <c r="Y315" s="140">
        <f t="shared" si="167"/>
        <v>0</v>
      </c>
      <c r="Z315" s="140">
        <f t="shared" si="167"/>
        <v>0</v>
      </c>
      <c r="AA315" s="140">
        <f t="shared" si="167"/>
        <v>0</v>
      </c>
      <c r="AB315" s="140">
        <f t="shared" si="167"/>
        <v>0</v>
      </c>
      <c r="AC315" s="140">
        <f t="shared" si="167"/>
        <v>0</v>
      </c>
      <c r="AD315" s="140">
        <f t="shared" si="167"/>
        <v>0</v>
      </c>
      <c r="AE315" s="140">
        <f t="shared" si="167"/>
        <v>0</v>
      </c>
      <c r="AF315" s="140">
        <f t="shared" si="167"/>
        <v>0</v>
      </c>
      <c r="AG315" s="140">
        <f t="shared" si="167"/>
        <v>0</v>
      </c>
      <c r="AH315" s="140">
        <v>189976018</v>
      </c>
      <c r="AI315" s="140">
        <f t="shared" si="167"/>
        <v>0</v>
      </c>
      <c r="AJ315" s="140">
        <f t="shared" si="167"/>
        <v>0</v>
      </c>
      <c r="AK315" s="796"/>
      <c r="AL315" s="796"/>
      <c r="AM315" s="796"/>
      <c r="AN315" s="799"/>
    </row>
    <row r="316" spans="1:42" s="38" customFormat="1" ht="25.5" hidden="1" customHeight="1" outlineLevel="1">
      <c r="A316" s="35"/>
      <c r="B316" s="35"/>
      <c r="C316" s="35"/>
      <c r="D316" s="35"/>
      <c r="E316" s="35"/>
      <c r="F316" s="36"/>
      <c r="G316" s="36"/>
      <c r="H316" s="37"/>
      <c r="I316" s="36"/>
      <c r="J316" s="36"/>
      <c r="K316" s="36"/>
      <c r="L316" s="35"/>
      <c r="N316" s="39"/>
      <c r="O316" s="39"/>
      <c r="P316" s="39"/>
      <c r="Q316" s="46"/>
      <c r="R316" s="42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796"/>
      <c r="AL316" s="796"/>
      <c r="AM316" s="796"/>
      <c r="AN316" s="799"/>
    </row>
    <row r="317" spans="1:42" s="18" customFormat="1" ht="25.5" hidden="1" customHeight="1" outlineLevel="1">
      <c r="A317" s="35"/>
      <c r="B317" s="35"/>
      <c r="C317" s="35"/>
      <c r="D317" s="35"/>
      <c r="E317" s="35"/>
      <c r="F317" s="36"/>
      <c r="G317" s="36"/>
      <c r="H317" s="37"/>
      <c r="I317" s="36"/>
      <c r="J317" s="36"/>
      <c r="K317" s="36"/>
      <c r="L317" s="35"/>
      <c r="M317" s="38"/>
      <c r="N317" s="39"/>
      <c r="O317" s="39"/>
      <c r="P317" s="39"/>
      <c r="Q317" s="17" t="s">
        <v>68</v>
      </c>
      <c r="R317" s="42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796"/>
      <c r="AL317" s="796"/>
      <c r="AM317" s="796"/>
      <c r="AN317" s="799"/>
    </row>
    <row r="318" spans="1:42" s="18" customFormat="1" ht="25.5" customHeight="1" outlineLevel="1">
      <c r="A318" s="66"/>
      <c r="B318" s="801">
        <v>31</v>
      </c>
      <c r="C318" s="730"/>
      <c r="D318" s="66" t="s">
        <v>33</v>
      </c>
      <c r="E318" s="801" t="s">
        <v>69</v>
      </c>
      <c r="F318" s="735" t="s">
        <v>84</v>
      </c>
      <c r="G318" s="167" t="s">
        <v>49</v>
      </c>
      <c r="H318" s="68" t="s">
        <v>208</v>
      </c>
      <c r="I318" s="801" t="s">
        <v>173</v>
      </c>
      <c r="J318" s="801" t="s">
        <v>241</v>
      </c>
      <c r="K318" s="168">
        <v>15</v>
      </c>
      <c r="L318" s="66" t="s">
        <v>46</v>
      </c>
      <c r="M318" s="802" t="s">
        <v>40</v>
      </c>
      <c r="N318" s="803">
        <v>40011698</v>
      </c>
      <c r="O318" s="771"/>
      <c r="P318" s="68"/>
      <c r="Q318" s="802" t="s">
        <v>254</v>
      </c>
      <c r="R318" s="118"/>
      <c r="S318" s="804">
        <v>115072000</v>
      </c>
      <c r="T318" s="805">
        <v>0</v>
      </c>
      <c r="U318" s="805">
        <v>115072000</v>
      </c>
      <c r="V318" s="805">
        <f t="shared" si="138"/>
        <v>0</v>
      </c>
      <c r="W318" s="119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28">
        <v>0</v>
      </c>
      <c r="AI318" s="805">
        <f t="shared" si="139"/>
        <v>115072000</v>
      </c>
      <c r="AJ318" s="805">
        <f>+S318-T318-V318-AI318</f>
        <v>0</v>
      </c>
      <c r="AK318" s="806" t="s">
        <v>43</v>
      </c>
      <c r="AL318" s="806" t="s">
        <v>772</v>
      </c>
      <c r="AM318" s="806"/>
      <c r="AN318" s="807"/>
      <c r="AO318" s="33" t="e">
        <f>VLOOKUP(N318,'CONVENIOS 2021'!A$1:A$53,1,FALSE)</f>
        <v>#N/A</v>
      </c>
      <c r="AP318" s="33" t="e">
        <f>VLOOKUP(N318,'CONVENIOS 2020'!A$2:A$72,1,FALSE)</f>
        <v>#N/A</v>
      </c>
    </row>
    <row r="319" spans="1:42" s="38" customFormat="1" ht="25.5" customHeight="1" outlineLevel="1">
      <c r="A319" s="66"/>
      <c r="B319" s="801">
        <v>31</v>
      </c>
      <c r="C319" s="730"/>
      <c r="D319" s="66" t="s">
        <v>33</v>
      </c>
      <c r="E319" s="801" t="s">
        <v>69</v>
      </c>
      <c r="F319" s="730"/>
      <c r="G319" s="67"/>
      <c r="H319" s="68" t="s">
        <v>45</v>
      </c>
      <c r="I319" s="801" t="s">
        <v>173</v>
      </c>
      <c r="J319" s="801" t="s">
        <v>241</v>
      </c>
      <c r="K319" s="168">
        <v>15</v>
      </c>
      <c r="L319" s="66" t="s">
        <v>46</v>
      </c>
      <c r="M319" s="802" t="s">
        <v>40</v>
      </c>
      <c r="N319" s="803">
        <v>40018868</v>
      </c>
      <c r="O319" s="771"/>
      <c r="P319" s="68"/>
      <c r="Q319" s="802" t="s">
        <v>255</v>
      </c>
      <c r="R319" s="24"/>
      <c r="S319" s="804">
        <v>890770000</v>
      </c>
      <c r="T319" s="805">
        <v>0</v>
      </c>
      <c r="U319" s="805">
        <v>100000000</v>
      </c>
      <c r="V319" s="805">
        <f t="shared" si="138"/>
        <v>0</v>
      </c>
      <c r="W319" s="29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>
        <v>0</v>
      </c>
      <c r="AI319" s="805">
        <f t="shared" si="139"/>
        <v>100000000</v>
      </c>
      <c r="AJ319" s="805">
        <f>+S319-T319-V319-AI319</f>
        <v>790770000</v>
      </c>
      <c r="AK319" s="806" t="s">
        <v>43</v>
      </c>
      <c r="AL319" s="806" t="s">
        <v>771</v>
      </c>
      <c r="AM319" s="806"/>
      <c r="AN319" s="807"/>
      <c r="AO319" s="33" t="e">
        <f>VLOOKUP(N319,'CONVENIOS 2021'!A$1:A$53,1,FALSE)</f>
        <v>#N/A</v>
      </c>
      <c r="AP319" s="33" t="e">
        <f>VLOOKUP(N319,'CONVENIOS 2020'!A$2:A$72,1,FALSE)</f>
        <v>#N/A</v>
      </c>
    </row>
    <row r="320" spans="1:42" s="18" customFormat="1" ht="24" hidden="1" customHeight="1" outlineLevel="1">
      <c r="A320" s="66"/>
      <c r="B320" s="180">
        <v>33</v>
      </c>
      <c r="C320" s="66"/>
      <c r="D320" s="66" t="s">
        <v>76</v>
      </c>
      <c r="E320" s="180" t="s">
        <v>69</v>
      </c>
      <c r="F320" s="66" t="s">
        <v>35</v>
      </c>
      <c r="G320" s="67" t="s">
        <v>49</v>
      </c>
      <c r="H320" s="68" t="s">
        <v>61</v>
      </c>
      <c r="I320" s="180" t="s">
        <v>173</v>
      </c>
      <c r="J320" s="180" t="s">
        <v>241</v>
      </c>
      <c r="K320" s="69">
        <v>15</v>
      </c>
      <c r="L320" s="66" t="s">
        <v>76</v>
      </c>
      <c r="M320" s="184" t="s">
        <v>40</v>
      </c>
      <c r="N320" s="182" t="s">
        <v>76</v>
      </c>
      <c r="O320" s="68"/>
      <c r="P320" s="68"/>
      <c r="Q320" s="184" t="s">
        <v>77</v>
      </c>
      <c r="R320" s="141"/>
      <c r="S320" s="188">
        <v>200000000</v>
      </c>
      <c r="T320" s="189">
        <v>0</v>
      </c>
      <c r="U320" s="189">
        <v>200000000</v>
      </c>
      <c r="V320" s="776">
        <f t="shared" si="138"/>
        <v>69436398</v>
      </c>
      <c r="W320" s="144"/>
      <c r="X320" s="143"/>
      <c r="Y320" s="143"/>
      <c r="Z320" s="143"/>
      <c r="AA320" s="143"/>
      <c r="AB320" s="28"/>
      <c r="AC320" s="143"/>
      <c r="AD320" s="143"/>
      <c r="AE320" s="143"/>
      <c r="AF320" s="143"/>
      <c r="AG320" s="28"/>
      <c r="AH320" s="72">
        <v>69436398</v>
      </c>
      <c r="AI320" s="189">
        <f t="shared" si="139"/>
        <v>130563602</v>
      </c>
      <c r="AJ320" s="189">
        <f>+S320-T320-V320-AI320</f>
        <v>0</v>
      </c>
      <c r="AK320" s="796" t="s">
        <v>78</v>
      </c>
      <c r="AL320" s="796"/>
      <c r="AM320" s="796"/>
      <c r="AN320" s="799"/>
    </row>
    <row r="321" spans="1:42" s="38" customFormat="1" ht="25.5" hidden="1" customHeight="1" outlineLevel="1">
      <c r="A321" s="35"/>
      <c r="B321" s="35"/>
      <c r="C321" s="35"/>
      <c r="D321" s="35"/>
      <c r="E321" s="35"/>
      <c r="F321" s="36"/>
      <c r="G321" s="36"/>
      <c r="H321" s="37"/>
      <c r="I321" s="36"/>
      <c r="J321" s="36"/>
      <c r="K321" s="36"/>
      <c r="L321" s="35"/>
      <c r="N321" s="39"/>
      <c r="O321" s="39"/>
      <c r="P321" s="39"/>
      <c r="Q321" s="134" t="s">
        <v>80</v>
      </c>
      <c r="R321" s="42"/>
      <c r="S321" s="110">
        <f t="shared" ref="S321:U321" si="169">SUBTOTAL(9,S318:S320)</f>
        <v>1005842000</v>
      </c>
      <c r="T321" s="110">
        <f t="shared" ref="T321" si="170">SUBTOTAL(9,T318:T320)</f>
        <v>0</v>
      </c>
      <c r="U321" s="110">
        <f t="shared" si="169"/>
        <v>215072000</v>
      </c>
      <c r="V321" s="110">
        <f t="shared" ref="V321:AJ321" si="171">SUBTOTAL(9,V318:V320)</f>
        <v>0</v>
      </c>
      <c r="W321" s="110">
        <f t="shared" si="171"/>
        <v>0</v>
      </c>
      <c r="X321" s="110">
        <f t="shared" si="171"/>
        <v>0</v>
      </c>
      <c r="Y321" s="110">
        <f t="shared" si="171"/>
        <v>0</v>
      </c>
      <c r="Z321" s="110">
        <f t="shared" si="171"/>
        <v>0</v>
      </c>
      <c r="AA321" s="110">
        <f t="shared" si="171"/>
        <v>0</v>
      </c>
      <c r="AB321" s="110">
        <f t="shared" si="171"/>
        <v>0</v>
      </c>
      <c r="AC321" s="110">
        <f t="shared" si="171"/>
        <v>0</v>
      </c>
      <c r="AD321" s="110">
        <f t="shared" si="171"/>
        <v>0</v>
      </c>
      <c r="AE321" s="110">
        <f t="shared" si="171"/>
        <v>0</v>
      </c>
      <c r="AF321" s="110">
        <f t="shared" si="171"/>
        <v>0</v>
      </c>
      <c r="AG321" s="110">
        <f t="shared" si="171"/>
        <v>0</v>
      </c>
      <c r="AH321" s="110">
        <v>69436398</v>
      </c>
      <c r="AI321" s="110">
        <f t="shared" si="171"/>
        <v>215072000</v>
      </c>
      <c r="AJ321" s="110">
        <f t="shared" si="171"/>
        <v>790770000</v>
      </c>
      <c r="AK321" s="796"/>
      <c r="AL321" s="796"/>
      <c r="AM321" s="796"/>
      <c r="AN321" s="799"/>
    </row>
    <row r="322" spans="1:42" s="90" customFormat="1" ht="24.75" hidden="1" customHeight="1" outlineLevel="1">
      <c r="A322" s="35"/>
      <c r="B322" s="35"/>
      <c r="C322" s="35"/>
      <c r="D322" s="35"/>
      <c r="E322" s="35"/>
      <c r="F322" s="36"/>
      <c r="G322" s="36"/>
      <c r="H322" s="37"/>
      <c r="I322" s="36"/>
      <c r="J322" s="36"/>
      <c r="K322" s="36"/>
      <c r="L322" s="35"/>
      <c r="M322" s="38"/>
      <c r="N322" s="39"/>
      <c r="O322" s="39"/>
      <c r="P322" s="39"/>
      <c r="Q322" s="46"/>
      <c r="R322" s="42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796"/>
      <c r="AL322" s="796"/>
      <c r="AM322" s="796"/>
      <c r="AN322" s="799"/>
    </row>
    <row r="323" spans="1:42" s="84" customFormat="1" ht="24.75" hidden="1" customHeight="1" outlineLevel="1">
      <c r="A323" s="36"/>
      <c r="B323" s="82"/>
      <c r="C323" s="82"/>
      <c r="D323" s="36"/>
      <c r="E323" s="36"/>
      <c r="F323" s="36"/>
      <c r="G323" s="36"/>
      <c r="H323" s="37"/>
      <c r="I323" s="36"/>
      <c r="J323" s="36"/>
      <c r="K323" s="36"/>
      <c r="L323" s="82"/>
      <c r="N323" s="83"/>
      <c r="O323" s="39"/>
      <c r="P323" s="39"/>
      <c r="Q323" s="85" t="s">
        <v>256</v>
      </c>
      <c r="R323" s="111"/>
      <c r="S323" s="88">
        <f t="shared" ref="S323:U323" si="172">S309+S315+S321</f>
        <v>1005842000</v>
      </c>
      <c r="T323" s="88">
        <f t="shared" ref="T323" si="173">T309+T315+T321</f>
        <v>0</v>
      </c>
      <c r="U323" s="88">
        <f t="shared" si="172"/>
        <v>215072000</v>
      </c>
      <c r="V323" s="88">
        <f t="shared" ref="V323:AJ323" si="174">V309+V315+V321</f>
        <v>0</v>
      </c>
      <c r="W323" s="88">
        <f t="shared" si="174"/>
        <v>0</v>
      </c>
      <c r="X323" s="88">
        <f t="shared" si="174"/>
        <v>0</v>
      </c>
      <c r="Y323" s="88">
        <f t="shared" si="174"/>
        <v>0</v>
      </c>
      <c r="Z323" s="88">
        <f t="shared" si="174"/>
        <v>0</v>
      </c>
      <c r="AA323" s="88">
        <f t="shared" si="174"/>
        <v>0</v>
      </c>
      <c r="AB323" s="88">
        <f t="shared" si="174"/>
        <v>0</v>
      </c>
      <c r="AC323" s="88">
        <f t="shared" si="174"/>
        <v>0</v>
      </c>
      <c r="AD323" s="88">
        <f t="shared" si="174"/>
        <v>0</v>
      </c>
      <c r="AE323" s="88">
        <f t="shared" si="174"/>
        <v>0</v>
      </c>
      <c r="AF323" s="88">
        <f t="shared" si="174"/>
        <v>0</v>
      </c>
      <c r="AG323" s="88">
        <f t="shared" si="174"/>
        <v>0</v>
      </c>
      <c r="AH323" s="88">
        <v>268772416</v>
      </c>
      <c r="AI323" s="88">
        <f t="shared" si="174"/>
        <v>215072000</v>
      </c>
      <c r="AJ323" s="88">
        <f t="shared" si="174"/>
        <v>790770000</v>
      </c>
      <c r="AK323" s="796"/>
      <c r="AL323" s="796"/>
      <c r="AM323" s="796"/>
      <c r="AN323" s="799"/>
    </row>
    <row r="324" spans="1:42" s="84" customFormat="1" ht="24.75" hidden="1" customHeight="1" outlineLevel="1">
      <c r="A324" s="36"/>
      <c r="B324" s="82"/>
      <c r="C324" s="82"/>
      <c r="D324" s="36"/>
      <c r="E324" s="36"/>
      <c r="F324" s="36"/>
      <c r="G324" s="36"/>
      <c r="H324" s="37"/>
      <c r="I324" s="36"/>
      <c r="J324" s="36"/>
      <c r="K324" s="36"/>
      <c r="L324" s="82"/>
      <c r="N324" s="83"/>
      <c r="O324" s="39"/>
      <c r="P324" s="39"/>
      <c r="Q324" s="91"/>
      <c r="R324" s="87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796"/>
      <c r="AL324" s="796"/>
      <c r="AM324" s="796"/>
      <c r="AN324" s="799"/>
    </row>
    <row r="325" spans="1:42" s="84" customFormat="1" ht="24.75" hidden="1" customHeight="1" outlineLevel="1">
      <c r="A325" s="36"/>
      <c r="B325" s="82"/>
      <c r="C325" s="82"/>
      <c r="D325" s="36"/>
      <c r="E325" s="36"/>
      <c r="F325" s="36"/>
      <c r="G325" s="36"/>
      <c r="H325" s="37"/>
      <c r="I325" s="36"/>
      <c r="J325" s="36"/>
      <c r="K325" s="36"/>
      <c r="L325" s="82"/>
      <c r="N325" s="83"/>
      <c r="O325" s="39"/>
      <c r="P325" s="39"/>
      <c r="Q325" s="596"/>
      <c r="R325" s="87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796"/>
      <c r="AL325" s="796"/>
      <c r="AM325" s="796"/>
      <c r="AN325" s="799"/>
    </row>
    <row r="326" spans="1:42" s="18" customFormat="1" ht="25.5" hidden="1" customHeight="1" outlineLevel="1">
      <c r="A326" s="36"/>
      <c r="B326" s="36"/>
      <c r="C326" s="36"/>
      <c r="D326" s="36"/>
      <c r="E326" s="36"/>
      <c r="F326" s="36"/>
      <c r="G326" s="36"/>
      <c r="H326" s="37"/>
      <c r="I326" s="36"/>
      <c r="J326" s="36"/>
      <c r="K326" s="36"/>
      <c r="L326" s="36"/>
      <c r="M326" s="95"/>
      <c r="N326" s="37"/>
      <c r="O326" s="39"/>
      <c r="P326" s="39"/>
      <c r="Q326" s="96" t="s">
        <v>257</v>
      </c>
      <c r="R326" s="50"/>
      <c r="S326" s="97"/>
      <c r="T326" s="97"/>
      <c r="U326" s="53"/>
      <c r="V326" s="53" t="s">
        <v>750</v>
      </c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796"/>
      <c r="AL326" s="796"/>
      <c r="AM326" s="796"/>
      <c r="AN326" s="799"/>
    </row>
    <row r="327" spans="1:42" s="18" customFormat="1" ht="25.5" hidden="1" customHeight="1" outlineLevel="1">
      <c r="A327" s="35"/>
      <c r="B327" s="35"/>
      <c r="C327" s="35"/>
      <c r="D327" s="35"/>
      <c r="E327" s="35"/>
      <c r="F327" s="36"/>
      <c r="G327" s="36"/>
      <c r="H327" s="37"/>
      <c r="I327" s="36"/>
      <c r="J327" s="36"/>
      <c r="K327" s="36"/>
      <c r="L327" s="35"/>
      <c r="M327" s="38"/>
      <c r="N327" s="39"/>
      <c r="O327" s="39"/>
      <c r="P327" s="39"/>
      <c r="Q327" s="17" t="s">
        <v>68</v>
      </c>
      <c r="R327" s="42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796"/>
      <c r="AL327" s="796"/>
      <c r="AM327" s="796"/>
      <c r="AN327" s="799"/>
    </row>
    <row r="328" spans="1:42" s="18" customFormat="1" ht="25.5" hidden="1" customHeight="1" outlineLevel="1">
      <c r="A328" s="708" t="s">
        <v>118</v>
      </c>
      <c r="B328" s="708">
        <v>31</v>
      </c>
      <c r="C328" s="736"/>
      <c r="D328" s="708" t="s">
        <v>33</v>
      </c>
      <c r="E328" s="708" t="s">
        <v>69</v>
      </c>
      <c r="F328" s="737" t="s">
        <v>84</v>
      </c>
      <c r="G328" s="710" t="s">
        <v>49</v>
      </c>
      <c r="H328" s="711" t="s">
        <v>208</v>
      </c>
      <c r="I328" s="708" t="s">
        <v>173</v>
      </c>
      <c r="J328" s="708" t="s">
        <v>258</v>
      </c>
      <c r="K328" s="712">
        <v>16</v>
      </c>
      <c r="L328" s="708" t="s">
        <v>46</v>
      </c>
      <c r="M328" s="713" t="s">
        <v>40</v>
      </c>
      <c r="N328" s="711">
        <v>30485255</v>
      </c>
      <c r="O328" s="711" t="s">
        <v>683</v>
      </c>
      <c r="P328" s="711"/>
      <c r="Q328" s="32" t="s">
        <v>259</v>
      </c>
      <c r="R328" s="714"/>
      <c r="S328" s="302">
        <v>147506000</v>
      </c>
      <c r="T328" s="297">
        <v>0</v>
      </c>
      <c r="U328" s="297">
        <v>147506000</v>
      </c>
      <c r="V328" s="297">
        <f t="shared" ref="V328:V382" si="175">+SUM(W328:AH328)</f>
        <v>0</v>
      </c>
      <c r="W328" s="715"/>
      <c r="X328" s="299"/>
      <c r="Y328" s="299"/>
      <c r="Z328" s="299"/>
      <c r="AA328" s="299"/>
      <c r="AB328" s="299"/>
      <c r="AC328" s="299"/>
      <c r="AD328" s="299"/>
      <c r="AE328" s="299"/>
      <c r="AF328" s="299"/>
      <c r="AG328" s="299"/>
      <c r="AH328" s="297">
        <v>0</v>
      </c>
      <c r="AI328" s="297">
        <f t="shared" ref="AI328:AI382" si="176">+U328-V328</f>
        <v>147506000</v>
      </c>
      <c r="AJ328" s="297">
        <f t="shared" ref="AJ328:AJ333" si="177">+S328-T328-V328-AI328</f>
        <v>0</v>
      </c>
      <c r="AK328" s="796" t="s">
        <v>43</v>
      </c>
      <c r="AL328" s="796" t="s">
        <v>772</v>
      </c>
      <c r="AM328" s="796" t="str">
        <f>HYPERLINK(CONCATENATE("DOCUMENTOS\ACTA-",N328,".PDF"))</f>
        <v>DOCUMENTOS\ACTA-30485255.PDF</v>
      </c>
      <c r="AN328" s="799"/>
      <c r="AO328" s="33" t="e">
        <f>VLOOKUP(N328,'CONVENIOS 2021'!A$1:A$53,1,FALSE)</f>
        <v>#N/A</v>
      </c>
      <c r="AP328" s="33" t="e">
        <f>VLOOKUP(N328,'CONVENIOS 2020'!A$2:A$72,1,FALSE)</f>
        <v>#N/A</v>
      </c>
    </row>
    <row r="329" spans="1:42" s="18" customFormat="1" ht="25.5" hidden="1" customHeight="1" outlineLevel="1">
      <c r="A329" s="708"/>
      <c r="B329" s="708">
        <v>29</v>
      </c>
      <c r="C329" s="708"/>
      <c r="D329" s="708" t="s">
        <v>92</v>
      </c>
      <c r="E329" s="708" t="s">
        <v>69</v>
      </c>
      <c r="F329" s="709"/>
      <c r="G329" s="710"/>
      <c r="H329" s="711" t="s">
        <v>45</v>
      </c>
      <c r="I329" s="708" t="s">
        <v>173</v>
      </c>
      <c r="J329" s="708" t="s">
        <v>258</v>
      </c>
      <c r="K329" s="712">
        <v>16</v>
      </c>
      <c r="L329" s="708" t="s">
        <v>46</v>
      </c>
      <c r="M329" s="713" t="s">
        <v>40</v>
      </c>
      <c r="N329" s="711">
        <v>40007939</v>
      </c>
      <c r="O329" s="711" t="s">
        <v>754</v>
      </c>
      <c r="P329" s="711"/>
      <c r="Q329" s="713" t="s">
        <v>260</v>
      </c>
      <c r="R329" s="714"/>
      <c r="S329" s="302">
        <v>902195624</v>
      </c>
      <c r="T329" s="297">
        <v>0</v>
      </c>
      <c r="U329" s="297">
        <v>250000000</v>
      </c>
      <c r="V329" s="298">
        <f t="shared" si="175"/>
        <v>0</v>
      </c>
      <c r="W329" s="715"/>
      <c r="X329" s="299"/>
      <c r="Y329" s="299"/>
      <c r="Z329" s="299"/>
      <c r="AA329" s="299"/>
      <c r="AB329" s="299"/>
      <c r="AC329" s="299"/>
      <c r="AD329" s="299"/>
      <c r="AE329" s="299"/>
      <c r="AF329" s="299"/>
      <c r="AG329" s="299"/>
      <c r="AH329" s="297">
        <v>0</v>
      </c>
      <c r="AI329" s="297">
        <f t="shared" si="176"/>
        <v>250000000</v>
      </c>
      <c r="AJ329" s="297">
        <f t="shared" si="177"/>
        <v>652195624</v>
      </c>
      <c r="AK329" s="796" t="s">
        <v>48</v>
      </c>
      <c r="AL329" s="796" t="s">
        <v>749</v>
      </c>
      <c r="AM329" s="796"/>
      <c r="AN329" s="799"/>
    </row>
    <row r="330" spans="1:42" s="18" customFormat="1" ht="25.5" hidden="1" customHeight="1" outlineLevel="1">
      <c r="A330" s="708"/>
      <c r="B330" s="708">
        <v>31</v>
      </c>
      <c r="C330" s="736"/>
      <c r="D330" s="708" t="s">
        <v>33</v>
      </c>
      <c r="E330" s="708" t="s">
        <v>69</v>
      </c>
      <c r="F330" s="736"/>
      <c r="G330" s="716"/>
      <c r="H330" s="711" t="s">
        <v>53</v>
      </c>
      <c r="I330" s="708" t="s">
        <v>173</v>
      </c>
      <c r="J330" s="708" t="s">
        <v>258</v>
      </c>
      <c r="K330" s="712">
        <v>16</v>
      </c>
      <c r="L330" s="708" t="s">
        <v>46</v>
      </c>
      <c r="M330" s="713" t="s">
        <v>40</v>
      </c>
      <c r="N330" s="711">
        <v>30134234</v>
      </c>
      <c r="O330" s="711"/>
      <c r="P330" s="711"/>
      <c r="Q330" s="742" t="s">
        <v>261</v>
      </c>
      <c r="R330" s="717"/>
      <c r="S330" s="302">
        <v>834246000</v>
      </c>
      <c r="T330" s="297">
        <v>0</v>
      </c>
      <c r="U330" s="297">
        <v>200000000</v>
      </c>
      <c r="V330" s="297">
        <f t="shared" si="175"/>
        <v>0</v>
      </c>
      <c r="W330" s="718"/>
      <c r="X330" s="297"/>
      <c r="Y330" s="297"/>
      <c r="Z330" s="297"/>
      <c r="AA330" s="297"/>
      <c r="AB330" s="297"/>
      <c r="AC330" s="297"/>
      <c r="AD330" s="297"/>
      <c r="AE330" s="297"/>
      <c r="AF330" s="297"/>
      <c r="AG330" s="297"/>
      <c r="AH330" s="297">
        <v>0</v>
      </c>
      <c r="AI330" s="297">
        <f t="shared" si="176"/>
        <v>200000000</v>
      </c>
      <c r="AJ330" s="297">
        <f t="shared" si="177"/>
        <v>634246000</v>
      </c>
      <c r="AK330" s="796" t="s">
        <v>43</v>
      </c>
      <c r="AL330" s="796" t="s">
        <v>66</v>
      </c>
      <c r="AM330" s="796"/>
      <c r="AN330" s="799"/>
      <c r="AO330" s="33">
        <f>VLOOKUP(N330,'CONVENIOS 2021'!A$1:A$53,1,FALSE)</f>
        <v>30134234</v>
      </c>
    </row>
    <row r="331" spans="1:42" s="38" customFormat="1" ht="25.5" hidden="1" customHeight="1" outlineLevel="1">
      <c r="A331" s="708"/>
      <c r="B331" s="708">
        <v>31</v>
      </c>
      <c r="C331" s="736"/>
      <c r="D331" s="708" t="s">
        <v>33</v>
      </c>
      <c r="E331" s="708" t="s">
        <v>69</v>
      </c>
      <c r="F331" s="736"/>
      <c r="G331" s="716"/>
      <c r="H331" s="711" t="s">
        <v>50</v>
      </c>
      <c r="I331" s="708" t="s">
        <v>173</v>
      </c>
      <c r="J331" s="708" t="s">
        <v>258</v>
      </c>
      <c r="K331" s="712">
        <v>16</v>
      </c>
      <c r="L331" s="708" t="s">
        <v>46</v>
      </c>
      <c r="M331" s="713" t="s">
        <v>56</v>
      </c>
      <c r="N331" s="711">
        <v>40007573</v>
      </c>
      <c r="O331" s="711"/>
      <c r="P331" s="711"/>
      <c r="Q331" s="742" t="s">
        <v>262</v>
      </c>
      <c r="R331" s="717"/>
      <c r="S331" s="302">
        <v>137618000</v>
      </c>
      <c r="T331" s="297">
        <v>0</v>
      </c>
      <c r="U331" s="297">
        <v>40000000</v>
      </c>
      <c r="V331" s="297">
        <f t="shared" si="175"/>
        <v>0</v>
      </c>
      <c r="W331" s="718"/>
      <c r="X331" s="297"/>
      <c r="Y331" s="297"/>
      <c r="Z331" s="297"/>
      <c r="AA331" s="297"/>
      <c r="AB331" s="297"/>
      <c r="AC331" s="297"/>
      <c r="AD331" s="297"/>
      <c r="AE331" s="297"/>
      <c r="AF331" s="297"/>
      <c r="AG331" s="297"/>
      <c r="AH331" s="297">
        <v>0</v>
      </c>
      <c r="AI331" s="297">
        <f t="shared" si="176"/>
        <v>40000000</v>
      </c>
      <c r="AJ331" s="297">
        <f t="shared" si="177"/>
        <v>97618000</v>
      </c>
      <c r="AK331" s="796" t="s">
        <v>43</v>
      </c>
      <c r="AL331" s="796" t="s">
        <v>66</v>
      </c>
      <c r="AM331" s="796"/>
      <c r="AN331" s="799"/>
      <c r="AO331" s="33">
        <f>VLOOKUP(N331,'CONVENIOS 2021'!A$1:A$53,1,FALSE)</f>
        <v>40007573</v>
      </c>
    </row>
    <row r="332" spans="1:42" s="38" customFormat="1" ht="25.5" hidden="1" customHeight="1" outlineLevel="1">
      <c r="A332" s="708"/>
      <c r="B332" s="708">
        <v>31</v>
      </c>
      <c r="C332" s="736"/>
      <c r="D332" s="708" t="s">
        <v>33</v>
      </c>
      <c r="E332" s="708" t="s">
        <v>69</v>
      </c>
      <c r="F332" s="736"/>
      <c r="G332" s="716"/>
      <c r="H332" s="711" t="s">
        <v>53</v>
      </c>
      <c r="I332" s="708" t="s">
        <v>173</v>
      </c>
      <c r="J332" s="708" t="s">
        <v>258</v>
      </c>
      <c r="K332" s="712">
        <v>16</v>
      </c>
      <c r="L332" s="708" t="s">
        <v>46</v>
      </c>
      <c r="M332" s="713" t="s">
        <v>40</v>
      </c>
      <c r="N332" s="711">
        <v>30395422</v>
      </c>
      <c r="O332" s="711"/>
      <c r="P332" s="711"/>
      <c r="Q332" s="742" t="s">
        <v>263</v>
      </c>
      <c r="R332" s="717"/>
      <c r="S332" s="302">
        <v>451210000</v>
      </c>
      <c r="T332" s="297">
        <v>0</v>
      </c>
      <c r="U332" s="297">
        <v>150000000</v>
      </c>
      <c r="V332" s="297">
        <f t="shared" si="175"/>
        <v>0</v>
      </c>
      <c r="W332" s="718"/>
      <c r="X332" s="297"/>
      <c r="Y332" s="297"/>
      <c r="Z332" s="297"/>
      <c r="AA332" s="297"/>
      <c r="AB332" s="297"/>
      <c r="AC332" s="297"/>
      <c r="AD332" s="297"/>
      <c r="AE332" s="297"/>
      <c r="AF332" s="297"/>
      <c r="AG332" s="297"/>
      <c r="AH332" s="297">
        <v>0</v>
      </c>
      <c r="AI332" s="297">
        <f t="shared" si="176"/>
        <v>150000000</v>
      </c>
      <c r="AJ332" s="297">
        <f t="shared" si="177"/>
        <v>301210000</v>
      </c>
      <c r="AK332" s="796" t="s">
        <v>43</v>
      </c>
      <c r="AL332" s="796" t="s">
        <v>66</v>
      </c>
      <c r="AM332" s="796"/>
      <c r="AN332" s="799"/>
      <c r="AO332" s="33">
        <f>VLOOKUP(N332,'CONVENIOS 2021'!A$1:A$53,1,FALSE)</f>
        <v>30395422</v>
      </c>
    </row>
    <row r="333" spans="1:42" s="18" customFormat="1" ht="25.5" hidden="1" customHeight="1" outlineLevel="1">
      <c r="A333" s="708"/>
      <c r="B333" s="708">
        <v>33</v>
      </c>
      <c r="C333" s="708"/>
      <c r="D333" s="708" t="s">
        <v>76</v>
      </c>
      <c r="E333" s="708" t="s">
        <v>69</v>
      </c>
      <c r="F333" s="708" t="s">
        <v>35</v>
      </c>
      <c r="G333" s="716" t="s">
        <v>49</v>
      </c>
      <c r="H333" s="711" t="s">
        <v>61</v>
      </c>
      <c r="I333" s="708" t="s">
        <v>173</v>
      </c>
      <c r="J333" s="708" t="s">
        <v>258</v>
      </c>
      <c r="K333" s="719">
        <v>16</v>
      </c>
      <c r="L333" s="708" t="s">
        <v>76</v>
      </c>
      <c r="M333" s="713" t="s">
        <v>40</v>
      </c>
      <c r="N333" s="711" t="s">
        <v>76</v>
      </c>
      <c r="O333" s="711"/>
      <c r="P333" s="711"/>
      <c r="Q333" s="713" t="s">
        <v>77</v>
      </c>
      <c r="R333" s="717"/>
      <c r="S333" s="302">
        <v>200000000</v>
      </c>
      <c r="T333" s="297">
        <v>0</v>
      </c>
      <c r="U333" s="297">
        <v>200000000</v>
      </c>
      <c r="V333" s="296">
        <f t="shared" si="175"/>
        <v>4552196</v>
      </c>
      <c r="W333" s="718"/>
      <c r="X333" s="297"/>
      <c r="Y333" s="297"/>
      <c r="Z333" s="297"/>
      <c r="AA333" s="297"/>
      <c r="AB333" s="297"/>
      <c r="AC333" s="297"/>
      <c r="AD333" s="297"/>
      <c r="AE333" s="297"/>
      <c r="AF333" s="297"/>
      <c r="AG333" s="297"/>
      <c r="AH333" s="297">
        <v>4552196</v>
      </c>
      <c r="AI333" s="297">
        <f t="shared" si="176"/>
        <v>195447804</v>
      </c>
      <c r="AJ333" s="297">
        <f t="shared" si="177"/>
        <v>0</v>
      </c>
      <c r="AK333" s="796" t="s">
        <v>78</v>
      </c>
      <c r="AL333" s="796"/>
      <c r="AM333" s="796"/>
      <c r="AN333" s="799"/>
    </row>
    <row r="334" spans="1:42" s="38" customFormat="1" ht="25.5" hidden="1" customHeight="1" outlineLevel="1">
      <c r="A334" s="35"/>
      <c r="B334" s="35"/>
      <c r="C334" s="35"/>
      <c r="D334" s="35"/>
      <c r="E334" s="35"/>
      <c r="F334" s="36"/>
      <c r="G334" s="36"/>
      <c r="H334" s="37"/>
      <c r="I334" s="36"/>
      <c r="J334" s="36"/>
      <c r="K334" s="36"/>
      <c r="L334" s="35"/>
      <c r="N334" s="39"/>
      <c r="O334" s="39"/>
      <c r="P334" s="39"/>
      <c r="Q334" s="720" t="s">
        <v>80</v>
      </c>
      <c r="R334" s="721"/>
      <c r="S334" s="722">
        <f t="shared" ref="S334:U334" si="178">SUBTOTAL(9,S328:S333)</f>
        <v>0</v>
      </c>
      <c r="T334" s="722">
        <f t="shared" ref="T334" si="179">SUBTOTAL(9,T328:T333)</f>
        <v>0</v>
      </c>
      <c r="U334" s="722">
        <f t="shared" si="178"/>
        <v>0</v>
      </c>
      <c r="V334" s="722">
        <f t="shared" ref="V334:AJ334" si="180">SUBTOTAL(9,V328:V333)</f>
        <v>0</v>
      </c>
      <c r="W334" s="722">
        <f t="shared" si="180"/>
        <v>0</v>
      </c>
      <c r="X334" s="722">
        <f t="shared" si="180"/>
        <v>0</v>
      </c>
      <c r="Y334" s="722">
        <f t="shared" si="180"/>
        <v>0</v>
      </c>
      <c r="Z334" s="722">
        <f t="shared" si="180"/>
        <v>0</v>
      </c>
      <c r="AA334" s="722">
        <f t="shared" si="180"/>
        <v>0</v>
      </c>
      <c r="AB334" s="722">
        <f t="shared" si="180"/>
        <v>0</v>
      </c>
      <c r="AC334" s="722">
        <f t="shared" si="180"/>
        <v>0</v>
      </c>
      <c r="AD334" s="722">
        <f t="shared" si="180"/>
        <v>0</v>
      </c>
      <c r="AE334" s="722">
        <f t="shared" si="180"/>
        <v>0</v>
      </c>
      <c r="AF334" s="722">
        <f t="shared" si="180"/>
        <v>0</v>
      </c>
      <c r="AG334" s="722">
        <f t="shared" si="180"/>
        <v>0</v>
      </c>
      <c r="AH334" s="722">
        <v>4552196</v>
      </c>
      <c r="AI334" s="722">
        <f t="shared" si="180"/>
        <v>0</v>
      </c>
      <c r="AJ334" s="722">
        <f t="shared" si="180"/>
        <v>0</v>
      </c>
      <c r="AK334" s="796"/>
      <c r="AL334" s="796"/>
      <c r="AM334" s="796"/>
      <c r="AN334" s="799"/>
    </row>
    <row r="335" spans="1:42" s="90" customFormat="1" ht="24.75" hidden="1" customHeight="1" outlineLevel="1">
      <c r="A335" s="35"/>
      <c r="B335" s="35"/>
      <c r="C335" s="35"/>
      <c r="D335" s="35"/>
      <c r="E335" s="35"/>
      <c r="F335" s="36"/>
      <c r="G335" s="36"/>
      <c r="H335" s="37"/>
      <c r="I335" s="36"/>
      <c r="J335" s="36"/>
      <c r="K335" s="36"/>
      <c r="L335" s="35"/>
      <c r="M335" s="38"/>
      <c r="N335" s="39"/>
      <c r="O335" s="39"/>
      <c r="P335" s="39"/>
      <c r="Q335" s="46"/>
      <c r="R335" s="42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796"/>
      <c r="AL335" s="796"/>
      <c r="AM335" s="796"/>
      <c r="AN335" s="799"/>
    </row>
    <row r="336" spans="1:42" s="84" customFormat="1" ht="24.75" hidden="1" customHeight="1" outlineLevel="1">
      <c r="A336" s="36"/>
      <c r="B336" s="82"/>
      <c r="C336" s="82"/>
      <c r="D336" s="36"/>
      <c r="E336" s="36"/>
      <c r="F336" s="36"/>
      <c r="G336" s="36"/>
      <c r="H336" s="37"/>
      <c r="I336" s="36"/>
      <c r="J336" s="36"/>
      <c r="K336" s="36"/>
      <c r="L336" s="82"/>
      <c r="N336" s="83"/>
      <c r="O336" s="39"/>
      <c r="P336" s="39"/>
      <c r="Q336" s="85" t="s">
        <v>264</v>
      </c>
      <c r="R336" s="111"/>
      <c r="S336" s="88">
        <f t="shared" ref="S336:U336" si="181">S334</f>
        <v>0</v>
      </c>
      <c r="T336" s="88">
        <f t="shared" ref="T336" si="182">T334</f>
        <v>0</v>
      </c>
      <c r="U336" s="88">
        <f t="shared" si="181"/>
        <v>0</v>
      </c>
      <c r="V336" s="88">
        <f t="shared" ref="V336:AJ336" si="183">V334</f>
        <v>0</v>
      </c>
      <c r="W336" s="88">
        <f t="shared" si="183"/>
        <v>0</v>
      </c>
      <c r="X336" s="88">
        <f t="shared" si="183"/>
        <v>0</v>
      </c>
      <c r="Y336" s="88">
        <f t="shared" si="183"/>
        <v>0</v>
      </c>
      <c r="Z336" s="88">
        <f t="shared" si="183"/>
        <v>0</v>
      </c>
      <c r="AA336" s="88">
        <f t="shared" si="183"/>
        <v>0</v>
      </c>
      <c r="AB336" s="88">
        <f t="shared" si="183"/>
        <v>0</v>
      </c>
      <c r="AC336" s="88">
        <f t="shared" si="183"/>
        <v>0</v>
      </c>
      <c r="AD336" s="88">
        <f t="shared" si="183"/>
        <v>0</v>
      </c>
      <c r="AE336" s="88">
        <f t="shared" si="183"/>
        <v>0</v>
      </c>
      <c r="AF336" s="88">
        <f t="shared" si="183"/>
        <v>0</v>
      </c>
      <c r="AG336" s="88">
        <f t="shared" si="183"/>
        <v>0</v>
      </c>
      <c r="AH336" s="88">
        <v>4552196</v>
      </c>
      <c r="AI336" s="88">
        <f t="shared" si="183"/>
        <v>0</v>
      </c>
      <c r="AJ336" s="88">
        <f t="shared" si="183"/>
        <v>0</v>
      </c>
      <c r="AK336" s="796"/>
      <c r="AL336" s="796"/>
      <c r="AM336" s="796"/>
      <c r="AN336" s="799"/>
    </row>
    <row r="337" spans="1:40" s="84" customFormat="1" ht="24.75" hidden="1" customHeight="1" outlineLevel="1">
      <c r="A337" s="36"/>
      <c r="B337" s="82"/>
      <c r="C337" s="82"/>
      <c r="D337" s="36"/>
      <c r="E337" s="36"/>
      <c r="F337" s="36"/>
      <c r="G337" s="36"/>
      <c r="H337" s="37"/>
      <c r="I337" s="36"/>
      <c r="J337" s="36"/>
      <c r="K337" s="36"/>
      <c r="L337" s="82"/>
      <c r="N337" s="83"/>
      <c r="O337" s="39"/>
      <c r="P337" s="39"/>
      <c r="Q337" s="91"/>
      <c r="R337" s="87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796"/>
      <c r="AL337" s="796"/>
      <c r="AM337" s="796"/>
      <c r="AN337" s="799"/>
    </row>
    <row r="338" spans="1:40" s="18" customFormat="1" ht="25.5" hidden="1" customHeight="1" outlineLevel="1">
      <c r="A338" s="36"/>
      <c r="B338" s="36"/>
      <c r="C338" s="36"/>
      <c r="D338" s="36"/>
      <c r="E338" s="36"/>
      <c r="F338" s="36"/>
      <c r="G338" s="36"/>
      <c r="H338" s="37"/>
      <c r="I338" s="36"/>
      <c r="J338" s="36"/>
      <c r="K338" s="36"/>
      <c r="L338" s="36"/>
      <c r="M338" s="95"/>
      <c r="N338" s="37"/>
      <c r="O338" s="39"/>
      <c r="P338" s="39"/>
      <c r="Q338" s="96" t="s">
        <v>265</v>
      </c>
      <c r="R338" s="50"/>
      <c r="S338" s="97"/>
      <c r="T338" s="97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796"/>
      <c r="AL338" s="796"/>
      <c r="AM338" s="796"/>
      <c r="AN338" s="799"/>
    </row>
    <row r="339" spans="1:40" s="33" customFormat="1" ht="25.5" hidden="1" customHeight="1" outlineLevel="2">
      <c r="A339" s="35"/>
      <c r="B339" s="35"/>
      <c r="C339" s="35"/>
      <c r="D339" s="35"/>
      <c r="E339" s="35"/>
      <c r="F339" s="36"/>
      <c r="G339" s="36"/>
      <c r="H339" s="37"/>
      <c r="I339" s="36"/>
      <c r="J339" s="36"/>
      <c r="K339" s="36"/>
      <c r="L339" s="35"/>
      <c r="M339" s="38"/>
      <c r="N339" s="39"/>
      <c r="O339" s="39"/>
      <c r="P339" s="39"/>
      <c r="Q339" s="17" t="s">
        <v>32</v>
      </c>
      <c r="R339" s="50"/>
      <c r="S339" s="51"/>
      <c r="T339" s="51"/>
      <c r="U339" s="52"/>
      <c r="V339" s="52"/>
      <c r="W339" s="52"/>
      <c r="X339" s="52"/>
      <c r="Y339" s="52"/>
      <c r="Z339" s="53"/>
      <c r="AA339" s="53"/>
      <c r="AB339" s="53"/>
      <c r="AC339" s="53"/>
      <c r="AD339" s="53"/>
      <c r="AE339" s="53"/>
      <c r="AF339" s="53"/>
      <c r="AG339" s="53"/>
      <c r="AH339" s="53"/>
      <c r="AI339" s="52"/>
      <c r="AJ339" s="52"/>
      <c r="AK339" s="796"/>
      <c r="AL339" s="796"/>
      <c r="AM339" s="796"/>
      <c r="AN339" s="799"/>
    </row>
    <row r="340" spans="1:40" s="33" customFormat="1" ht="25.5" hidden="1" customHeight="1" outlineLevel="2">
      <c r="A340" s="19"/>
      <c r="B340" s="19">
        <v>31</v>
      </c>
      <c r="C340" s="19"/>
      <c r="D340" s="19" t="s">
        <v>33</v>
      </c>
      <c r="E340" s="19" t="s">
        <v>34</v>
      </c>
      <c r="F340" s="19" t="s">
        <v>35</v>
      </c>
      <c r="G340" s="20" t="s">
        <v>49</v>
      </c>
      <c r="H340" s="21" t="s">
        <v>53</v>
      </c>
      <c r="I340" s="19" t="s">
        <v>173</v>
      </c>
      <c r="J340" s="19" t="s">
        <v>266</v>
      </c>
      <c r="K340" s="22">
        <v>17</v>
      </c>
      <c r="L340" s="19" t="s">
        <v>46</v>
      </c>
      <c r="M340" s="23" t="s">
        <v>40</v>
      </c>
      <c r="N340" s="21">
        <v>30064230</v>
      </c>
      <c r="O340" s="21" t="s">
        <v>684</v>
      </c>
      <c r="P340" s="21"/>
      <c r="Q340" s="23" t="s">
        <v>267</v>
      </c>
      <c r="R340" s="24"/>
      <c r="S340" s="26">
        <v>2746936000</v>
      </c>
      <c r="T340" s="30">
        <v>1076381867</v>
      </c>
      <c r="U340" s="30">
        <v>500000000</v>
      </c>
      <c r="V340" s="285">
        <f t="shared" si="175"/>
        <v>0</v>
      </c>
      <c r="W340" s="29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>
        <v>0</v>
      </c>
      <c r="AI340" s="30">
        <f t="shared" si="176"/>
        <v>500000000</v>
      </c>
      <c r="AJ340" s="30">
        <f t="shared" ref="AJ340:AJ345" si="184">+S340-T340-V340-AI340</f>
        <v>1170554133</v>
      </c>
      <c r="AK340" s="796" t="s">
        <v>43</v>
      </c>
      <c r="AL340" s="796" t="s">
        <v>44</v>
      </c>
      <c r="AM340" s="796"/>
      <c r="AN340" s="799"/>
    </row>
    <row r="341" spans="1:40" s="33" customFormat="1" ht="25.5" hidden="1" customHeight="1" outlineLevel="2">
      <c r="A341" s="19"/>
      <c r="B341" s="19">
        <v>31</v>
      </c>
      <c r="C341" s="19"/>
      <c r="D341" s="19" t="s">
        <v>33</v>
      </c>
      <c r="E341" s="19" t="s">
        <v>34</v>
      </c>
      <c r="F341" s="19" t="s">
        <v>35</v>
      </c>
      <c r="G341" s="20" t="s">
        <v>36</v>
      </c>
      <c r="H341" s="21" t="s">
        <v>64</v>
      </c>
      <c r="I341" s="19" t="s">
        <v>173</v>
      </c>
      <c r="J341" s="19" t="s">
        <v>266</v>
      </c>
      <c r="K341" s="22">
        <v>17</v>
      </c>
      <c r="L341" s="19" t="s">
        <v>46</v>
      </c>
      <c r="M341" s="23" t="s">
        <v>40</v>
      </c>
      <c r="N341" s="21">
        <v>40005578</v>
      </c>
      <c r="O341" s="21" t="s">
        <v>754</v>
      </c>
      <c r="P341" s="21"/>
      <c r="Q341" s="23" t="s">
        <v>268</v>
      </c>
      <c r="R341" s="24"/>
      <c r="S341" s="26">
        <v>258669418</v>
      </c>
      <c r="T341" s="30">
        <v>195904175</v>
      </c>
      <c r="U341" s="30">
        <f>151370765-88605522</f>
        <v>62765243</v>
      </c>
      <c r="V341" s="285">
        <f t="shared" si="175"/>
        <v>49100923</v>
      </c>
      <c r="W341" s="29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>
        <v>49100923</v>
      </c>
      <c r="AI341" s="30">
        <f t="shared" si="176"/>
        <v>13664320</v>
      </c>
      <c r="AJ341" s="30">
        <f t="shared" si="184"/>
        <v>0</v>
      </c>
      <c r="AK341" s="796" t="s">
        <v>43</v>
      </c>
      <c r="AL341" s="796" t="s">
        <v>44</v>
      </c>
      <c r="AM341" s="796"/>
      <c r="AN341" s="799"/>
    </row>
    <row r="342" spans="1:40" s="33" customFormat="1" ht="25.5" hidden="1" customHeight="1" outlineLevel="2">
      <c r="A342" s="19"/>
      <c r="B342" s="19">
        <v>31</v>
      </c>
      <c r="C342" s="19"/>
      <c r="D342" s="19" t="s">
        <v>33</v>
      </c>
      <c r="E342" s="19" t="s">
        <v>34</v>
      </c>
      <c r="F342" s="19" t="s">
        <v>35</v>
      </c>
      <c r="G342" s="20" t="s">
        <v>36</v>
      </c>
      <c r="H342" s="21" t="s">
        <v>64</v>
      </c>
      <c r="I342" s="19" t="s">
        <v>173</v>
      </c>
      <c r="J342" s="19" t="s">
        <v>266</v>
      </c>
      <c r="K342" s="22">
        <v>17</v>
      </c>
      <c r="L342" s="19" t="s">
        <v>46</v>
      </c>
      <c r="M342" s="23" t="s">
        <v>40</v>
      </c>
      <c r="N342" s="21">
        <v>40001254</v>
      </c>
      <c r="O342" s="21" t="s">
        <v>754</v>
      </c>
      <c r="P342" s="21"/>
      <c r="Q342" s="23" t="s">
        <v>269</v>
      </c>
      <c r="R342" s="24"/>
      <c r="S342" s="26">
        <v>248242534</v>
      </c>
      <c r="T342" s="30">
        <v>228806813</v>
      </c>
      <c r="U342" s="30">
        <f>101163860-81728139</f>
        <v>19435721</v>
      </c>
      <c r="V342" s="285">
        <f t="shared" si="175"/>
        <v>0</v>
      </c>
      <c r="W342" s="29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>
        <v>0</v>
      </c>
      <c r="AI342" s="30">
        <f t="shared" si="176"/>
        <v>19435721</v>
      </c>
      <c r="AJ342" s="30">
        <f t="shared" si="184"/>
        <v>0</v>
      </c>
      <c r="AK342" s="796" t="s">
        <v>43</v>
      </c>
      <c r="AL342" s="796" t="s">
        <v>44</v>
      </c>
      <c r="AM342" s="796"/>
      <c r="AN342" s="799"/>
    </row>
    <row r="343" spans="1:40" s="33" customFormat="1" ht="25.5" hidden="1" customHeight="1" outlineLevel="2">
      <c r="A343" s="19"/>
      <c r="B343" s="19">
        <v>31</v>
      </c>
      <c r="C343" s="19"/>
      <c r="D343" s="19" t="s">
        <v>33</v>
      </c>
      <c r="E343" s="19" t="s">
        <v>34</v>
      </c>
      <c r="F343" s="19" t="s">
        <v>84</v>
      </c>
      <c r="G343" s="20" t="s">
        <v>49</v>
      </c>
      <c r="H343" s="21" t="s">
        <v>50</v>
      </c>
      <c r="I343" s="19" t="s">
        <v>173</v>
      </c>
      <c r="J343" s="19" t="s">
        <v>266</v>
      </c>
      <c r="K343" s="22">
        <v>17</v>
      </c>
      <c r="L343" s="19" t="s">
        <v>46</v>
      </c>
      <c r="M343" s="23" t="s">
        <v>40</v>
      </c>
      <c r="N343" s="21">
        <v>30066636</v>
      </c>
      <c r="O343" s="21" t="s">
        <v>754</v>
      </c>
      <c r="P343" s="21"/>
      <c r="Q343" s="23" t="s">
        <v>270</v>
      </c>
      <c r="R343" s="24"/>
      <c r="S343" s="26">
        <v>2826817000</v>
      </c>
      <c r="T343" s="30">
        <v>2256883403</v>
      </c>
      <c r="U343" s="30">
        <f>680019861-110086264</f>
        <v>569933597</v>
      </c>
      <c r="V343" s="285">
        <f t="shared" si="175"/>
        <v>0</v>
      </c>
      <c r="W343" s="29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>
        <v>0</v>
      </c>
      <c r="AI343" s="30">
        <f t="shared" si="176"/>
        <v>569933597</v>
      </c>
      <c r="AJ343" s="30">
        <f t="shared" si="184"/>
        <v>0</v>
      </c>
      <c r="AK343" s="796" t="s">
        <v>43</v>
      </c>
      <c r="AL343" s="796" t="s">
        <v>44</v>
      </c>
      <c r="AM343" s="796"/>
      <c r="AN343" s="799"/>
    </row>
    <row r="344" spans="1:40" s="33" customFormat="1" ht="25.5" hidden="1" customHeight="1" outlineLevel="2">
      <c r="A344" s="19"/>
      <c r="B344" s="19">
        <v>31</v>
      </c>
      <c r="C344" s="19"/>
      <c r="D344" s="19" t="s">
        <v>33</v>
      </c>
      <c r="E344" s="19" t="s">
        <v>34</v>
      </c>
      <c r="F344" s="19" t="s">
        <v>35</v>
      </c>
      <c r="G344" s="20" t="s">
        <v>36</v>
      </c>
      <c r="H344" s="21" t="s">
        <v>37</v>
      </c>
      <c r="I344" s="19" t="s">
        <v>173</v>
      </c>
      <c r="J344" s="19" t="s">
        <v>266</v>
      </c>
      <c r="K344" s="22">
        <v>17</v>
      </c>
      <c r="L344" s="19" t="s">
        <v>46</v>
      </c>
      <c r="M344" s="23" t="s">
        <v>40</v>
      </c>
      <c r="N344" s="21">
        <v>40005278</v>
      </c>
      <c r="O344" s="21" t="s">
        <v>684</v>
      </c>
      <c r="P344" s="21"/>
      <c r="Q344" s="23" t="s">
        <v>271</v>
      </c>
      <c r="R344" s="24"/>
      <c r="S344" s="26">
        <v>980817000</v>
      </c>
      <c r="T344" s="30">
        <v>610418300</v>
      </c>
      <c r="U344" s="30">
        <f>518230216-147831516</f>
        <v>370398700</v>
      </c>
      <c r="V344" s="285">
        <f t="shared" si="175"/>
        <v>205288253</v>
      </c>
      <c r="W344" s="29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>
        <v>205288253</v>
      </c>
      <c r="AI344" s="30">
        <f t="shared" si="176"/>
        <v>165110447</v>
      </c>
      <c r="AJ344" s="30">
        <f t="shared" si="184"/>
        <v>0</v>
      </c>
      <c r="AK344" s="796" t="s">
        <v>48</v>
      </c>
      <c r="AL344" s="796" t="s">
        <v>44</v>
      </c>
      <c r="AM344" s="796"/>
      <c r="AN344" s="799"/>
    </row>
    <row r="345" spans="1:40" s="33" customFormat="1" ht="25.5" hidden="1" customHeight="1" outlineLevel="2">
      <c r="A345" s="19"/>
      <c r="B345" s="19">
        <v>29</v>
      </c>
      <c r="C345" s="19"/>
      <c r="D345" s="19" t="s">
        <v>92</v>
      </c>
      <c r="E345" s="19" t="s">
        <v>34</v>
      </c>
      <c r="F345" s="19" t="s">
        <v>35</v>
      </c>
      <c r="G345" s="20" t="s">
        <v>49</v>
      </c>
      <c r="H345" s="21" t="s">
        <v>50</v>
      </c>
      <c r="I345" s="19" t="s">
        <v>173</v>
      </c>
      <c r="J345" s="19" t="s">
        <v>266</v>
      </c>
      <c r="K345" s="22">
        <v>17</v>
      </c>
      <c r="L345" s="19" t="s">
        <v>46</v>
      </c>
      <c r="M345" s="23" t="s">
        <v>40</v>
      </c>
      <c r="N345" s="21">
        <v>30436694</v>
      </c>
      <c r="O345" s="21" t="s">
        <v>684</v>
      </c>
      <c r="P345" s="21"/>
      <c r="Q345" s="23" t="s">
        <v>272</v>
      </c>
      <c r="R345" s="24"/>
      <c r="S345" s="26">
        <v>488214000</v>
      </c>
      <c r="T345" s="30">
        <v>80298900</v>
      </c>
      <c r="U345" s="30">
        <v>150000000</v>
      </c>
      <c r="V345" s="285">
        <f t="shared" si="175"/>
        <v>0</v>
      </c>
      <c r="W345" s="29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>
        <v>0</v>
      </c>
      <c r="AI345" s="30">
        <f t="shared" si="176"/>
        <v>150000000</v>
      </c>
      <c r="AJ345" s="30">
        <f t="shared" si="184"/>
        <v>257915100</v>
      </c>
      <c r="AK345" s="796" t="s">
        <v>48</v>
      </c>
      <c r="AL345" s="796" t="s">
        <v>44</v>
      </c>
      <c r="AM345" s="796"/>
      <c r="AN345" s="799"/>
    </row>
    <row r="346" spans="1:40" s="38" customFormat="1" ht="25.5" hidden="1" customHeight="1" outlineLevel="1">
      <c r="A346" s="35"/>
      <c r="B346" s="35"/>
      <c r="C346" s="35"/>
      <c r="D346" s="35"/>
      <c r="E346" s="35"/>
      <c r="F346" s="36"/>
      <c r="G346" s="36"/>
      <c r="H346" s="37"/>
      <c r="I346" s="36"/>
      <c r="J346" s="36"/>
      <c r="K346" s="36"/>
      <c r="L346" s="35"/>
      <c r="N346" s="39"/>
      <c r="O346" s="39"/>
      <c r="P346" s="39"/>
      <c r="Q346" s="132" t="s">
        <v>58</v>
      </c>
      <c r="R346" s="41"/>
      <c r="S346" s="133">
        <f t="shared" ref="S346:AJ346" si="185">SUBTOTAL(9,S340:S345)</f>
        <v>0</v>
      </c>
      <c r="T346" s="133">
        <f t="shared" ref="T346" si="186">SUBTOTAL(9,T340:T345)</f>
        <v>0</v>
      </c>
      <c r="U346" s="133">
        <f t="shared" si="185"/>
        <v>0</v>
      </c>
      <c r="V346" s="133">
        <f t="shared" si="185"/>
        <v>0</v>
      </c>
      <c r="W346" s="133">
        <f t="shared" si="185"/>
        <v>0</v>
      </c>
      <c r="X346" s="133">
        <f t="shared" si="185"/>
        <v>0</v>
      </c>
      <c r="Y346" s="133">
        <f t="shared" si="185"/>
        <v>0</v>
      </c>
      <c r="Z346" s="133">
        <f t="shared" si="185"/>
        <v>0</v>
      </c>
      <c r="AA346" s="133">
        <f t="shared" si="185"/>
        <v>0</v>
      </c>
      <c r="AB346" s="133">
        <f t="shared" si="185"/>
        <v>0</v>
      </c>
      <c r="AC346" s="133">
        <f t="shared" si="185"/>
        <v>0</v>
      </c>
      <c r="AD346" s="133">
        <f t="shared" si="185"/>
        <v>0</v>
      </c>
      <c r="AE346" s="133">
        <f t="shared" si="185"/>
        <v>0</v>
      </c>
      <c r="AF346" s="133">
        <f t="shared" si="185"/>
        <v>0</v>
      </c>
      <c r="AG346" s="133">
        <f t="shared" si="185"/>
        <v>0</v>
      </c>
      <c r="AH346" s="133">
        <v>254389176</v>
      </c>
      <c r="AI346" s="133">
        <f t="shared" si="185"/>
        <v>0</v>
      </c>
      <c r="AJ346" s="133">
        <f t="shared" si="185"/>
        <v>0</v>
      </c>
      <c r="AK346" s="796"/>
      <c r="AL346" s="796" t="s">
        <v>79</v>
      </c>
      <c r="AM346" s="796"/>
      <c r="AN346" s="799"/>
    </row>
    <row r="347" spans="1:40" s="18" customFormat="1" ht="25.5" hidden="1" customHeight="1" outlineLevel="1">
      <c r="A347" s="35"/>
      <c r="B347" s="35"/>
      <c r="C347" s="35"/>
      <c r="D347" s="35"/>
      <c r="E347" s="35"/>
      <c r="F347" s="36"/>
      <c r="G347" s="36"/>
      <c r="H347" s="37"/>
      <c r="I347" s="36"/>
      <c r="J347" s="36"/>
      <c r="K347" s="36"/>
      <c r="L347" s="35"/>
      <c r="M347" s="38"/>
      <c r="N347" s="39"/>
      <c r="O347" s="39"/>
      <c r="P347" s="39"/>
      <c r="Q347" s="46"/>
      <c r="R347" s="42"/>
      <c r="S347" s="47"/>
      <c r="T347" s="47"/>
      <c r="U347" s="47"/>
      <c r="V347" s="47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7"/>
      <c r="AJ347" s="47"/>
      <c r="AK347" s="796"/>
      <c r="AL347" s="796"/>
      <c r="AM347" s="796"/>
      <c r="AN347" s="799"/>
    </row>
    <row r="348" spans="1:40" s="33" customFormat="1" ht="25.5" hidden="1" customHeight="1" outlineLevel="2">
      <c r="A348" s="35"/>
      <c r="B348" s="35"/>
      <c r="C348" s="35"/>
      <c r="D348" s="35"/>
      <c r="E348" s="35"/>
      <c r="F348" s="36"/>
      <c r="G348" s="36"/>
      <c r="H348" s="37"/>
      <c r="I348" s="36"/>
      <c r="J348" s="36"/>
      <c r="K348" s="36"/>
      <c r="L348" s="35"/>
      <c r="M348" s="38"/>
      <c r="N348" s="39"/>
      <c r="O348" s="39"/>
      <c r="P348" s="39"/>
      <c r="Q348" s="17" t="s">
        <v>273</v>
      </c>
      <c r="R348" s="50"/>
      <c r="S348" s="51"/>
      <c r="T348" s="51"/>
      <c r="U348" s="52"/>
      <c r="V348" s="52"/>
      <c r="W348" s="52"/>
      <c r="X348" s="52"/>
      <c r="Y348" s="52"/>
      <c r="Z348" s="53"/>
      <c r="AA348" s="53"/>
      <c r="AB348" s="53"/>
      <c r="AC348" s="53"/>
      <c r="AD348" s="53"/>
      <c r="AE348" s="53"/>
      <c r="AF348" s="53"/>
      <c r="AG348" s="53"/>
      <c r="AH348" s="53"/>
      <c r="AI348" s="52"/>
      <c r="AJ348" s="52"/>
      <c r="AK348" s="796"/>
      <c r="AL348" s="796"/>
      <c r="AM348" s="796"/>
      <c r="AN348" s="799"/>
    </row>
    <row r="349" spans="1:40" s="33" customFormat="1" ht="25.5" hidden="1" customHeight="1" outlineLevel="2">
      <c r="A349" s="54"/>
      <c r="B349" s="54">
        <v>31</v>
      </c>
      <c r="C349" s="54"/>
      <c r="D349" s="54" t="s">
        <v>33</v>
      </c>
      <c r="E349" s="54" t="s">
        <v>60</v>
      </c>
      <c r="F349" s="54" t="s">
        <v>35</v>
      </c>
      <c r="G349" s="55" t="s">
        <v>49</v>
      </c>
      <c r="H349" s="56" t="s">
        <v>45</v>
      </c>
      <c r="I349" s="54" t="s">
        <v>173</v>
      </c>
      <c r="J349" s="54" t="s">
        <v>266</v>
      </c>
      <c r="K349" s="57">
        <v>17</v>
      </c>
      <c r="L349" s="54" t="s">
        <v>46</v>
      </c>
      <c r="M349" s="58" t="s">
        <v>40</v>
      </c>
      <c r="N349" s="56">
        <v>30204522</v>
      </c>
      <c r="O349" s="56" t="s">
        <v>754</v>
      </c>
      <c r="P349" s="56"/>
      <c r="Q349" s="58" t="s">
        <v>274</v>
      </c>
      <c r="R349" s="24"/>
      <c r="S349" s="59">
        <v>1237007000</v>
      </c>
      <c r="T349" s="60">
        <v>4375000</v>
      </c>
      <c r="U349" s="60">
        <f>450000000+110086264</f>
        <v>560086264</v>
      </c>
      <c r="V349" s="292">
        <f t="shared" si="175"/>
        <v>0</v>
      </c>
      <c r="W349" s="29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>
        <v>0</v>
      </c>
      <c r="AI349" s="60">
        <f t="shared" si="176"/>
        <v>560086264</v>
      </c>
      <c r="AJ349" s="60">
        <f>+S349-T349-V349-AI349</f>
        <v>672545736</v>
      </c>
      <c r="AK349" s="796" t="s">
        <v>43</v>
      </c>
      <c r="AL349" s="796" t="s">
        <v>162</v>
      </c>
      <c r="AM349" s="796"/>
      <c r="AN349" s="799"/>
    </row>
    <row r="350" spans="1:40" s="18" customFormat="1" ht="25.5" hidden="1" customHeight="1" outlineLevel="1">
      <c r="A350" s="54"/>
      <c r="B350" s="54">
        <v>31</v>
      </c>
      <c r="C350" s="54"/>
      <c r="D350" s="54" t="s">
        <v>33</v>
      </c>
      <c r="E350" s="54" t="s">
        <v>60</v>
      </c>
      <c r="F350" s="54" t="s">
        <v>35</v>
      </c>
      <c r="G350" s="55" t="s">
        <v>36</v>
      </c>
      <c r="H350" s="56" t="s">
        <v>64</v>
      </c>
      <c r="I350" s="54" t="s">
        <v>173</v>
      </c>
      <c r="J350" s="54" t="s">
        <v>266</v>
      </c>
      <c r="K350" s="57">
        <v>17</v>
      </c>
      <c r="L350" s="54" t="s">
        <v>46</v>
      </c>
      <c r="M350" s="58" t="s">
        <v>40</v>
      </c>
      <c r="N350" s="56">
        <v>40010719</v>
      </c>
      <c r="O350" s="56" t="s">
        <v>684</v>
      </c>
      <c r="P350" s="56"/>
      <c r="Q350" s="58" t="s">
        <v>275</v>
      </c>
      <c r="R350" s="24"/>
      <c r="S350" s="59">
        <v>246000000</v>
      </c>
      <c r="T350" s="60">
        <v>25043042</v>
      </c>
      <c r="U350" s="60">
        <v>100000000</v>
      </c>
      <c r="V350" s="292">
        <f t="shared" si="175"/>
        <v>65428415</v>
      </c>
      <c r="W350" s="29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>
        <v>65428415</v>
      </c>
      <c r="AI350" s="60">
        <f t="shared" si="176"/>
        <v>34571585</v>
      </c>
      <c r="AJ350" s="60">
        <f>+S350-T350-V350-AI350</f>
        <v>120956958</v>
      </c>
      <c r="AK350" s="796" t="s">
        <v>43</v>
      </c>
      <c r="AL350" s="796" t="s">
        <v>63</v>
      </c>
      <c r="AM350" s="796"/>
      <c r="AN350" s="799"/>
    </row>
    <row r="351" spans="1:40" s="38" customFormat="1" ht="25.5" hidden="1" customHeight="1" outlineLevel="1">
      <c r="A351" s="35"/>
      <c r="B351" s="35"/>
      <c r="C351" s="35"/>
      <c r="D351" s="35"/>
      <c r="E351" s="35"/>
      <c r="F351" s="36"/>
      <c r="G351" s="36"/>
      <c r="H351" s="37"/>
      <c r="I351" s="36"/>
      <c r="J351" s="36"/>
      <c r="K351" s="36"/>
      <c r="L351" s="35"/>
      <c r="N351" s="39"/>
      <c r="O351" s="39"/>
      <c r="P351" s="39"/>
      <c r="Q351" s="139" t="s">
        <v>67</v>
      </c>
      <c r="R351" s="64"/>
      <c r="S351" s="140">
        <f t="shared" ref="S351:AJ351" si="187">SUBTOTAL(9,S349:S350)</f>
        <v>0</v>
      </c>
      <c r="T351" s="140">
        <f t="shared" ref="T351" si="188">SUBTOTAL(9,T349:T350)</f>
        <v>0</v>
      </c>
      <c r="U351" s="140">
        <f t="shared" si="187"/>
        <v>0</v>
      </c>
      <c r="V351" s="140">
        <f t="shared" si="187"/>
        <v>0</v>
      </c>
      <c r="W351" s="140">
        <f t="shared" si="187"/>
        <v>0</v>
      </c>
      <c r="X351" s="140">
        <f t="shared" si="187"/>
        <v>0</v>
      </c>
      <c r="Y351" s="140">
        <f t="shared" si="187"/>
        <v>0</v>
      </c>
      <c r="Z351" s="140">
        <f t="shared" si="187"/>
        <v>0</v>
      </c>
      <c r="AA351" s="140">
        <f t="shared" si="187"/>
        <v>0</v>
      </c>
      <c r="AB351" s="140">
        <f t="shared" si="187"/>
        <v>0</v>
      </c>
      <c r="AC351" s="140">
        <f t="shared" si="187"/>
        <v>0</v>
      </c>
      <c r="AD351" s="140">
        <f t="shared" si="187"/>
        <v>0</v>
      </c>
      <c r="AE351" s="140">
        <f t="shared" si="187"/>
        <v>0</v>
      </c>
      <c r="AF351" s="140">
        <f t="shared" si="187"/>
        <v>0</v>
      </c>
      <c r="AG351" s="140">
        <f t="shared" si="187"/>
        <v>0</v>
      </c>
      <c r="AH351" s="140">
        <v>65428415</v>
      </c>
      <c r="AI351" s="140">
        <f t="shared" si="187"/>
        <v>0</v>
      </c>
      <c r="AJ351" s="140">
        <f t="shared" si="187"/>
        <v>0</v>
      </c>
      <c r="AK351" s="796"/>
      <c r="AL351" s="796"/>
      <c r="AM351" s="796"/>
      <c r="AN351" s="799"/>
    </row>
    <row r="352" spans="1:40" s="38" customFormat="1" ht="25.5" hidden="1" customHeight="1" outlineLevel="1">
      <c r="A352" s="35"/>
      <c r="B352" s="35"/>
      <c r="C352" s="35"/>
      <c r="D352" s="35"/>
      <c r="E352" s="35"/>
      <c r="F352" s="36"/>
      <c r="G352" s="36"/>
      <c r="H352" s="37"/>
      <c r="I352" s="36"/>
      <c r="J352" s="36"/>
      <c r="K352" s="36"/>
      <c r="L352" s="35"/>
      <c r="N352" s="39"/>
      <c r="O352" s="39"/>
      <c r="P352" s="39"/>
      <c r="Q352" s="46"/>
      <c r="R352" s="42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796"/>
      <c r="AL352" s="796"/>
      <c r="AM352" s="796"/>
      <c r="AN352" s="799"/>
    </row>
    <row r="353" spans="1:42" s="18" customFormat="1" ht="25.5" hidden="1" customHeight="1" outlineLevel="1">
      <c r="A353" s="35"/>
      <c r="B353" s="35"/>
      <c r="C353" s="35"/>
      <c r="D353" s="35"/>
      <c r="E353" s="35"/>
      <c r="F353" s="36"/>
      <c r="G353" s="36"/>
      <c r="H353" s="37"/>
      <c r="I353" s="36"/>
      <c r="J353" s="36"/>
      <c r="K353" s="36"/>
      <c r="L353" s="35"/>
      <c r="M353" s="38"/>
      <c r="N353" s="39"/>
      <c r="O353" s="39"/>
      <c r="P353" s="39"/>
      <c r="Q353" s="17" t="s">
        <v>68</v>
      </c>
      <c r="R353" s="42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796"/>
      <c r="AL353" s="796"/>
      <c r="AM353" s="796"/>
      <c r="AN353" s="799"/>
    </row>
    <row r="354" spans="1:42" s="38" customFormat="1" ht="25.5" customHeight="1" outlineLevel="1">
      <c r="A354" s="66"/>
      <c r="B354" s="801">
        <v>31</v>
      </c>
      <c r="C354" s="730"/>
      <c r="D354" s="66" t="s">
        <v>33</v>
      </c>
      <c r="E354" s="801" t="s">
        <v>69</v>
      </c>
      <c r="F354" s="730" t="s">
        <v>35</v>
      </c>
      <c r="G354" s="66" t="s">
        <v>49</v>
      </c>
      <c r="H354" s="68" t="s">
        <v>64</v>
      </c>
      <c r="I354" s="801" t="s">
        <v>173</v>
      </c>
      <c r="J354" s="801" t="s">
        <v>266</v>
      </c>
      <c r="K354" s="730">
        <v>17</v>
      </c>
      <c r="L354" s="66" t="s">
        <v>46</v>
      </c>
      <c r="M354" s="802" t="s">
        <v>40</v>
      </c>
      <c r="N354" s="803">
        <v>40015147</v>
      </c>
      <c r="O354" s="771"/>
      <c r="P354" s="68"/>
      <c r="Q354" s="802" t="s">
        <v>276</v>
      </c>
      <c r="R354" s="24"/>
      <c r="S354" s="804">
        <v>818000000</v>
      </c>
      <c r="T354" s="805">
        <v>0</v>
      </c>
      <c r="U354" s="805">
        <f>20000000+92657175+88605522+147831516</f>
        <v>349094213</v>
      </c>
      <c r="V354" s="805">
        <f t="shared" si="175"/>
        <v>0</v>
      </c>
      <c r="W354" s="29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>
        <v>0</v>
      </c>
      <c r="AI354" s="805">
        <f t="shared" si="176"/>
        <v>349094213</v>
      </c>
      <c r="AJ354" s="805">
        <f>+S354-T354-V354-AI354</f>
        <v>468905787</v>
      </c>
      <c r="AK354" s="806" t="s">
        <v>48</v>
      </c>
      <c r="AL354" s="806" t="s">
        <v>771</v>
      </c>
      <c r="AM354" s="806"/>
      <c r="AN354" s="807"/>
      <c r="AO354" s="33" t="e">
        <f>VLOOKUP(N354,'CONVENIOS 2021'!A$1:A$53,1,FALSE)</f>
        <v>#N/A</v>
      </c>
      <c r="AP354" s="33" t="e">
        <f>VLOOKUP(N354,'CONVENIOS 2020'!A$2:A$72,1,FALSE)</f>
        <v>#N/A</v>
      </c>
    </row>
    <row r="355" spans="1:42" s="38" customFormat="1" ht="25.5" hidden="1" customHeight="1" outlineLevel="1">
      <c r="A355" s="66"/>
      <c r="B355" s="180">
        <v>22</v>
      </c>
      <c r="C355" s="730"/>
      <c r="D355" s="66" t="s">
        <v>192</v>
      </c>
      <c r="E355" s="180" t="s">
        <v>69</v>
      </c>
      <c r="F355" s="730"/>
      <c r="G355" s="66"/>
      <c r="H355" s="68" t="s">
        <v>37</v>
      </c>
      <c r="I355" s="180" t="s">
        <v>173</v>
      </c>
      <c r="J355" s="180" t="s">
        <v>266</v>
      </c>
      <c r="K355" s="66">
        <v>17</v>
      </c>
      <c r="L355" s="66" t="s">
        <v>46</v>
      </c>
      <c r="M355" s="184" t="s">
        <v>40</v>
      </c>
      <c r="N355" s="182">
        <v>40023990</v>
      </c>
      <c r="O355" s="68"/>
      <c r="P355" s="68"/>
      <c r="Q355" s="232" t="s">
        <v>277</v>
      </c>
      <c r="R355" s="24"/>
      <c r="S355" s="188">
        <v>200000000</v>
      </c>
      <c r="T355" s="189">
        <v>0</v>
      </c>
      <c r="U355" s="189">
        <v>25000000</v>
      </c>
      <c r="V355" s="300">
        <f t="shared" si="175"/>
        <v>0</v>
      </c>
      <c r="W355" s="29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>
        <v>0</v>
      </c>
      <c r="AI355" s="189">
        <f t="shared" si="176"/>
        <v>25000000</v>
      </c>
      <c r="AJ355" s="189">
        <f>+S355-T355-V355-AI355</f>
        <v>175000000</v>
      </c>
      <c r="AK355" s="796" t="s">
        <v>48</v>
      </c>
      <c r="AL355" s="796" t="s">
        <v>773</v>
      </c>
      <c r="AM355" s="796"/>
      <c r="AN355" s="799"/>
      <c r="AO355" s="33" t="e">
        <f>VLOOKUP(N355,'CONVENIOS 2021'!A$1:A$53,1,FALSE)</f>
        <v>#N/A</v>
      </c>
      <c r="AP355" s="33">
        <f>VLOOKUP(N355,'CONVENIOS 2020'!A$2:A$72,1,FALSE)</f>
        <v>40023990</v>
      </c>
    </row>
    <row r="356" spans="1:42" s="38" customFormat="1" ht="25.5" hidden="1" customHeight="1" outlineLevel="1">
      <c r="A356" s="66"/>
      <c r="B356" s="66">
        <v>31</v>
      </c>
      <c r="C356" s="730"/>
      <c r="D356" s="66" t="s">
        <v>33</v>
      </c>
      <c r="E356" s="66" t="s">
        <v>69</v>
      </c>
      <c r="F356" s="730"/>
      <c r="G356" s="66"/>
      <c r="H356" s="68" t="s">
        <v>64</v>
      </c>
      <c r="I356" s="66" t="s">
        <v>173</v>
      </c>
      <c r="J356" s="66" t="s">
        <v>266</v>
      </c>
      <c r="K356" s="66">
        <v>17</v>
      </c>
      <c r="L356" s="66" t="s">
        <v>46</v>
      </c>
      <c r="M356" s="70" t="s">
        <v>40</v>
      </c>
      <c r="N356" s="68">
        <v>30485331</v>
      </c>
      <c r="O356" s="68"/>
      <c r="P356" s="68"/>
      <c r="Q356" s="742" t="s">
        <v>278</v>
      </c>
      <c r="R356" s="24"/>
      <c r="S356" s="71">
        <v>706257000</v>
      </c>
      <c r="T356" s="72">
        <v>0</v>
      </c>
      <c r="U356" s="72">
        <v>100000000</v>
      </c>
      <c r="V356" s="297">
        <f t="shared" si="175"/>
        <v>0</v>
      </c>
      <c r="W356" s="29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>
        <v>0</v>
      </c>
      <c r="AI356" s="72">
        <f t="shared" si="176"/>
        <v>100000000</v>
      </c>
      <c r="AJ356" s="72">
        <f>+S356-T356-V356-AI356</f>
        <v>606257000</v>
      </c>
      <c r="AK356" s="796" t="s">
        <v>43</v>
      </c>
      <c r="AL356" s="796" t="s">
        <v>66</v>
      </c>
      <c r="AM356" s="796"/>
      <c r="AN356" s="799"/>
      <c r="AO356" s="33">
        <f>VLOOKUP(N356,'CONVENIOS 2021'!A$1:A$53,1,FALSE)</f>
        <v>30485331</v>
      </c>
    </row>
    <row r="357" spans="1:42" s="18" customFormat="1" ht="25.5" hidden="1" customHeight="1" outlineLevel="1">
      <c r="A357" s="66"/>
      <c r="B357" s="66">
        <v>33</v>
      </c>
      <c r="C357" s="66"/>
      <c r="D357" s="66" t="s">
        <v>76</v>
      </c>
      <c r="E357" s="66" t="s">
        <v>69</v>
      </c>
      <c r="F357" s="66" t="s">
        <v>35</v>
      </c>
      <c r="G357" s="66" t="s">
        <v>49</v>
      </c>
      <c r="H357" s="68" t="s">
        <v>61</v>
      </c>
      <c r="I357" s="66" t="s">
        <v>173</v>
      </c>
      <c r="J357" s="66" t="s">
        <v>266</v>
      </c>
      <c r="K357" s="66">
        <v>17</v>
      </c>
      <c r="L357" s="66" t="s">
        <v>76</v>
      </c>
      <c r="M357" s="70" t="s">
        <v>40</v>
      </c>
      <c r="N357" s="68" t="s">
        <v>76</v>
      </c>
      <c r="O357" s="68"/>
      <c r="P357" s="68"/>
      <c r="Q357" s="70" t="s">
        <v>77</v>
      </c>
      <c r="R357" s="25"/>
      <c r="S357" s="71">
        <v>200000000</v>
      </c>
      <c r="T357" s="72">
        <v>0</v>
      </c>
      <c r="U357" s="72">
        <v>200000000</v>
      </c>
      <c r="V357" s="297">
        <f t="shared" si="175"/>
        <v>0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72"/>
      <c r="AI357" s="72">
        <f t="shared" si="176"/>
        <v>200000000</v>
      </c>
      <c r="AJ357" s="72">
        <f>+S357-T357-V357-AI357</f>
        <v>0</v>
      </c>
      <c r="AK357" s="796" t="s">
        <v>78</v>
      </c>
      <c r="AL357" s="796"/>
      <c r="AM357" s="796"/>
      <c r="AN357" s="799"/>
    </row>
    <row r="358" spans="1:42" s="38" customFormat="1" ht="25.5" hidden="1" customHeight="1" outlineLevel="1">
      <c r="A358" s="35"/>
      <c r="B358" s="35"/>
      <c r="C358" s="35"/>
      <c r="D358" s="35"/>
      <c r="E358" s="35"/>
      <c r="F358" s="36"/>
      <c r="G358" s="36"/>
      <c r="H358" s="37"/>
      <c r="I358" s="36"/>
      <c r="J358" s="36"/>
      <c r="K358" s="36"/>
      <c r="L358" s="35"/>
      <c r="N358" s="39"/>
      <c r="O358" s="39"/>
      <c r="P358" s="39"/>
      <c r="Q358" s="134" t="s">
        <v>80</v>
      </c>
      <c r="R358" s="42"/>
      <c r="S358" s="110">
        <f t="shared" ref="S358:U358" si="189">SUBTOTAL(9,S354:S357)</f>
        <v>818000000</v>
      </c>
      <c r="T358" s="110">
        <f t="shared" ref="T358" si="190">SUBTOTAL(9,T354:T357)</f>
        <v>0</v>
      </c>
      <c r="U358" s="110">
        <f t="shared" si="189"/>
        <v>349094213</v>
      </c>
      <c r="V358" s="110">
        <f t="shared" ref="V358:AJ358" si="191">SUBTOTAL(9,V354:V357)</f>
        <v>0</v>
      </c>
      <c r="W358" s="110">
        <f t="shared" si="191"/>
        <v>0</v>
      </c>
      <c r="X358" s="110">
        <f t="shared" si="191"/>
        <v>0</v>
      </c>
      <c r="Y358" s="110">
        <f t="shared" si="191"/>
        <v>0</v>
      </c>
      <c r="Z358" s="110">
        <f t="shared" si="191"/>
        <v>0</v>
      </c>
      <c r="AA358" s="110">
        <f t="shared" si="191"/>
        <v>0</v>
      </c>
      <c r="AB358" s="110">
        <f t="shared" si="191"/>
        <v>0</v>
      </c>
      <c r="AC358" s="110">
        <f t="shared" si="191"/>
        <v>0</v>
      </c>
      <c r="AD358" s="110">
        <f t="shared" si="191"/>
        <v>0</v>
      </c>
      <c r="AE358" s="110">
        <f t="shared" si="191"/>
        <v>0</v>
      </c>
      <c r="AF358" s="110">
        <f t="shared" si="191"/>
        <v>0</v>
      </c>
      <c r="AG358" s="110">
        <f t="shared" si="191"/>
        <v>0</v>
      </c>
      <c r="AH358" s="110">
        <v>0</v>
      </c>
      <c r="AI358" s="110">
        <f t="shared" si="191"/>
        <v>349094213</v>
      </c>
      <c r="AJ358" s="110">
        <f t="shared" si="191"/>
        <v>468905787</v>
      </c>
      <c r="AK358" s="796"/>
      <c r="AL358" s="796"/>
      <c r="AM358" s="796"/>
      <c r="AN358" s="799"/>
    </row>
    <row r="359" spans="1:42" s="90" customFormat="1" ht="24.75" hidden="1" customHeight="1" outlineLevel="1">
      <c r="A359" s="35"/>
      <c r="B359" s="35"/>
      <c r="C359" s="35"/>
      <c r="D359" s="35"/>
      <c r="E359" s="35"/>
      <c r="F359" s="36"/>
      <c r="G359" s="36"/>
      <c r="H359" s="37"/>
      <c r="I359" s="36"/>
      <c r="J359" s="36"/>
      <c r="K359" s="36"/>
      <c r="L359" s="35"/>
      <c r="M359" s="38"/>
      <c r="N359" s="39"/>
      <c r="O359" s="39"/>
      <c r="P359" s="39"/>
      <c r="Q359" s="46"/>
      <c r="R359" s="42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796"/>
      <c r="AL359" s="796"/>
      <c r="AM359" s="796"/>
      <c r="AN359" s="799"/>
    </row>
    <row r="360" spans="1:42" s="84" customFormat="1" ht="24.75" hidden="1" customHeight="1" outlineLevel="1">
      <c r="A360" s="36"/>
      <c r="B360" s="82"/>
      <c r="C360" s="82"/>
      <c r="D360" s="36"/>
      <c r="E360" s="36"/>
      <c r="F360" s="36"/>
      <c r="G360" s="36"/>
      <c r="H360" s="37"/>
      <c r="I360" s="36"/>
      <c r="J360" s="36"/>
      <c r="K360" s="36"/>
      <c r="L360" s="82"/>
      <c r="N360" s="83"/>
      <c r="O360" s="39"/>
      <c r="P360" s="39"/>
      <c r="Q360" s="85" t="s">
        <v>279</v>
      </c>
      <c r="R360" s="111"/>
      <c r="S360" s="88">
        <f t="shared" ref="S360:U360" si="192">S346+S351+S358</f>
        <v>818000000</v>
      </c>
      <c r="T360" s="88">
        <f t="shared" ref="T360" si="193">T346+T351+T358</f>
        <v>0</v>
      </c>
      <c r="U360" s="88">
        <f t="shared" si="192"/>
        <v>349094213</v>
      </c>
      <c r="V360" s="88">
        <f t="shared" ref="V360:AJ360" si="194">V346+V351+V358</f>
        <v>0</v>
      </c>
      <c r="W360" s="88">
        <f t="shared" si="194"/>
        <v>0</v>
      </c>
      <c r="X360" s="88">
        <f t="shared" si="194"/>
        <v>0</v>
      </c>
      <c r="Y360" s="88">
        <f t="shared" si="194"/>
        <v>0</v>
      </c>
      <c r="Z360" s="88">
        <f t="shared" si="194"/>
        <v>0</v>
      </c>
      <c r="AA360" s="88">
        <f t="shared" si="194"/>
        <v>0</v>
      </c>
      <c r="AB360" s="88">
        <f t="shared" si="194"/>
        <v>0</v>
      </c>
      <c r="AC360" s="88">
        <f t="shared" si="194"/>
        <v>0</v>
      </c>
      <c r="AD360" s="88">
        <f t="shared" si="194"/>
        <v>0</v>
      </c>
      <c r="AE360" s="88">
        <f t="shared" si="194"/>
        <v>0</v>
      </c>
      <c r="AF360" s="88">
        <f t="shared" si="194"/>
        <v>0</v>
      </c>
      <c r="AG360" s="88">
        <f t="shared" si="194"/>
        <v>0</v>
      </c>
      <c r="AH360" s="88">
        <v>319817591</v>
      </c>
      <c r="AI360" s="88">
        <f t="shared" si="194"/>
        <v>349094213</v>
      </c>
      <c r="AJ360" s="88">
        <f t="shared" si="194"/>
        <v>468905787</v>
      </c>
      <c r="AK360" s="796"/>
      <c r="AL360" s="796"/>
      <c r="AM360" s="796"/>
      <c r="AN360" s="799"/>
    </row>
    <row r="361" spans="1:42" s="84" customFormat="1" ht="24.75" hidden="1" customHeight="1" outlineLevel="1">
      <c r="A361" s="36"/>
      <c r="B361" s="82"/>
      <c r="C361" s="82"/>
      <c r="D361" s="36"/>
      <c r="E361" s="36"/>
      <c r="F361" s="36"/>
      <c r="G361" s="36"/>
      <c r="H361" s="37"/>
      <c r="I361" s="36"/>
      <c r="J361" s="36"/>
      <c r="K361" s="36"/>
      <c r="L361" s="82"/>
      <c r="N361" s="83"/>
      <c r="O361" s="39"/>
      <c r="P361" s="39"/>
      <c r="Q361" s="91"/>
      <c r="R361" s="87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796"/>
      <c r="AL361" s="796"/>
      <c r="AM361" s="796"/>
      <c r="AN361" s="799"/>
    </row>
    <row r="362" spans="1:42" s="84" customFormat="1" ht="24.75" hidden="1" customHeight="1" outlineLevel="1">
      <c r="A362" s="36"/>
      <c r="B362" s="82"/>
      <c r="C362" s="82"/>
      <c r="D362" s="36"/>
      <c r="E362" s="36"/>
      <c r="F362" s="36"/>
      <c r="G362" s="36"/>
      <c r="H362" s="37"/>
      <c r="I362" s="36"/>
      <c r="J362" s="36"/>
      <c r="K362" s="36"/>
      <c r="L362" s="82"/>
      <c r="N362" s="83"/>
      <c r="O362" s="39"/>
      <c r="P362" s="39"/>
      <c r="Q362" s="596"/>
      <c r="R362" s="87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796"/>
      <c r="AL362" s="796"/>
      <c r="AM362" s="796"/>
      <c r="AN362" s="799"/>
    </row>
    <row r="363" spans="1:42" s="18" customFormat="1" ht="25.5" hidden="1" customHeight="1" outlineLevel="1">
      <c r="A363" s="36"/>
      <c r="B363" s="36"/>
      <c r="C363" s="36"/>
      <c r="D363" s="36"/>
      <c r="E363" s="36"/>
      <c r="F363" s="36"/>
      <c r="G363" s="36"/>
      <c r="H363" s="37"/>
      <c r="I363" s="36"/>
      <c r="J363" s="36"/>
      <c r="K363" s="36"/>
      <c r="L363" s="36"/>
      <c r="M363" s="95"/>
      <c r="N363" s="37"/>
      <c r="O363" s="39"/>
      <c r="P363" s="39"/>
      <c r="Q363" s="136" t="s">
        <v>150</v>
      </c>
      <c r="R363" s="50"/>
      <c r="S363" s="97"/>
      <c r="T363" s="97"/>
      <c r="U363" s="53"/>
      <c r="V363" s="53">
        <f t="shared" si="175"/>
        <v>0</v>
      </c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>
        <f t="shared" si="176"/>
        <v>0</v>
      </c>
      <c r="AJ363" s="53">
        <f>+S363-T363-V363-AI363</f>
        <v>0</v>
      </c>
      <c r="AK363" s="796"/>
      <c r="AL363" s="796"/>
      <c r="AM363" s="796"/>
      <c r="AN363" s="799"/>
    </row>
    <row r="364" spans="1:42" s="33" customFormat="1" ht="25.5" hidden="1" customHeight="1" outlineLevel="2">
      <c r="A364" s="35"/>
      <c r="B364" s="35"/>
      <c r="C364" s="35"/>
      <c r="D364" s="35"/>
      <c r="E364" s="35"/>
      <c r="F364" s="36"/>
      <c r="G364" s="36"/>
      <c r="H364" s="37"/>
      <c r="I364" s="36"/>
      <c r="J364" s="36"/>
      <c r="K364" s="36"/>
      <c r="L364" s="35"/>
      <c r="M364" s="38"/>
      <c r="N364" s="39"/>
      <c r="O364" s="39"/>
      <c r="P364" s="39"/>
      <c r="Q364" s="17" t="s">
        <v>32</v>
      </c>
      <c r="R364" s="50"/>
      <c r="S364" s="51"/>
      <c r="T364" s="51"/>
      <c r="U364" s="52"/>
      <c r="V364" s="52"/>
      <c r="W364" s="52"/>
      <c r="X364" s="52"/>
      <c r="Y364" s="52"/>
      <c r="Z364" s="53"/>
      <c r="AA364" s="53"/>
      <c r="AB364" s="53"/>
      <c r="AC364" s="53"/>
      <c r="AD364" s="53"/>
      <c r="AE364" s="53"/>
      <c r="AF364" s="53"/>
      <c r="AG364" s="53"/>
      <c r="AH364" s="53"/>
      <c r="AI364" s="52"/>
      <c r="AJ364" s="52"/>
      <c r="AK364" s="796"/>
      <c r="AL364" s="796"/>
      <c r="AM364" s="796"/>
      <c r="AN364" s="799"/>
    </row>
    <row r="365" spans="1:42" s="33" customFormat="1" ht="25.5" hidden="1" customHeight="1" outlineLevel="2">
      <c r="A365" s="19" t="s">
        <v>280</v>
      </c>
      <c r="B365" s="19">
        <v>31</v>
      </c>
      <c r="C365" s="19"/>
      <c r="D365" s="19" t="s">
        <v>33</v>
      </c>
      <c r="E365" s="19" t="s">
        <v>34</v>
      </c>
      <c r="F365" s="19" t="s">
        <v>84</v>
      </c>
      <c r="G365" s="20" t="s">
        <v>36</v>
      </c>
      <c r="H365" s="21" t="s">
        <v>37</v>
      </c>
      <c r="I365" s="19" t="s">
        <v>173</v>
      </c>
      <c r="J365" s="19" t="s">
        <v>281</v>
      </c>
      <c r="K365" s="22">
        <v>18</v>
      </c>
      <c r="L365" s="19" t="s">
        <v>280</v>
      </c>
      <c r="M365" s="169" t="s">
        <v>40</v>
      </c>
      <c r="N365" s="21">
        <v>30342773</v>
      </c>
      <c r="O365" s="21" t="s">
        <v>684</v>
      </c>
      <c r="P365" s="21" t="s">
        <v>752</v>
      </c>
      <c r="Q365" s="23" t="s">
        <v>282</v>
      </c>
      <c r="R365" s="24"/>
      <c r="S365" s="26">
        <v>7077521000</v>
      </c>
      <c r="T365" s="30">
        <v>6727964072</v>
      </c>
      <c r="U365" s="30">
        <f>1320000000-970443072</f>
        <v>349556928</v>
      </c>
      <c r="V365" s="285">
        <f t="shared" si="175"/>
        <v>24543910</v>
      </c>
      <c r="W365" s="29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>
        <v>24543910</v>
      </c>
      <c r="AI365" s="30">
        <f t="shared" si="176"/>
        <v>325013018</v>
      </c>
      <c r="AJ365" s="30">
        <f>+S365-T365-V365-AI365</f>
        <v>0</v>
      </c>
      <c r="AK365" s="796" t="s">
        <v>43</v>
      </c>
      <c r="AL365" s="796" t="s">
        <v>138</v>
      </c>
      <c r="AM365" s="796"/>
      <c r="AN365" s="799"/>
    </row>
    <row r="366" spans="1:42" s="33" customFormat="1" ht="25.5" hidden="1" customHeight="1" outlineLevel="2">
      <c r="A366" s="19" t="s">
        <v>133</v>
      </c>
      <c r="B366" s="19">
        <v>31</v>
      </c>
      <c r="C366" s="19"/>
      <c r="D366" s="19" t="s">
        <v>33</v>
      </c>
      <c r="E366" s="19" t="s">
        <v>34</v>
      </c>
      <c r="F366" s="19" t="s">
        <v>84</v>
      </c>
      <c r="G366" s="20" t="s">
        <v>49</v>
      </c>
      <c r="H366" s="21" t="s">
        <v>85</v>
      </c>
      <c r="I366" s="19" t="s">
        <v>173</v>
      </c>
      <c r="J366" s="19" t="s">
        <v>281</v>
      </c>
      <c r="K366" s="22">
        <v>18</v>
      </c>
      <c r="L366" s="19" t="s">
        <v>46</v>
      </c>
      <c r="M366" s="23" t="s">
        <v>40</v>
      </c>
      <c r="N366" s="21">
        <v>30380331</v>
      </c>
      <c r="O366" s="21" t="s">
        <v>754</v>
      </c>
      <c r="P366" s="21"/>
      <c r="Q366" s="23" t="s">
        <v>283</v>
      </c>
      <c r="R366" s="24"/>
      <c r="S366" s="26">
        <v>1947580000</v>
      </c>
      <c r="T366" s="30">
        <v>177066265</v>
      </c>
      <c r="U366" s="30">
        <v>625000000</v>
      </c>
      <c r="V366" s="285">
        <f t="shared" si="175"/>
        <v>0</v>
      </c>
      <c r="W366" s="29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>
        <v>0</v>
      </c>
      <c r="AI366" s="30">
        <f t="shared" si="176"/>
        <v>625000000</v>
      </c>
      <c r="AJ366" s="30">
        <f>+S366-T366-V366-AI366</f>
        <v>1145513735</v>
      </c>
      <c r="AK366" s="796" t="s">
        <v>43</v>
      </c>
      <c r="AL366" s="796" t="s">
        <v>44</v>
      </c>
      <c r="AM366" s="796"/>
      <c r="AN366" s="799"/>
    </row>
    <row r="367" spans="1:42" s="18" customFormat="1" ht="25.5" hidden="1" customHeight="1" outlineLevel="1">
      <c r="A367" s="19"/>
      <c r="B367" s="19">
        <v>31</v>
      </c>
      <c r="C367" s="19"/>
      <c r="D367" s="19" t="s">
        <v>33</v>
      </c>
      <c r="E367" s="19" t="s">
        <v>34</v>
      </c>
      <c r="F367" s="19" t="s">
        <v>84</v>
      </c>
      <c r="G367" s="20" t="s">
        <v>36</v>
      </c>
      <c r="H367" s="21" t="s">
        <v>37</v>
      </c>
      <c r="I367" s="19" t="s">
        <v>173</v>
      </c>
      <c r="J367" s="19" t="s">
        <v>281</v>
      </c>
      <c r="K367" s="22">
        <v>18</v>
      </c>
      <c r="L367" s="19" t="s">
        <v>46</v>
      </c>
      <c r="M367" s="23" t="s">
        <v>40</v>
      </c>
      <c r="N367" s="21">
        <v>30133755</v>
      </c>
      <c r="O367" s="21" t="s">
        <v>685</v>
      </c>
      <c r="P367" s="21" t="s">
        <v>752</v>
      </c>
      <c r="Q367" s="23" t="s">
        <v>284</v>
      </c>
      <c r="R367" s="24"/>
      <c r="S367" s="26">
        <v>9774474000</v>
      </c>
      <c r="T367" s="30">
        <v>7927334204</v>
      </c>
      <c r="U367" s="30">
        <v>1000000000</v>
      </c>
      <c r="V367" s="285">
        <f t="shared" si="175"/>
        <v>330005802</v>
      </c>
      <c r="W367" s="29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>
        <v>330005802</v>
      </c>
      <c r="AI367" s="30">
        <f t="shared" si="176"/>
        <v>669994198</v>
      </c>
      <c r="AJ367" s="30">
        <f>+S367-T367-V367-AI367</f>
        <v>847139796</v>
      </c>
      <c r="AK367" s="796" t="s">
        <v>48</v>
      </c>
      <c r="AL367" s="796" t="s">
        <v>44</v>
      </c>
      <c r="AM367" s="796"/>
      <c r="AN367" s="799"/>
    </row>
    <row r="368" spans="1:42" s="38" customFormat="1" ht="25.5" hidden="1" customHeight="1" outlineLevel="1">
      <c r="A368" s="35"/>
      <c r="B368" s="35"/>
      <c r="C368" s="35"/>
      <c r="D368" s="35"/>
      <c r="E368" s="35"/>
      <c r="F368" s="36"/>
      <c r="G368" s="36"/>
      <c r="H368" s="37"/>
      <c r="I368" s="36"/>
      <c r="J368" s="36"/>
      <c r="K368" s="36"/>
      <c r="L368" s="35"/>
      <c r="N368" s="39"/>
      <c r="O368" s="39"/>
      <c r="P368" s="39"/>
      <c r="Q368" s="132" t="s">
        <v>58</v>
      </c>
      <c r="R368" s="41"/>
      <c r="S368" s="133">
        <f t="shared" ref="S368:AJ368" si="195">SUBTOTAL(9,S365:S367)</f>
        <v>0</v>
      </c>
      <c r="T368" s="133">
        <f t="shared" ref="T368" si="196">SUBTOTAL(9,T365:T367)</f>
        <v>0</v>
      </c>
      <c r="U368" s="133">
        <f t="shared" si="195"/>
        <v>0</v>
      </c>
      <c r="V368" s="133">
        <f t="shared" si="195"/>
        <v>0</v>
      </c>
      <c r="W368" s="133">
        <f t="shared" si="195"/>
        <v>0</v>
      </c>
      <c r="X368" s="133">
        <f t="shared" si="195"/>
        <v>0</v>
      </c>
      <c r="Y368" s="133">
        <f t="shared" si="195"/>
        <v>0</v>
      </c>
      <c r="Z368" s="133">
        <f t="shared" si="195"/>
        <v>0</v>
      </c>
      <c r="AA368" s="133">
        <f t="shared" si="195"/>
        <v>0</v>
      </c>
      <c r="AB368" s="133">
        <f t="shared" si="195"/>
        <v>0</v>
      </c>
      <c r="AC368" s="133">
        <f t="shared" si="195"/>
        <v>0</v>
      </c>
      <c r="AD368" s="133">
        <f t="shared" si="195"/>
        <v>0</v>
      </c>
      <c r="AE368" s="133">
        <f t="shared" si="195"/>
        <v>0</v>
      </c>
      <c r="AF368" s="133">
        <f t="shared" si="195"/>
        <v>0</v>
      </c>
      <c r="AG368" s="133">
        <f t="shared" si="195"/>
        <v>0</v>
      </c>
      <c r="AH368" s="133">
        <v>354549712</v>
      </c>
      <c r="AI368" s="133">
        <f t="shared" si="195"/>
        <v>0</v>
      </c>
      <c r="AJ368" s="133">
        <f t="shared" si="195"/>
        <v>0</v>
      </c>
      <c r="AK368" s="796"/>
      <c r="AL368" s="796"/>
      <c r="AM368" s="796"/>
      <c r="AN368" s="799"/>
    </row>
    <row r="369" spans="1:42" s="18" customFormat="1" ht="25.5" hidden="1" customHeight="1" outlineLevel="1">
      <c r="A369" s="35"/>
      <c r="B369" s="35"/>
      <c r="C369" s="35"/>
      <c r="D369" s="35"/>
      <c r="E369" s="35"/>
      <c r="F369" s="36"/>
      <c r="G369" s="36"/>
      <c r="H369" s="37"/>
      <c r="I369" s="36"/>
      <c r="J369" s="36"/>
      <c r="K369" s="36"/>
      <c r="L369" s="35"/>
      <c r="M369" s="38"/>
      <c r="N369" s="39"/>
      <c r="O369" s="39"/>
      <c r="P369" s="39"/>
      <c r="Q369" s="46"/>
      <c r="R369" s="42"/>
      <c r="S369" s="47"/>
      <c r="T369" s="47"/>
      <c r="U369" s="47"/>
      <c r="V369" s="47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7"/>
      <c r="AJ369" s="47"/>
      <c r="AK369" s="796"/>
      <c r="AL369" s="796"/>
      <c r="AM369" s="796"/>
      <c r="AN369" s="799"/>
    </row>
    <row r="370" spans="1:42" s="33" customFormat="1" ht="25.5" hidden="1" customHeight="1" outlineLevel="2">
      <c r="A370" s="35"/>
      <c r="B370" s="35"/>
      <c r="C370" s="35"/>
      <c r="D370" s="35"/>
      <c r="E370" s="35"/>
      <c r="F370" s="36"/>
      <c r="G370" s="36"/>
      <c r="H370" s="37"/>
      <c r="I370" s="36"/>
      <c r="J370" s="36"/>
      <c r="K370" s="36"/>
      <c r="L370" s="35"/>
      <c r="M370" s="38"/>
      <c r="N370" s="39"/>
      <c r="O370" s="39"/>
      <c r="P370" s="39"/>
      <c r="Q370" s="17" t="s">
        <v>59</v>
      </c>
      <c r="R370" s="50"/>
      <c r="S370" s="51"/>
      <c r="T370" s="51"/>
      <c r="U370" s="52"/>
      <c r="V370" s="52"/>
      <c r="W370" s="52"/>
      <c r="X370" s="52"/>
      <c r="Y370" s="52"/>
      <c r="Z370" s="53"/>
      <c r="AA370" s="53"/>
      <c r="AB370" s="53"/>
      <c r="AC370" s="53"/>
      <c r="AD370" s="53"/>
      <c r="AE370" s="53"/>
      <c r="AF370" s="53"/>
      <c r="AG370" s="53"/>
      <c r="AH370" s="53"/>
      <c r="AI370" s="52"/>
      <c r="AJ370" s="52"/>
      <c r="AK370" s="796"/>
      <c r="AL370" s="796"/>
      <c r="AM370" s="796"/>
      <c r="AN370" s="799"/>
    </row>
    <row r="371" spans="1:42" s="18" customFormat="1" ht="25.5" customHeight="1" outlineLevel="1" collapsed="1">
      <c r="A371" s="54"/>
      <c r="B371" s="801">
        <v>31</v>
      </c>
      <c r="C371" s="729"/>
      <c r="D371" s="54" t="s">
        <v>33</v>
      </c>
      <c r="E371" s="801" t="s">
        <v>60</v>
      </c>
      <c r="F371" s="729" t="s">
        <v>84</v>
      </c>
      <c r="G371" s="55" t="s">
        <v>49</v>
      </c>
      <c r="H371" s="56" t="s">
        <v>50</v>
      </c>
      <c r="I371" s="801" t="s">
        <v>173</v>
      </c>
      <c r="J371" s="801" t="s">
        <v>281</v>
      </c>
      <c r="K371" s="57">
        <v>18</v>
      </c>
      <c r="L371" s="54" t="s">
        <v>46</v>
      </c>
      <c r="M371" s="802" t="s">
        <v>40</v>
      </c>
      <c r="N371" s="803">
        <v>30077481</v>
      </c>
      <c r="O371" s="770" t="s">
        <v>684</v>
      </c>
      <c r="P371" s="56"/>
      <c r="Q371" s="802" t="s">
        <v>285</v>
      </c>
      <c r="R371" s="24"/>
      <c r="S371" s="804">
        <v>2050780000</v>
      </c>
      <c r="T371" s="805">
        <v>0</v>
      </c>
      <c r="U371" s="805">
        <v>200000000</v>
      </c>
      <c r="V371" s="805">
        <f t="shared" si="175"/>
        <v>0</v>
      </c>
      <c r="W371" s="29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>
        <v>0</v>
      </c>
      <c r="AI371" s="805">
        <f t="shared" si="176"/>
        <v>200000000</v>
      </c>
      <c r="AJ371" s="805">
        <f>+S371-T371-V371-AI371</f>
        <v>1850780000</v>
      </c>
      <c r="AK371" s="806" t="s">
        <v>43</v>
      </c>
      <c r="AL371" s="806" t="s">
        <v>759</v>
      </c>
      <c r="AM371" s="806" t="str">
        <f>HYPERLINK(CONCATENATE("DOCUMENTOS\ACTA-",N371,".PDF"))</f>
        <v>DOCUMENTOS\ACTA-30077481.PDF</v>
      </c>
      <c r="AN371" s="807"/>
      <c r="AO371" s="33" t="e">
        <f>VLOOKUP(N371,'CONVENIOS 2021'!A$1:A$53,1,FALSE)</f>
        <v>#N/A</v>
      </c>
      <c r="AP371" s="33" t="e">
        <f>VLOOKUP(N371,'CONVENIOS 2020'!A$2:A$72,1,FALSE)</f>
        <v>#N/A</v>
      </c>
    </row>
    <row r="372" spans="1:42" s="18" customFormat="1" ht="25.5" hidden="1" customHeight="1" outlineLevel="1">
      <c r="A372" s="54" t="s">
        <v>157</v>
      </c>
      <c r="B372" s="782">
        <v>31</v>
      </c>
      <c r="C372" s="54">
        <v>1</v>
      </c>
      <c r="D372" s="54" t="s">
        <v>33</v>
      </c>
      <c r="E372" s="782" t="s">
        <v>60</v>
      </c>
      <c r="F372" s="54" t="s">
        <v>35</v>
      </c>
      <c r="G372" s="55" t="s">
        <v>49</v>
      </c>
      <c r="H372" s="56" t="s">
        <v>64</v>
      </c>
      <c r="I372" s="782" t="s">
        <v>173</v>
      </c>
      <c r="J372" s="782" t="s">
        <v>281</v>
      </c>
      <c r="K372" s="57">
        <v>18</v>
      </c>
      <c r="L372" s="54" t="s">
        <v>46</v>
      </c>
      <c r="M372" s="783" t="s">
        <v>40</v>
      </c>
      <c r="N372" s="784">
        <v>30376572</v>
      </c>
      <c r="O372" s="56" t="s">
        <v>684</v>
      </c>
      <c r="P372" s="56"/>
      <c r="Q372" s="783" t="s">
        <v>286</v>
      </c>
      <c r="R372" s="24"/>
      <c r="S372" s="785">
        <v>435343000</v>
      </c>
      <c r="T372" s="786">
        <v>49084</v>
      </c>
      <c r="U372" s="786">
        <v>50000000</v>
      </c>
      <c r="V372" s="787">
        <f t="shared" si="175"/>
        <v>0</v>
      </c>
      <c r="W372" s="29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>
        <v>0</v>
      </c>
      <c r="AI372" s="786">
        <f t="shared" si="176"/>
        <v>50000000</v>
      </c>
      <c r="AJ372" s="786">
        <f>+S372-T372-V372-AI372</f>
        <v>385293916</v>
      </c>
      <c r="AK372" s="796" t="s">
        <v>43</v>
      </c>
      <c r="AL372" s="796" t="s">
        <v>63</v>
      </c>
      <c r="AM372" s="796"/>
      <c r="AN372" s="799"/>
    </row>
    <row r="373" spans="1:42" s="18" customFormat="1" ht="25.5" hidden="1" customHeight="1" outlineLevel="1">
      <c r="A373" s="54" t="s">
        <v>157</v>
      </c>
      <c r="B373" s="54">
        <v>31</v>
      </c>
      <c r="C373" s="54"/>
      <c r="D373" s="54" t="s">
        <v>33</v>
      </c>
      <c r="E373" s="54" t="s">
        <v>60</v>
      </c>
      <c r="F373" s="54" t="s">
        <v>35</v>
      </c>
      <c r="G373" s="55" t="s">
        <v>36</v>
      </c>
      <c r="H373" s="56" t="s">
        <v>64</v>
      </c>
      <c r="I373" s="54" t="s">
        <v>173</v>
      </c>
      <c r="J373" s="54" t="s">
        <v>281</v>
      </c>
      <c r="K373" s="57">
        <v>18</v>
      </c>
      <c r="L373" s="54" t="s">
        <v>46</v>
      </c>
      <c r="M373" s="58" t="s">
        <v>40</v>
      </c>
      <c r="N373" s="56">
        <v>30127010</v>
      </c>
      <c r="O373" s="56" t="s">
        <v>684</v>
      </c>
      <c r="P373" s="56"/>
      <c r="Q373" s="58" t="s">
        <v>287</v>
      </c>
      <c r="R373" s="24"/>
      <c r="S373" s="59">
        <v>3678102000</v>
      </c>
      <c r="T373" s="60">
        <v>417402781</v>
      </c>
      <c r="U373" s="60">
        <v>700000000</v>
      </c>
      <c r="V373" s="292">
        <f t="shared" si="175"/>
        <v>125595613</v>
      </c>
      <c r="W373" s="29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>
        <v>125595613</v>
      </c>
      <c r="AI373" s="60">
        <f t="shared" si="176"/>
        <v>574404387</v>
      </c>
      <c r="AJ373" s="60">
        <f>+S373-T373-V373-AI373</f>
        <v>2560699219</v>
      </c>
      <c r="AK373" s="796" t="s">
        <v>43</v>
      </c>
      <c r="AL373" s="796" t="s">
        <v>162</v>
      </c>
      <c r="AM373" s="796"/>
      <c r="AN373" s="799"/>
    </row>
    <row r="374" spans="1:42" s="18" customFormat="1" ht="25.5" customHeight="1" outlineLevel="1">
      <c r="A374" s="54" t="s">
        <v>157</v>
      </c>
      <c r="B374" s="801">
        <v>31</v>
      </c>
      <c r="C374" s="729"/>
      <c r="D374" s="54" t="s">
        <v>33</v>
      </c>
      <c r="E374" s="801" t="s">
        <v>60</v>
      </c>
      <c r="F374" s="729" t="s">
        <v>35</v>
      </c>
      <c r="G374" s="55" t="s">
        <v>36</v>
      </c>
      <c r="H374" s="56" t="s">
        <v>37</v>
      </c>
      <c r="I374" s="801" t="s">
        <v>173</v>
      </c>
      <c r="J374" s="801" t="s">
        <v>281</v>
      </c>
      <c r="K374" s="57">
        <v>18</v>
      </c>
      <c r="L374" s="54" t="s">
        <v>46</v>
      </c>
      <c r="M374" s="802" t="s">
        <v>56</v>
      </c>
      <c r="N374" s="803">
        <v>30437675</v>
      </c>
      <c r="O374" s="770" t="s">
        <v>684</v>
      </c>
      <c r="P374" s="56"/>
      <c r="Q374" s="802" t="s">
        <v>288</v>
      </c>
      <c r="R374" s="118"/>
      <c r="S374" s="804">
        <v>500000000</v>
      </c>
      <c r="T374" s="805">
        <v>0</v>
      </c>
      <c r="U374" s="805">
        <v>100000000</v>
      </c>
      <c r="V374" s="805">
        <f t="shared" si="175"/>
        <v>0</v>
      </c>
      <c r="W374" s="119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28">
        <v>0</v>
      </c>
      <c r="AI374" s="805">
        <f t="shared" si="176"/>
        <v>100000000</v>
      </c>
      <c r="AJ374" s="805">
        <f>+S374-T374-V374-AI374</f>
        <v>400000000</v>
      </c>
      <c r="AK374" s="806" t="s">
        <v>43</v>
      </c>
      <c r="AL374" s="806" t="s">
        <v>770</v>
      </c>
      <c r="AM374" s="806"/>
      <c r="AN374" s="807"/>
      <c r="AO374" s="33" t="e">
        <f>VLOOKUP(N374,'CONVENIOS 2021'!A$1:A$53,1,FALSE)</f>
        <v>#N/A</v>
      </c>
      <c r="AP374" s="33" t="e">
        <f>VLOOKUP(N374,'CONVENIOS 2020'!A$2:A$72,1,FALSE)</f>
        <v>#N/A</v>
      </c>
    </row>
    <row r="375" spans="1:42" s="38" customFormat="1" ht="25.5" hidden="1" customHeight="1" outlineLevel="1">
      <c r="A375" s="35"/>
      <c r="B375" s="35"/>
      <c r="C375" s="35"/>
      <c r="D375" s="35"/>
      <c r="E375" s="35"/>
      <c r="F375" s="36"/>
      <c r="G375" s="36"/>
      <c r="H375" s="37"/>
      <c r="I375" s="36"/>
      <c r="J375" s="36"/>
      <c r="K375" s="36"/>
      <c r="L375" s="35"/>
      <c r="N375" s="39"/>
      <c r="O375" s="39"/>
      <c r="P375" s="39"/>
      <c r="Q375" s="139" t="s">
        <v>67</v>
      </c>
      <c r="R375" s="64"/>
      <c r="S375" s="140">
        <f t="shared" ref="S375:AJ375" si="197">SUBTOTAL(9,S371:S374)</f>
        <v>2550780000</v>
      </c>
      <c r="T375" s="140">
        <f t="shared" ref="T375" si="198">SUBTOTAL(9,T371:T374)</f>
        <v>0</v>
      </c>
      <c r="U375" s="140">
        <f t="shared" si="197"/>
        <v>300000000</v>
      </c>
      <c r="V375" s="140">
        <f t="shared" si="197"/>
        <v>0</v>
      </c>
      <c r="W375" s="140">
        <f t="shared" si="197"/>
        <v>0</v>
      </c>
      <c r="X375" s="140">
        <f t="shared" si="197"/>
        <v>0</v>
      </c>
      <c r="Y375" s="140">
        <f t="shared" si="197"/>
        <v>0</v>
      </c>
      <c r="Z375" s="140">
        <f t="shared" si="197"/>
        <v>0</v>
      </c>
      <c r="AA375" s="140">
        <f t="shared" si="197"/>
        <v>0</v>
      </c>
      <c r="AB375" s="140">
        <f t="shared" si="197"/>
        <v>0</v>
      </c>
      <c r="AC375" s="140">
        <f t="shared" si="197"/>
        <v>0</v>
      </c>
      <c r="AD375" s="140">
        <f t="shared" si="197"/>
        <v>0</v>
      </c>
      <c r="AE375" s="140">
        <f t="shared" si="197"/>
        <v>0</v>
      </c>
      <c r="AF375" s="140">
        <f t="shared" si="197"/>
        <v>0</v>
      </c>
      <c r="AG375" s="140">
        <f t="shared" si="197"/>
        <v>0</v>
      </c>
      <c r="AH375" s="140">
        <v>125595613</v>
      </c>
      <c r="AI375" s="140">
        <f t="shared" si="197"/>
        <v>300000000</v>
      </c>
      <c r="AJ375" s="140">
        <f t="shared" si="197"/>
        <v>2250780000</v>
      </c>
      <c r="AK375" s="796"/>
      <c r="AL375" s="796"/>
      <c r="AM375" s="796"/>
      <c r="AN375" s="799"/>
    </row>
    <row r="376" spans="1:42" s="38" customFormat="1" ht="25.5" hidden="1" customHeight="1" outlineLevel="1">
      <c r="A376" s="35"/>
      <c r="B376" s="35"/>
      <c r="C376" s="35"/>
      <c r="D376" s="35"/>
      <c r="E376" s="35"/>
      <c r="F376" s="36"/>
      <c r="G376" s="36"/>
      <c r="H376" s="37"/>
      <c r="I376" s="36"/>
      <c r="J376" s="36"/>
      <c r="K376" s="36"/>
      <c r="L376" s="35"/>
      <c r="N376" s="39"/>
      <c r="O376" s="39"/>
      <c r="P376" s="39"/>
      <c r="Q376" s="46"/>
      <c r="R376" s="42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796"/>
      <c r="AL376" s="796"/>
      <c r="AM376" s="796"/>
      <c r="AN376" s="799"/>
    </row>
    <row r="377" spans="1:42" s="33" customFormat="1" ht="25.5" hidden="1" customHeight="1" outlineLevel="2">
      <c r="A377" s="35"/>
      <c r="B377" s="35"/>
      <c r="C377" s="35"/>
      <c r="D377" s="35"/>
      <c r="E377" s="35"/>
      <c r="F377" s="36"/>
      <c r="G377" s="36"/>
      <c r="H377" s="37"/>
      <c r="I377" s="36"/>
      <c r="J377" s="36"/>
      <c r="K377" s="36"/>
      <c r="L377" s="35"/>
      <c r="M377" s="38"/>
      <c r="N377" s="39"/>
      <c r="O377" s="39"/>
      <c r="P377" s="39"/>
      <c r="Q377" s="17" t="s">
        <v>68</v>
      </c>
      <c r="R377" s="42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796"/>
      <c r="AL377" s="796"/>
      <c r="AM377" s="796"/>
      <c r="AN377" s="799"/>
    </row>
    <row r="378" spans="1:42" s="33" customFormat="1" ht="25.5" hidden="1" customHeight="1" outlineLevel="2">
      <c r="A378" s="66"/>
      <c r="B378" s="66">
        <v>31</v>
      </c>
      <c r="C378" s="66"/>
      <c r="D378" s="66" t="s">
        <v>33</v>
      </c>
      <c r="E378" s="66" t="s">
        <v>69</v>
      </c>
      <c r="F378" s="66" t="s">
        <v>35</v>
      </c>
      <c r="G378" s="66" t="s">
        <v>49</v>
      </c>
      <c r="H378" s="68" t="s">
        <v>45</v>
      </c>
      <c r="I378" s="66" t="s">
        <v>173</v>
      </c>
      <c r="J378" s="66" t="s">
        <v>281</v>
      </c>
      <c r="K378" s="66">
        <v>18</v>
      </c>
      <c r="L378" s="66" t="s">
        <v>46</v>
      </c>
      <c r="M378" s="70" t="s">
        <v>40</v>
      </c>
      <c r="N378" s="68">
        <v>30077182</v>
      </c>
      <c r="O378" s="68" t="s">
        <v>754</v>
      </c>
      <c r="P378" s="68"/>
      <c r="Q378" s="70" t="s">
        <v>289</v>
      </c>
      <c r="R378" s="170" t="s">
        <v>668</v>
      </c>
      <c r="S378" s="71">
        <v>2304827000</v>
      </c>
      <c r="T378" s="72">
        <v>9000000</v>
      </c>
      <c r="U378" s="72">
        <v>300000000</v>
      </c>
      <c r="V378" s="297">
        <f t="shared" si="175"/>
        <v>0</v>
      </c>
      <c r="W378" s="171"/>
      <c r="X378" s="171"/>
      <c r="Y378" s="171"/>
      <c r="Z378" s="171"/>
      <c r="AA378" s="28"/>
      <c r="AB378" s="28"/>
      <c r="AC378" s="28"/>
      <c r="AD378" s="28"/>
      <c r="AE378" s="28"/>
      <c r="AF378" s="28"/>
      <c r="AG378" s="28"/>
      <c r="AH378" s="28">
        <v>0</v>
      </c>
      <c r="AI378" s="72">
        <f t="shared" si="176"/>
        <v>300000000</v>
      </c>
      <c r="AJ378" s="72">
        <f>+S378-T378-V378-AI378</f>
        <v>1995827000</v>
      </c>
      <c r="AK378" s="796" t="s">
        <v>137</v>
      </c>
      <c r="AL378" s="796" t="s">
        <v>104</v>
      </c>
      <c r="AM378" s="796"/>
      <c r="AN378" s="799"/>
    </row>
    <row r="379" spans="1:42" s="38" customFormat="1" ht="25.5" hidden="1" customHeight="1" outlineLevel="1">
      <c r="A379" s="66"/>
      <c r="B379" s="66">
        <v>29</v>
      </c>
      <c r="C379" s="66"/>
      <c r="D379" s="66" t="s">
        <v>92</v>
      </c>
      <c r="E379" s="66" t="s">
        <v>69</v>
      </c>
      <c r="F379" s="66"/>
      <c r="G379" s="66"/>
      <c r="H379" s="68" t="s">
        <v>45</v>
      </c>
      <c r="I379" s="66" t="s">
        <v>173</v>
      </c>
      <c r="J379" s="66" t="s">
        <v>281</v>
      </c>
      <c r="K379" s="66">
        <v>18</v>
      </c>
      <c r="L379" s="66" t="s">
        <v>46</v>
      </c>
      <c r="M379" s="70" t="s">
        <v>40</v>
      </c>
      <c r="N379" s="68">
        <v>40008014</v>
      </c>
      <c r="O379" s="68" t="s">
        <v>684</v>
      </c>
      <c r="P379" s="68"/>
      <c r="Q379" s="70" t="s">
        <v>290</v>
      </c>
      <c r="R379" s="170"/>
      <c r="S379" s="71">
        <v>105867000</v>
      </c>
      <c r="T379" s="72">
        <v>0</v>
      </c>
      <c r="U379" s="72">
        <v>105867000</v>
      </c>
      <c r="V379" s="297">
        <f t="shared" si="175"/>
        <v>0</v>
      </c>
      <c r="W379" s="171"/>
      <c r="X379" s="171"/>
      <c r="Y379" s="171"/>
      <c r="Z379" s="171"/>
      <c r="AA379" s="28"/>
      <c r="AB379" s="28"/>
      <c r="AC379" s="28"/>
      <c r="AD379" s="28"/>
      <c r="AE379" s="28"/>
      <c r="AF379" s="28"/>
      <c r="AG379" s="28"/>
      <c r="AH379" s="28">
        <v>0</v>
      </c>
      <c r="AI379" s="72">
        <f t="shared" si="176"/>
        <v>105867000</v>
      </c>
      <c r="AJ379" s="72">
        <f>+S379-T379-V379-AI379</f>
        <v>0</v>
      </c>
      <c r="AK379" s="796" t="s">
        <v>48</v>
      </c>
      <c r="AL379" s="796"/>
      <c r="AM379" s="796"/>
      <c r="AN379" s="799"/>
    </row>
    <row r="380" spans="1:42" s="38" customFormat="1" ht="25.5" hidden="1" customHeight="1" outlineLevel="1">
      <c r="A380" s="66" t="s">
        <v>118</v>
      </c>
      <c r="B380" s="66">
        <v>31</v>
      </c>
      <c r="C380" s="730"/>
      <c r="D380" s="66" t="s">
        <v>33</v>
      </c>
      <c r="E380" s="66" t="s">
        <v>69</v>
      </c>
      <c r="F380" s="730"/>
      <c r="G380" s="66"/>
      <c r="H380" s="68" t="s">
        <v>37</v>
      </c>
      <c r="I380" s="66" t="s">
        <v>173</v>
      </c>
      <c r="J380" s="66" t="s">
        <v>281</v>
      </c>
      <c r="K380" s="66">
        <v>18</v>
      </c>
      <c r="L380" s="66" t="s">
        <v>46</v>
      </c>
      <c r="M380" s="70" t="s">
        <v>40</v>
      </c>
      <c r="N380" s="68">
        <v>40027009</v>
      </c>
      <c r="O380" s="68"/>
      <c r="P380" s="68" t="s">
        <v>752</v>
      </c>
      <c r="Q380" s="742" t="s">
        <v>291</v>
      </c>
      <c r="R380" s="738"/>
      <c r="S380" s="71">
        <v>900500000</v>
      </c>
      <c r="T380" s="72">
        <v>0</v>
      </c>
      <c r="U380" s="72">
        <v>500000000</v>
      </c>
      <c r="V380" s="297">
        <f t="shared" si="175"/>
        <v>0</v>
      </c>
      <c r="W380" s="739"/>
      <c r="X380" s="171"/>
      <c r="Y380" s="171"/>
      <c r="Z380" s="171"/>
      <c r="AA380" s="28"/>
      <c r="AB380" s="28"/>
      <c r="AC380" s="28"/>
      <c r="AD380" s="28"/>
      <c r="AE380" s="28"/>
      <c r="AF380" s="28"/>
      <c r="AG380" s="28"/>
      <c r="AH380" s="28">
        <v>0</v>
      </c>
      <c r="AI380" s="72">
        <f t="shared" si="176"/>
        <v>500000000</v>
      </c>
      <c r="AJ380" s="72">
        <f>+S380-T380-V380-AI380</f>
        <v>400500000</v>
      </c>
      <c r="AK380" s="796" t="s">
        <v>48</v>
      </c>
      <c r="AL380" s="796" t="s">
        <v>66</v>
      </c>
      <c r="AM380" s="796"/>
      <c r="AN380" s="799"/>
      <c r="AO380" s="33">
        <f>VLOOKUP(N380,'CONVENIOS 2021'!A$1:A$53,1,FALSE)</f>
        <v>40027009</v>
      </c>
    </row>
    <row r="381" spans="1:42" s="38" customFormat="1" ht="25.5" hidden="1" customHeight="1" outlineLevel="1">
      <c r="A381" s="66"/>
      <c r="B381" s="66">
        <v>29</v>
      </c>
      <c r="C381" s="66"/>
      <c r="D381" s="102" t="s">
        <v>92</v>
      </c>
      <c r="E381" s="66" t="s">
        <v>69</v>
      </c>
      <c r="F381" s="66"/>
      <c r="G381" s="66"/>
      <c r="H381" s="68" t="s">
        <v>61</v>
      </c>
      <c r="I381" s="66" t="s">
        <v>173</v>
      </c>
      <c r="J381" s="66" t="s">
        <v>281</v>
      </c>
      <c r="K381" s="66">
        <v>18</v>
      </c>
      <c r="L381" s="66" t="s">
        <v>131</v>
      </c>
      <c r="M381" s="70" t="s">
        <v>40</v>
      </c>
      <c r="N381" s="68">
        <v>40022683</v>
      </c>
      <c r="O381" s="68"/>
      <c r="P381" s="68"/>
      <c r="Q381" s="70" t="s">
        <v>292</v>
      </c>
      <c r="R381" s="170"/>
      <c r="S381" s="71">
        <v>504376000</v>
      </c>
      <c r="T381" s="72">
        <v>0</v>
      </c>
      <c r="U381" s="72">
        <v>504376000</v>
      </c>
      <c r="V381" s="297">
        <f t="shared" si="175"/>
        <v>0</v>
      </c>
      <c r="W381" s="171"/>
      <c r="X381" s="171"/>
      <c r="Y381" s="171"/>
      <c r="Z381" s="171"/>
      <c r="AA381" s="28"/>
      <c r="AB381" s="28"/>
      <c r="AC381" s="28"/>
      <c r="AD381" s="28"/>
      <c r="AE381" s="28"/>
      <c r="AF381" s="28"/>
      <c r="AG381" s="28"/>
      <c r="AH381" s="28">
        <v>0</v>
      </c>
      <c r="AI381" s="72">
        <f t="shared" si="176"/>
        <v>504376000</v>
      </c>
      <c r="AJ381" s="72">
        <f>+S381-T381-V381-AI381</f>
        <v>0</v>
      </c>
      <c r="AK381" s="796" t="s">
        <v>48</v>
      </c>
      <c r="AL381" s="796"/>
      <c r="AM381" s="796"/>
      <c r="AN381" s="799"/>
    </row>
    <row r="382" spans="1:42" s="18" customFormat="1" ht="25.5" hidden="1" customHeight="1" outlineLevel="1">
      <c r="A382" s="66"/>
      <c r="B382" s="66">
        <v>31</v>
      </c>
      <c r="C382" s="66"/>
      <c r="D382" s="66" t="s">
        <v>33</v>
      </c>
      <c r="E382" s="66" t="s">
        <v>69</v>
      </c>
      <c r="F382" s="66" t="s">
        <v>84</v>
      </c>
      <c r="G382" s="67" t="s">
        <v>293</v>
      </c>
      <c r="H382" s="68" t="s">
        <v>294</v>
      </c>
      <c r="I382" s="66" t="s">
        <v>173</v>
      </c>
      <c r="J382" s="66" t="s">
        <v>281</v>
      </c>
      <c r="K382" s="66">
        <v>18</v>
      </c>
      <c r="L382" s="66" t="s">
        <v>46</v>
      </c>
      <c r="M382" s="70" t="s">
        <v>40</v>
      </c>
      <c r="N382" s="68">
        <v>40014647</v>
      </c>
      <c r="O382" s="68" t="s">
        <v>754</v>
      </c>
      <c r="P382" s="68"/>
      <c r="Q382" s="70" t="s">
        <v>295</v>
      </c>
      <c r="R382" s="77"/>
      <c r="S382" s="71">
        <v>288600000</v>
      </c>
      <c r="T382" s="72">
        <v>0</v>
      </c>
      <c r="U382" s="72">
        <v>96200000</v>
      </c>
      <c r="V382" s="296">
        <f t="shared" si="175"/>
        <v>32238576</v>
      </c>
      <c r="W382" s="79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28">
        <v>32238576</v>
      </c>
      <c r="AI382" s="72">
        <f t="shared" si="176"/>
        <v>63961424</v>
      </c>
      <c r="AJ382" s="72">
        <f>+S382-T382-V382-AI382</f>
        <v>192400000</v>
      </c>
      <c r="AK382" s="796" t="s">
        <v>43</v>
      </c>
      <c r="AL382" s="796"/>
      <c r="AM382" s="796"/>
      <c r="AN382" s="799"/>
    </row>
    <row r="383" spans="1:42" s="38" customFormat="1" ht="25.5" hidden="1" customHeight="1" outlineLevel="1">
      <c r="A383" s="35"/>
      <c r="B383" s="35"/>
      <c r="C383" s="35"/>
      <c r="D383" s="35"/>
      <c r="E383" s="35"/>
      <c r="F383" s="36"/>
      <c r="G383" s="36"/>
      <c r="H383" s="37"/>
      <c r="I383" s="36"/>
      <c r="J383" s="36"/>
      <c r="K383" s="36"/>
      <c r="L383" s="35"/>
      <c r="N383" s="39"/>
      <c r="O383" s="39"/>
      <c r="P383" s="39"/>
      <c r="Q383" s="134" t="s">
        <v>80</v>
      </c>
      <c r="R383" s="42"/>
      <c r="S383" s="110">
        <f t="shared" ref="S383:U383" si="199">SUBTOTAL(9,S378:S382)</f>
        <v>0</v>
      </c>
      <c r="T383" s="110">
        <f t="shared" ref="T383" si="200">SUBTOTAL(9,T378:T382)</f>
        <v>0</v>
      </c>
      <c r="U383" s="110">
        <f t="shared" si="199"/>
        <v>0</v>
      </c>
      <c r="V383" s="110">
        <f t="shared" ref="V383:AJ383" si="201">SUBTOTAL(9,V378:V382)</f>
        <v>0</v>
      </c>
      <c r="W383" s="110">
        <f t="shared" si="201"/>
        <v>0</v>
      </c>
      <c r="X383" s="110">
        <f t="shared" si="201"/>
        <v>0</v>
      </c>
      <c r="Y383" s="110">
        <f t="shared" si="201"/>
        <v>0</v>
      </c>
      <c r="Z383" s="110">
        <f t="shared" si="201"/>
        <v>0</v>
      </c>
      <c r="AA383" s="110">
        <f t="shared" si="201"/>
        <v>0</v>
      </c>
      <c r="AB383" s="110">
        <f t="shared" si="201"/>
        <v>0</v>
      </c>
      <c r="AC383" s="110">
        <f t="shared" si="201"/>
        <v>0</v>
      </c>
      <c r="AD383" s="110">
        <f t="shared" si="201"/>
        <v>0</v>
      </c>
      <c r="AE383" s="110">
        <f t="shared" si="201"/>
        <v>0</v>
      </c>
      <c r="AF383" s="110">
        <f t="shared" si="201"/>
        <v>0</v>
      </c>
      <c r="AG383" s="110">
        <f t="shared" si="201"/>
        <v>0</v>
      </c>
      <c r="AH383" s="110">
        <v>32238576</v>
      </c>
      <c r="AI383" s="110">
        <f t="shared" si="201"/>
        <v>0</v>
      </c>
      <c r="AJ383" s="110">
        <f t="shared" si="201"/>
        <v>0</v>
      </c>
      <c r="AK383" s="796"/>
      <c r="AL383" s="796" t="s">
        <v>296</v>
      </c>
      <c r="AM383" s="796"/>
      <c r="AN383" s="799"/>
    </row>
    <row r="384" spans="1:42" s="90" customFormat="1" ht="24.75" hidden="1" customHeight="1" outlineLevel="1">
      <c r="A384" s="35"/>
      <c r="B384" s="35"/>
      <c r="C384" s="35"/>
      <c r="D384" s="35"/>
      <c r="E384" s="35"/>
      <c r="F384" s="36"/>
      <c r="G384" s="36"/>
      <c r="H384" s="37"/>
      <c r="I384" s="36"/>
      <c r="J384" s="36"/>
      <c r="K384" s="36"/>
      <c r="L384" s="35"/>
      <c r="M384" s="38"/>
      <c r="N384" s="39"/>
      <c r="O384" s="39"/>
      <c r="P384" s="39"/>
      <c r="Q384" s="46"/>
      <c r="R384" s="42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796"/>
      <c r="AL384" s="796"/>
      <c r="AM384" s="796"/>
      <c r="AN384" s="799"/>
    </row>
    <row r="385" spans="1:42" s="84" customFormat="1" ht="24.75" hidden="1" customHeight="1" outlineLevel="1">
      <c r="A385" s="36"/>
      <c r="B385" s="82"/>
      <c r="C385" s="82"/>
      <c r="D385" s="36"/>
      <c r="E385" s="36"/>
      <c r="F385" s="36"/>
      <c r="G385" s="36"/>
      <c r="H385" s="37"/>
      <c r="I385" s="36"/>
      <c r="J385" s="36"/>
      <c r="K385" s="36"/>
      <c r="L385" s="82"/>
      <c r="N385" s="83"/>
      <c r="O385" s="39"/>
      <c r="P385" s="39"/>
      <c r="Q385" s="85" t="s">
        <v>170</v>
      </c>
      <c r="R385" s="86"/>
      <c r="S385" s="88">
        <f t="shared" ref="S385:U385" si="202">S368+S375+S383</f>
        <v>2550780000</v>
      </c>
      <c r="T385" s="88">
        <f t="shared" ref="T385" si="203">T368+T375+T383</f>
        <v>0</v>
      </c>
      <c r="U385" s="88">
        <f t="shared" si="202"/>
        <v>300000000</v>
      </c>
      <c r="V385" s="88">
        <f t="shared" ref="V385:AJ385" si="204">V368+V375+V383</f>
        <v>0</v>
      </c>
      <c r="W385" s="88">
        <f t="shared" si="204"/>
        <v>0</v>
      </c>
      <c r="X385" s="88">
        <f t="shared" si="204"/>
        <v>0</v>
      </c>
      <c r="Y385" s="88">
        <f t="shared" si="204"/>
        <v>0</v>
      </c>
      <c r="Z385" s="88">
        <f t="shared" si="204"/>
        <v>0</v>
      </c>
      <c r="AA385" s="88">
        <f t="shared" si="204"/>
        <v>0</v>
      </c>
      <c r="AB385" s="88">
        <f t="shared" si="204"/>
        <v>0</v>
      </c>
      <c r="AC385" s="88">
        <f t="shared" si="204"/>
        <v>0</v>
      </c>
      <c r="AD385" s="88">
        <f t="shared" si="204"/>
        <v>0</v>
      </c>
      <c r="AE385" s="88">
        <f t="shared" si="204"/>
        <v>0</v>
      </c>
      <c r="AF385" s="88">
        <f t="shared" si="204"/>
        <v>0</v>
      </c>
      <c r="AG385" s="88">
        <f t="shared" si="204"/>
        <v>0</v>
      </c>
      <c r="AH385" s="88">
        <v>512383901</v>
      </c>
      <c r="AI385" s="88">
        <f t="shared" si="204"/>
        <v>300000000</v>
      </c>
      <c r="AJ385" s="88">
        <f t="shared" si="204"/>
        <v>2250780000</v>
      </c>
      <c r="AK385" s="796"/>
      <c r="AL385" s="796"/>
      <c r="AM385" s="796"/>
      <c r="AN385" s="799"/>
    </row>
    <row r="386" spans="1:42" s="90" customFormat="1" ht="24.75" hidden="1" customHeight="1" outlineLevel="1">
      <c r="A386" s="36"/>
      <c r="B386" s="82"/>
      <c r="C386" s="82"/>
      <c r="D386" s="36"/>
      <c r="E386" s="36"/>
      <c r="F386" s="36"/>
      <c r="G386" s="36"/>
      <c r="H386" s="37"/>
      <c r="I386" s="36"/>
      <c r="J386" s="36"/>
      <c r="K386" s="36"/>
      <c r="L386" s="82"/>
      <c r="M386" s="84"/>
      <c r="N386" s="83"/>
      <c r="O386" s="39"/>
      <c r="P386" s="39"/>
      <c r="Q386" s="91"/>
      <c r="R386" s="87"/>
      <c r="S386" s="92"/>
      <c r="T386" s="92"/>
      <c r="U386" s="92"/>
      <c r="V386" s="92"/>
      <c r="W386" s="137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92"/>
      <c r="AJ386" s="92"/>
      <c r="AK386" s="796"/>
      <c r="AL386" s="796"/>
      <c r="AM386" s="796"/>
      <c r="AN386" s="799"/>
    </row>
    <row r="387" spans="1:42" s="84" customFormat="1" ht="24.75" hidden="1" customHeight="1" outlineLevel="1">
      <c r="A387" s="36"/>
      <c r="B387" s="82"/>
      <c r="C387" s="82"/>
      <c r="D387" s="36"/>
      <c r="E387" s="36"/>
      <c r="F387" s="36"/>
      <c r="G387" s="36"/>
      <c r="H387" s="37"/>
      <c r="I387" s="36"/>
      <c r="J387" s="36"/>
      <c r="K387" s="36"/>
      <c r="L387" s="82"/>
      <c r="N387" s="83"/>
      <c r="O387" s="39"/>
      <c r="P387" s="39"/>
      <c r="Q387" s="130" t="s">
        <v>297</v>
      </c>
      <c r="R387" s="86"/>
      <c r="S387" s="131">
        <f>S385+S360+S336+S323+S299+S281+S259+S236+S214+S191</f>
        <v>30992437564</v>
      </c>
      <c r="T387" s="131">
        <f>T385+T360+T336+T323+T299+T281+T259+T236+T214+T191</f>
        <v>5205202393</v>
      </c>
      <c r="U387" s="131">
        <f>U385+U360+U336+U323+U299+U281+U259+U236+U214+U191</f>
        <v>7053485614.333333</v>
      </c>
      <c r="V387" s="131">
        <f t="shared" ref="V387:V445" si="205">+SUM(W387:AH387)</f>
        <v>3144418618</v>
      </c>
      <c r="W387" s="131">
        <f t="shared" ref="W387:AG387" si="206">W385+W360+W336+W323+W299+W281+W259+W236+W214+W191</f>
        <v>0</v>
      </c>
      <c r="X387" s="131">
        <f t="shared" si="206"/>
        <v>0</v>
      </c>
      <c r="Y387" s="131">
        <f t="shared" si="206"/>
        <v>0</v>
      </c>
      <c r="Z387" s="131">
        <f t="shared" si="206"/>
        <v>0</v>
      </c>
      <c r="AA387" s="131">
        <f t="shared" si="206"/>
        <v>0</v>
      </c>
      <c r="AB387" s="131">
        <f t="shared" si="206"/>
        <v>0</v>
      </c>
      <c r="AC387" s="131">
        <f t="shared" si="206"/>
        <v>0</v>
      </c>
      <c r="AD387" s="131">
        <f t="shared" si="206"/>
        <v>0</v>
      </c>
      <c r="AE387" s="131">
        <f t="shared" si="206"/>
        <v>0</v>
      </c>
      <c r="AF387" s="131">
        <f t="shared" si="206"/>
        <v>0</v>
      </c>
      <c r="AG387" s="131">
        <f t="shared" si="206"/>
        <v>0</v>
      </c>
      <c r="AH387" s="131">
        <v>3144418618</v>
      </c>
      <c r="AI387" s="131">
        <f t="shared" ref="AI387:AI445" si="207">+U387-V387</f>
        <v>3909066996.333333</v>
      </c>
      <c r="AJ387" s="131">
        <f>+S387-T387-V387-AI387</f>
        <v>18733749556.666668</v>
      </c>
      <c r="AK387" s="796"/>
      <c r="AL387" s="796"/>
      <c r="AM387" s="796"/>
      <c r="AN387" s="799"/>
    </row>
    <row r="388" spans="1:42" s="84" customFormat="1" ht="24.75" hidden="1" customHeight="1" outlineLevel="1">
      <c r="A388" s="36"/>
      <c r="B388" s="82"/>
      <c r="C388" s="82"/>
      <c r="D388" s="36"/>
      <c r="E388" s="36"/>
      <c r="F388" s="36"/>
      <c r="G388" s="36"/>
      <c r="H388" s="37"/>
      <c r="I388" s="36"/>
      <c r="J388" s="36"/>
      <c r="K388" s="36"/>
      <c r="L388" s="82"/>
      <c r="N388" s="83"/>
      <c r="O388" s="39"/>
      <c r="P388" s="39"/>
      <c r="Q388" s="91"/>
      <c r="R388" s="87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796"/>
      <c r="AL388" s="796"/>
      <c r="AM388" s="796"/>
      <c r="AN388" s="799"/>
    </row>
    <row r="389" spans="1:42" s="18" customFormat="1" ht="25.5" hidden="1" customHeight="1" outlineLevel="1">
      <c r="A389" s="36"/>
      <c r="B389" s="36"/>
      <c r="C389" s="36"/>
      <c r="D389" s="36"/>
      <c r="E389" s="36"/>
      <c r="F389" s="36"/>
      <c r="G389" s="36"/>
      <c r="H389" s="37"/>
      <c r="I389" s="36"/>
      <c r="J389" s="36"/>
      <c r="K389" s="36"/>
      <c r="L389" s="36"/>
      <c r="M389" s="95"/>
      <c r="N389" s="37"/>
      <c r="O389" s="39"/>
      <c r="P389" s="39"/>
      <c r="Q389" s="96" t="s">
        <v>298</v>
      </c>
      <c r="R389" s="50"/>
      <c r="S389" s="97"/>
      <c r="T389" s="97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796"/>
      <c r="AL389" s="796"/>
      <c r="AM389" s="796"/>
      <c r="AN389" s="799"/>
    </row>
    <row r="390" spans="1:42" s="33" customFormat="1" ht="25.5" hidden="1" customHeight="1" outlineLevel="2">
      <c r="A390" s="35"/>
      <c r="B390" s="35"/>
      <c r="C390" s="35"/>
      <c r="D390" s="35"/>
      <c r="E390" s="35"/>
      <c r="F390" s="36"/>
      <c r="G390" s="36"/>
      <c r="H390" s="37"/>
      <c r="I390" s="36"/>
      <c r="J390" s="36"/>
      <c r="K390" s="36"/>
      <c r="L390" s="35"/>
      <c r="M390" s="38"/>
      <c r="N390" s="39"/>
      <c r="O390" s="39"/>
      <c r="P390" s="39"/>
      <c r="Q390" s="17" t="s">
        <v>32</v>
      </c>
      <c r="R390" s="50"/>
      <c r="S390" s="51"/>
      <c r="T390" s="51"/>
      <c r="U390" s="52"/>
      <c r="V390" s="52"/>
      <c r="W390" s="52"/>
      <c r="X390" s="52"/>
      <c r="Y390" s="52"/>
      <c r="Z390" s="53"/>
      <c r="AA390" s="53"/>
      <c r="AB390" s="53"/>
      <c r="AC390" s="53"/>
      <c r="AD390" s="53"/>
      <c r="AE390" s="53"/>
      <c r="AF390" s="53"/>
      <c r="AG390" s="53"/>
      <c r="AH390" s="53"/>
      <c r="AI390" s="52"/>
      <c r="AJ390" s="52"/>
      <c r="AK390" s="796"/>
      <c r="AL390" s="796"/>
      <c r="AM390" s="796"/>
      <c r="AN390" s="799"/>
    </row>
    <row r="391" spans="1:42" s="18" customFormat="1" ht="25.5" hidden="1" customHeight="1" outlineLevel="1">
      <c r="A391" s="19"/>
      <c r="B391" s="19">
        <v>31</v>
      </c>
      <c r="C391" s="19"/>
      <c r="D391" s="19" t="s">
        <v>33</v>
      </c>
      <c r="E391" s="19" t="s">
        <v>34</v>
      </c>
      <c r="F391" s="19" t="s">
        <v>35</v>
      </c>
      <c r="G391" s="20" t="s">
        <v>158</v>
      </c>
      <c r="H391" s="21" t="s">
        <v>72</v>
      </c>
      <c r="I391" s="19" t="s">
        <v>299</v>
      </c>
      <c r="J391" s="19" t="s">
        <v>300</v>
      </c>
      <c r="K391" s="22">
        <v>19</v>
      </c>
      <c r="L391" s="19" t="s">
        <v>46</v>
      </c>
      <c r="M391" s="23" t="s">
        <v>40</v>
      </c>
      <c r="N391" s="21">
        <v>30341232</v>
      </c>
      <c r="O391" s="21" t="s">
        <v>756</v>
      </c>
      <c r="P391" s="21"/>
      <c r="Q391" s="23" t="s">
        <v>301</v>
      </c>
      <c r="R391" s="24"/>
      <c r="S391" s="26">
        <v>160308499</v>
      </c>
      <c r="T391" s="30">
        <v>126194543</v>
      </c>
      <c r="U391" s="30">
        <f>44657275-10543319</f>
        <v>34113956</v>
      </c>
      <c r="V391" s="285">
        <f t="shared" si="205"/>
        <v>17291622</v>
      </c>
      <c r="W391" s="29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>
        <v>17291622</v>
      </c>
      <c r="AI391" s="30">
        <f t="shared" si="207"/>
        <v>16822334</v>
      </c>
      <c r="AJ391" s="30">
        <f>+S391-T391-V391-AI391</f>
        <v>0</v>
      </c>
      <c r="AK391" s="796" t="s">
        <v>43</v>
      </c>
      <c r="AL391" s="796" t="s">
        <v>44</v>
      </c>
      <c r="AM391" s="796"/>
      <c r="AN391" s="799"/>
    </row>
    <row r="392" spans="1:42" s="33" customFormat="1" ht="25.5" hidden="1" customHeight="1" outlineLevel="2">
      <c r="A392" s="19"/>
      <c r="B392" s="19">
        <v>31</v>
      </c>
      <c r="C392" s="19"/>
      <c r="D392" s="19" t="s">
        <v>33</v>
      </c>
      <c r="E392" s="19" t="s">
        <v>34</v>
      </c>
      <c r="F392" s="172"/>
      <c r="G392" s="172"/>
      <c r="H392" s="21" t="s">
        <v>61</v>
      </c>
      <c r="I392" s="19" t="s">
        <v>299</v>
      </c>
      <c r="J392" s="19" t="s">
        <v>300</v>
      </c>
      <c r="K392" s="22">
        <v>19</v>
      </c>
      <c r="L392" s="19" t="s">
        <v>46</v>
      </c>
      <c r="M392" s="23" t="s">
        <v>56</v>
      </c>
      <c r="N392" s="21">
        <v>30485368</v>
      </c>
      <c r="O392" s="21" t="s">
        <v>757</v>
      </c>
      <c r="P392" s="21"/>
      <c r="Q392" s="23" t="s">
        <v>302</v>
      </c>
      <c r="R392" s="173"/>
      <c r="S392" s="26">
        <v>101500000</v>
      </c>
      <c r="T392" s="30">
        <v>30300000</v>
      </c>
      <c r="U392" s="30">
        <f>20000000+10543319</f>
        <v>30543319</v>
      </c>
      <c r="V392" s="287">
        <f t="shared" si="205"/>
        <v>40400000</v>
      </c>
      <c r="W392" s="174"/>
      <c r="X392" s="174"/>
      <c r="Y392" s="174"/>
      <c r="Z392" s="174"/>
      <c r="AA392" s="175"/>
      <c r="AB392" s="175"/>
      <c r="AC392" s="175"/>
      <c r="AD392" s="175"/>
      <c r="AE392" s="175"/>
      <c r="AF392" s="175"/>
      <c r="AG392" s="174"/>
      <c r="AH392" s="28">
        <v>40400000</v>
      </c>
      <c r="AI392" s="30">
        <f t="shared" si="207"/>
        <v>-9856681</v>
      </c>
      <c r="AJ392" s="30">
        <f>+S392-T392-V392-AI392</f>
        <v>40656681</v>
      </c>
      <c r="AK392" s="796" t="s">
        <v>43</v>
      </c>
      <c r="AL392" s="796" t="s">
        <v>75</v>
      </c>
      <c r="AM392" s="796"/>
      <c r="AN392" s="799"/>
    </row>
    <row r="393" spans="1:42" s="33" customFormat="1" ht="25.5" hidden="1" customHeight="1" outlineLevel="2">
      <c r="A393" s="19"/>
      <c r="B393" s="19">
        <v>31</v>
      </c>
      <c r="C393" s="19"/>
      <c r="D393" s="19" t="s">
        <v>33</v>
      </c>
      <c r="E393" s="19" t="s">
        <v>34</v>
      </c>
      <c r="F393" s="19" t="s">
        <v>84</v>
      </c>
      <c r="G393" s="20" t="s">
        <v>158</v>
      </c>
      <c r="H393" s="21" t="s">
        <v>72</v>
      </c>
      <c r="I393" s="19" t="s">
        <v>299</v>
      </c>
      <c r="J393" s="19" t="s">
        <v>300</v>
      </c>
      <c r="K393" s="22">
        <v>19</v>
      </c>
      <c r="L393" s="19" t="s">
        <v>46</v>
      </c>
      <c r="M393" s="23" t="s">
        <v>40</v>
      </c>
      <c r="N393" s="21">
        <v>30109898</v>
      </c>
      <c r="O393" s="21" t="s">
        <v>756</v>
      </c>
      <c r="P393" s="21"/>
      <c r="Q393" s="23" t="s">
        <v>303</v>
      </c>
      <c r="R393" s="24"/>
      <c r="S393" s="26">
        <v>661606000</v>
      </c>
      <c r="T393" s="30">
        <v>642350200</v>
      </c>
      <c r="U393" s="30">
        <f>121211731-101955931</f>
        <v>19255800</v>
      </c>
      <c r="V393" s="285">
        <f t="shared" si="205"/>
        <v>2415197</v>
      </c>
      <c r="W393" s="29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>
        <v>2415197</v>
      </c>
      <c r="AI393" s="30">
        <f t="shared" si="207"/>
        <v>16840603</v>
      </c>
      <c r="AJ393" s="30">
        <f>+S393-T393-V393-AI393</f>
        <v>0</v>
      </c>
      <c r="AK393" s="796" t="s">
        <v>43</v>
      </c>
      <c r="AL393" s="796" t="s">
        <v>44</v>
      </c>
      <c r="AM393" s="796"/>
      <c r="AN393" s="799"/>
    </row>
    <row r="394" spans="1:42" s="38" customFormat="1" ht="25.5" hidden="1" customHeight="1" outlineLevel="1">
      <c r="A394" s="35"/>
      <c r="B394" s="35"/>
      <c r="C394" s="35"/>
      <c r="D394" s="35"/>
      <c r="E394" s="35"/>
      <c r="F394" s="36"/>
      <c r="G394" s="36"/>
      <c r="H394" s="37"/>
      <c r="I394" s="36"/>
      <c r="J394" s="36"/>
      <c r="K394" s="36"/>
      <c r="L394" s="35"/>
      <c r="N394" s="39"/>
      <c r="O394" s="39"/>
      <c r="P394" s="39"/>
      <c r="Q394" s="132" t="s">
        <v>58</v>
      </c>
      <c r="R394" s="41"/>
      <c r="S394" s="133">
        <f t="shared" ref="S394:AJ394" si="208">SUBTOTAL(9,S391:S393)</f>
        <v>0</v>
      </c>
      <c r="T394" s="133">
        <f t="shared" ref="T394" si="209">SUBTOTAL(9,T391:T393)</f>
        <v>0</v>
      </c>
      <c r="U394" s="133">
        <f t="shared" si="208"/>
        <v>0</v>
      </c>
      <c r="V394" s="133">
        <f t="shared" si="208"/>
        <v>0</v>
      </c>
      <c r="W394" s="133">
        <f t="shared" si="208"/>
        <v>0</v>
      </c>
      <c r="X394" s="133">
        <f t="shared" si="208"/>
        <v>0</v>
      </c>
      <c r="Y394" s="133">
        <f t="shared" si="208"/>
        <v>0</v>
      </c>
      <c r="Z394" s="133">
        <f t="shared" si="208"/>
        <v>0</v>
      </c>
      <c r="AA394" s="133">
        <f t="shared" si="208"/>
        <v>0</v>
      </c>
      <c r="AB394" s="133">
        <f t="shared" si="208"/>
        <v>0</v>
      </c>
      <c r="AC394" s="133">
        <f t="shared" si="208"/>
        <v>0</v>
      </c>
      <c r="AD394" s="133">
        <f t="shared" si="208"/>
        <v>0</v>
      </c>
      <c r="AE394" s="133">
        <f t="shared" si="208"/>
        <v>0</v>
      </c>
      <c r="AF394" s="133">
        <f t="shared" si="208"/>
        <v>0</v>
      </c>
      <c r="AG394" s="133">
        <f t="shared" si="208"/>
        <v>0</v>
      </c>
      <c r="AH394" s="133">
        <v>60106819</v>
      </c>
      <c r="AI394" s="133">
        <f t="shared" si="208"/>
        <v>0</v>
      </c>
      <c r="AJ394" s="133">
        <f t="shared" si="208"/>
        <v>0</v>
      </c>
      <c r="AK394" s="796"/>
      <c r="AL394" s="796" t="s">
        <v>90</v>
      </c>
      <c r="AM394" s="796"/>
      <c r="AN394" s="799"/>
    </row>
    <row r="395" spans="1:42" s="18" customFormat="1" ht="25.5" hidden="1" customHeight="1" outlineLevel="1">
      <c r="A395" s="35"/>
      <c r="B395" s="35"/>
      <c r="C395" s="35"/>
      <c r="D395" s="35"/>
      <c r="E395" s="35"/>
      <c r="F395" s="36"/>
      <c r="G395" s="36"/>
      <c r="H395" s="37"/>
      <c r="I395" s="36"/>
      <c r="J395" s="36"/>
      <c r="K395" s="36"/>
      <c r="L395" s="35"/>
      <c r="M395" s="38"/>
      <c r="N395" s="39"/>
      <c r="O395" s="39"/>
      <c r="P395" s="39"/>
      <c r="Q395" s="46"/>
      <c r="R395" s="42"/>
      <c r="S395" s="47"/>
      <c r="T395" s="47"/>
      <c r="U395" s="47"/>
      <c r="V395" s="47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7"/>
      <c r="AJ395" s="47"/>
      <c r="AK395" s="796"/>
      <c r="AL395" s="796"/>
      <c r="AM395" s="796"/>
      <c r="AN395" s="799"/>
    </row>
    <row r="396" spans="1:42" s="33" customFormat="1" ht="25.5" hidden="1" customHeight="1" outlineLevel="2">
      <c r="A396" s="35"/>
      <c r="B396" s="35"/>
      <c r="C396" s="35"/>
      <c r="D396" s="35"/>
      <c r="E396" s="35"/>
      <c r="F396" s="36"/>
      <c r="G396" s="36"/>
      <c r="H396" s="37"/>
      <c r="I396" s="36"/>
      <c r="J396" s="36"/>
      <c r="K396" s="36"/>
      <c r="L396" s="35"/>
      <c r="M396" s="38"/>
      <c r="N396" s="39"/>
      <c r="O396" s="39"/>
      <c r="P396" s="39"/>
      <c r="Q396" s="17" t="s">
        <v>59</v>
      </c>
      <c r="R396" s="50"/>
      <c r="S396" s="51"/>
      <c r="T396" s="51"/>
      <c r="U396" s="52"/>
      <c r="V396" s="52"/>
      <c r="W396" s="52"/>
      <c r="X396" s="52"/>
      <c r="Y396" s="52"/>
      <c r="Z396" s="53"/>
      <c r="AA396" s="53"/>
      <c r="AB396" s="53"/>
      <c r="AC396" s="53"/>
      <c r="AD396" s="53"/>
      <c r="AE396" s="53"/>
      <c r="AF396" s="53"/>
      <c r="AG396" s="53"/>
      <c r="AH396" s="53"/>
      <c r="AI396" s="52"/>
      <c r="AJ396" s="52"/>
      <c r="AK396" s="796"/>
      <c r="AL396" s="796"/>
      <c r="AM396" s="796"/>
      <c r="AN396" s="799"/>
    </row>
    <row r="397" spans="1:42" s="33" customFormat="1" ht="25.5" hidden="1" customHeight="1" outlineLevel="2">
      <c r="A397" s="54"/>
      <c r="B397" s="54">
        <v>31</v>
      </c>
      <c r="C397" s="54"/>
      <c r="D397" s="54" t="s">
        <v>33</v>
      </c>
      <c r="E397" s="54" t="s">
        <v>60</v>
      </c>
      <c r="F397" s="54" t="s">
        <v>35</v>
      </c>
      <c r="G397" s="55" t="s">
        <v>158</v>
      </c>
      <c r="H397" s="56" t="s">
        <v>72</v>
      </c>
      <c r="I397" s="54" t="s">
        <v>299</v>
      </c>
      <c r="J397" s="54" t="s">
        <v>300</v>
      </c>
      <c r="K397" s="57">
        <v>19</v>
      </c>
      <c r="L397" s="54" t="s">
        <v>46</v>
      </c>
      <c r="M397" s="58" t="s">
        <v>40</v>
      </c>
      <c r="N397" s="56">
        <v>40009233</v>
      </c>
      <c r="O397" s="56" t="s">
        <v>756</v>
      </c>
      <c r="P397" s="56"/>
      <c r="Q397" s="58" t="s">
        <v>304</v>
      </c>
      <c r="R397" s="24"/>
      <c r="S397" s="59">
        <v>659095000</v>
      </c>
      <c r="T397" s="60">
        <v>256882357</v>
      </c>
      <c r="U397" s="60">
        <f>200000000+100000000</f>
        <v>300000000</v>
      </c>
      <c r="V397" s="292">
        <f t="shared" si="205"/>
        <v>93881237</v>
      </c>
      <c r="W397" s="29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>
        <v>93881237</v>
      </c>
      <c r="AI397" s="60">
        <f t="shared" si="207"/>
        <v>206118763</v>
      </c>
      <c r="AJ397" s="60">
        <f>+S397-T397-V397-AI397</f>
        <v>102212643</v>
      </c>
      <c r="AK397" s="796" t="s">
        <v>43</v>
      </c>
      <c r="AL397" s="796" t="s">
        <v>162</v>
      </c>
      <c r="AM397" s="796"/>
      <c r="AN397" s="799"/>
    </row>
    <row r="398" spans="1:42" s="18" customFormat="1" ht="25.5" customHeight="1" outlineLevel="1" collapsed="1">
      <c r="A398" s="54" t="s">
        <v>133</v>
      </c>
      <c r="B398" s="801">
        <v>31</v>
      </c>
      <c r="C398" s="729"/>
      <c r="D398" s="54" t="s">
        <v>33</v>
      </c>
      <c r="E398" s="801" t="s">
        <v>60</v>
      </c>
      <c r="F398" s="729" t="s">
        <v>84</v>
      </c>
      <c r="G398" s="55" t="s">
        <v>49</v>
      </c>
      <c r="H398" s="56" t="s">
        <v>85</v>
      </c>
      <c r="I398" s="801" t="s">
        <v>299</v>
      </c>
      <c r="J398" s="801" t="s">
        <v>300</v>
      </c>
      <c r="K398" s="57">
        <v>19</v>
      </c>
      <c r="L398" s="54" t="s">
        <v>46</v>
      </c>
      <c r="M398" s="802" t="s">
        <v>40</v>
      </c>
      <c r="N398" s="803">
        <v>30093349</v>
      </c>
      <c r="O398" s="770" t="s">
        <v>757</v>
      </c>
      <c r="P398" s="56"/>
      <c r="Q398" s="802" t="s">
        <v>305</v>
      </c>
      <c r="R398" s="24"/>
      <c r="S398" s="804">
        <v>563580000</v>
      </c>
      <c r="T398" s="805">
        <v>0</v>
      </c>
      <c r="U398" s="805">
        <f>200000000+101955931</f>
        <v>301955931</v>
      </c>
      <c r="V398" s="805">
        <f t="shared" si="205"/>
        <v>0</v>
      </c>
      <c r="W398" s="29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>
        <v>0</v>
      </c>
      <c r="AI398" s="805">
        <f t="shared" si="207"/>
        <v>301955931</v>
      </c>
      <c r="AJ398" s="805">
        <f>+S398-T398-V398-AI398</f>
        <v>261624069</v>
      </c>
      <c r="AK398" s="806" t="s">
        <v>43</v>
      </c>
      <c r="AL398" s="806" t="s">
        <v>759</v>
      </c>
      <c r="AM398" s="806" t="str">
        <f t="shared" ref="AM398:AM401" si="210">HYPERLINK(CONCATENATE("DOCUMENTOS\ACTA-",N398,".PDF"))</f>
        <v>DOCUMENTOS\ACTA-30093349.PDF</v>
      </c>
      <c r="AN398" s="807"/>
      <c r="AO398" s="33" t="e">
        <f>VLOOKUP(N398,'CONVENIOS 2021'!A$1:A$53,1,FALSE)</f>
        <v>#N/A</v>
      </c>
      <c r="AP398" s="33" t="e">
        <f>VLOOKUP(N398,'CONVENIOS 2020'!A$2:A$72,1,FALSE)</f>
        <v>#N/A</v>
      </c>
    </row>
    <row r="399" spans="1:42" s="18" customFormat="1" ht="25.5" customHeight="1" outlineLevel="1">
      <c r="A399" s="54"/>
      <c r="B399" s="801">
        <v>31</v>
      </c>
      <c r="C399" s="729"/>
      <c r="D399" s="54" t="s">
        <v>33</v>
      </c>
      <c r="E399" s="801" t="s">
        <v>60</v>
      </c>
      <c r="F399" s="729" t="s">
        <v>84</v>
      </c>
      <c r="G399" s="55" t="s">
        <v>158</v>
      </c>
      <c r="H399" s="56" t="s">
        <v>72</v>
      </c>
      <c r="I399" s="801" t="s">
        <v>299</v>
      </c>
      <c r="J399" s="801" t="s">
        <v>300</v>
      </c>
      <c r="K399" s="57">
        <v>19</v>
      </c>
      <c r="L399" s="54" t="s">
        <v>205</v>
      </c>
      <c r="M399" s="802" t="s">
        <v>40</v>
      </c>
      <c r="N399" s="803">
        <v>30116708</v>
      </c>
      <c r="O399" s="770" t="s">
        <v>757</v>
      </c>
      <c r="P399" s="56"/>
      <c r="Q399" s="802" t="s">
        <v>306</v>
      </c>
      <c r="R399" s="24"/>
      <c r="S399" s="804">
        <v>842254000</v>
      </c>
      <c r="T399" s="805">
        <v>0</v>
      </c>
      <c r="U399" s="805">
        <v>150000000</v>
      </c>
      <c r="V399" s="805">
        <f t="shared" si="205"/>
        <v>0</v>
      </c>
      <c r="W399" s="29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>
        <v>0</v>
      </c>
      <c r="AI399" s="805">
        <f t="shared" si="207"/>
        <v>150000000</v>
      </c>
      <c r="AJ399" s="805">
        <f>+S399-T399-V399-AI399</f>
        <v>692254000</v>
      </c>
      <c r="AK399" s="806" t="s">
        <v>43</v>
      </c>
      <c r="AL399" s="806" t="s">
        <v>759</v>
      </c>
      <c r="AM399" s="806" t="str">
        <f t="shared" si="210"/>
        <v>DOCUMENTOS\ACTA-30116708.PDF</v>
      </c>
      <c r="AN399" s="807"/>
      <c r="AO399" s="33" t="e">
        <f>VLOOKUP(N399,'CONVENIOS 2021'!A$1:A$53,1,FALSE)</f>
        <v>#N/A</v>
      </c>
      <c r="AP399" s="33" t="e">
        <f>VLOOKUP(N399,'CONVENIOS 2020'!A$2:A$72,1,FALSE)</f>
        <v>#N/A</v>
      </c>
    </row>
    <row r="400" spans="1:42" s="18" customFormat="1" ht="25.5" customHeight="1" outlineLevel="1">
      <c r="A400" s="54" t="s">
        <v>118</v>
      </c>
      <c r="B400" s="801">
        <v>31</v>
      </c>
      <c r="C400" s="729"/>
      <c r="D400" s="54" t="s">
        <v>33</v>
      </c>
      <c r="E400" s="801" t="s">
        <v>60</v>
      </c>
      <c r="F400" s="729" t="s">
        <v>35</v>
      </c>
      <c r="G400" s="55" t="s">
        <v>180</v>
      </c>
      <c r="H400" s="56" t="s">
        <v>72</v>
      </c>
      <c r="I400" s="801" t="s">
        <v>299</v>
      </c>
      <c r="J400" s="801" t="s">
        <v>300</v>
      </c>
      <c r="K400" s="57">
        <v>19</v>
      </c>
      <c r="L400" s="54" t="s">
        <v>46</v>
      </c>
      <c r="M400" s="802" t="s">
        <v>40</v>
      </c>
      <c r="N400" s="803">
        <v>40017416</v>
      </c>
      <c r="O400" s="770" t="s">
        <v>757</v>
      </c>
      <c r="P400" s="56"/>
      <c r="Q400" s="802" t="s">
        <v>307</v>
      </c>
      <c r="R400" s="146"/>
      <c r="S400" s="804">
        <v>406672000</v>
      </c>
      <c r="T400" s="805">
        <v>0</v>
      </c>
      <c r="U400" s="805">
        <v>200000000</v>
      </c>
      <c r="V400" s="805">
        <f t="shared" si="205"/>
        <v>0</v>
      </c>
      <c r="W400" s="147"/>
      <c r="X400" s="121"/>
      <c r="Y400" s="121"/>
      <c r="Z400" s="121"/>
      <c r="AA400" s="28"/>
      <c r="AB400" s="28"/>
      <c r="AC400" s="28"/>
      <c r="AD400" s="28"/>
      <c r="AE400" s="28"/>
      <c r="AF400" s="28"/>
      <c r="AG400" s="121"/>
      <c r="AH400" s="28">
        <v>0</v>
      </c>
      <c r="AI400" s="805">
        <f t="shared" si="207"/>
        <v>200000000</v>
      </c>
      <c r="AJ400" s="805">
        <f>+S400-T400-V400-AI400</f>
        <v>206672000</v>
      </c>
      <c r="AK400" s="806" t="s">
        <v>43</v>
      </c>
      <c r="AL400" s="806" t="s">
        <v>759</v>
      </c>
      <c r="AM400" s="806" t="str">
        <f t="shared" si="210"/>
        <v>DOCUMENTOS\ACTA-40017416.PDF</v>
      </c>
      <c r="AN400" s="807"/>
      <c r="AO400" s="33" t="e">
        <f>VLOOKUP(N400,'CONVENIOS 2021'!A$1:A$53,1,FALSE)</f>
        <v>#N/A</v>
      </c>
      <c r="AP400" s="33" t="e">
        <f>VLOOKUP(N400,'CONVENIOS 2020'!A$2:A$72,1,FALSE)</f>
        <v>#N/A</v>
      </c>
    </row>
    <row r="401" spans="1:42" s="18" customFormat="1" ht="25.5" customHeight="1" outlineLevel="1">
      <c r="A401" s="54"/>
      <c r="B401" s="801">
        <v>31</v>
      </c>
      <c r="C401" s="729"/>
      <c r="D401" s="54" t="s">
        <v>33</v>
      </c>
      <c r="E401" s="801" t="s">
        <v>60</v>
      </c>
      <c r="F401" s="729" t="s">
        <v>35</v>
      </c>
      <c r="G401" s="55" t="s">
        <v>49</v>
      </c>
      <c r="H401" s="56" t="s">
        <v>50</v>
      </c>
      <c r="I401" s="801" t="s">
        <v>299</v>
      </c>
      <c r="J401" s="801" t="s">
        <v>300</v>
      </c>
      <c r="K401" s="57">
        <v>19</v>
      </c>
      <c r="L401" s="54" t="s">
        <v>46</v>
      </c>
      <c r="M401" s="802" t="s">
        <v>40</v>
      </c>
      <c r="N401" s="803">
        <v>40001823</v>
      </c>
      <c r="O401" s="770" t="s">
        <v>757</v>
      </c>
      <c r="P401" s="56"/>
      <c r="Q401" s="802" t="s">
        <v>308</v>
      </c>
      <c r="R401" s="24"/>
      <c r="S401" s="804">
        <v>225228000</v>
      </c>
      <c r="T401" s="805">
        <v>0</v>
      </c>
      <c r="U401" s="805">
        <f>50000000+10199000</f>
        <v>60199000</v>
      </c>
      <c r="V401" s="805">
        <f t="shared" si="205"/>
        <v>0</v>
      </c>
      <c r="W401" s="29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>
        <v>0</v>
      </c>
      <c r="AI401" s="805">
        <f t="shared" si="207"/>
        <v>60199000</v>
      </c>
      <c r="AJ401" s="805">
        <f>+S401-T401-V401-AI401</f>
        <v>165029000</v>
      </c>
      <c r="AK401" s="806" t="s">
        <v>43</v>
      </c>
      <c r="AL401" s="806" t="s">
        <v>759</v>
      </c>
      <c r="AM401" s="806" t="str">
        <f t="shared" si="210"/>
        <v>DOCUMENTOS\ACTA-40001823.PDF</v>
      </c>
      <c r="AN401" s="807"/>
      <c r="AO401" s="33" t="e">
        <f>VLOOKUP(N401,'CONVENIOS 2021'!A$1:A$53,1,FALSE)</f>
        <v>#N/A</v>
      </c>
      <c r="AP401" s="33" t="e">
        <f>VLOOKUP(N401,'CONVENIOS 2020'!A$2:A$72,1,FALSE)</f>
        <v>#N/A</v>
      </c>
    </row>
    <row r="402" spans="1:42" s="38" customFormat="1" ht="25.5" hidden="1" customHeight="1" outlineLevel="1">
      <c r="A402" s="35"/>
      <c r="B402" s="35"/>
      <c r="C402" s="35"/>
      <c r="D402" s="35"/>
      <c r="E402" s="35"/>
      <c r="F402" s="36"/>
      <c r="G402" s="36"/>
      <c r="H402" s="37"/>
      <c r="I402" s="36"/>
      <c r="J402" s="36"/>
      <c r="K402" s="36"/>
      <c r="L402" s="35"/>
      <c r="N402" s="39"/>
      <c r="O402" s="39"/>
      <c r="P402" s="39"/>
      <c r="Q402" s="139" t="s">
        <v>67</v>
      </c>
      <c r="R402" s="41"/>
      <c r="S402" s="140">
        <f t="shared" ref="S402:AJ402" si="211">SUBTOTAL(9,S397:S401)</f>
        <v>2037734000</v>
      </c>
      <c r="T402" s="140">
        <f t="shared" ref="T402" si="212">SUBTOTAL(9,T397:T401)</f>
        <v>0</v>
      </c>
      <c r="U402" s="140">
        <f t="shared" si="211"/>
        <v>712154931</v>
      </c>
      <c r="V402" s="140">
        <f t="shared" si="211"/>
        <v>0</v>
      </c>
      <c r="W402" s="140">
        <f t="shared" si="211"/>
        <v>0</v>
      </c>
      <c r="X402" s="140">
        <f t="shared" si="211"/>
        <v>0</v>
      </c>
      <c r="Y402" s="140">
        <f t="shared" si="211"/>
        <v>0</v>
      </c>
      <c r="Z402" s="140">
        <f t="shared" si="211"/>
        <v>0</v>
      </c>
      <c r="AA402" s="140">
        <f t="shared" si="211"/>
        <v>0</v>
      </c>
      <c r="AB402" s="140">
        <f t="shared" si="211"/>
        <v>0</v>
      </c>
      <c r="AC402" s="140">
        <f t="shared" si="211"/>
        <v>0</v>
      </c>
      <c r="AD402" s="140">
        <f t="shared" si="211"/>
        <v>0</v>
      </c>
      <c r="AE402" s="140">
        <f t="shared" si="211"/>
        <v>0</v>
      </c>
      <c r="AF402" s="140">
        <f t="shared" si="211"/>
        <v>0</v>
      </c>
      <c r="AG402" s="140">
        <f t="shared" si="211"/>
        <v>0</v>
      </c>
      <c r="AH402" s="140">
        <v>93881237</v>
      </c>
      <c r="AI402" s="140">
        <f t="shared" si="211"/>
        <v>712154931</v>
      </c>
      <c r="AJ402" s="140">
        <f t="shared" si="211"/>
        <v>1325579069</v>
      </c>
      <c r="AK402" s="796"/>
      <c r="AL402" s="796" t="s">
        <v>63</v>
      </c>
      <c r="AM402" s="796"/>
      <c r="AN402" s="799"/>
    </row>
    <row r="403" spans="1:42" s="38" customFormat="1" ht="25.5" hidden="1" customHeight="1" outlineLevel="1">
      <c r="A403" s="35"/>
      <c r="B403" s="35"/>
      <c r="C403" s="35"/>
      <c r="D403" s="35"/>
      <c r="E403" s="35"/>
      <c r="F403" s="36"/>
      <c r="G403" s="36"/>
      <c r="H403" s="37"/>
      <c r="I403" s="36"/>
      <c r="J403" s="36"/>
      <c r="K403" s="36"/>
      <c r="L403" s="35"/>
      <c r="N403" s="39"/>
      <c r="O403" s="39"/>
      <c r="P403" s="39"/>
      <c r="Q403" s="46"/>
      <c r="R403" s="116"/>
      <c r="S403" s="47"/>
      <c r="T403" s="47"/>
      <c r="U403" s="47"/>
      <c r="V403" s="47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47"/>
      <c r="AJ403" s="47"/>
      <c r="AK403" s="796"/>
      <c r="AL403" s="796"/>
      <c r="AM403" s="796"/>
      <c r="AN403" s="799"/>
    </row>
    <row r="404" spans="1:42" s="18" customFormat="1" ht="25.5" hidden="1" customHeight="1" outlineLevel="1">
      <c r="A404" s="35"/>
      <c r="B404" s="35"/>
      <c r="C404" s="35"/>
      <c r="D404" s="35"/>
      <c r="E404" s="35"/>
      <c r="F404" s="36"/>
      <c r="G404" s="36"/>
      <c r="H404" s="37"/>
      <c r="I404" s="36"/>
      <c r="J404" s="36"/>
      <c r="K404" s="36"/>
      <c r="L404" s="35"/>
      <c r="M404" s="38"/>
      <c r="N404" s="39"/>
      <c r="O404" s="39"/>
      <c r="P404" s="39"/>
      <c r="Q404" s="17" t="s">
        <v>68</v>
      </c>
      <c r="R404" s="116"/>
      <c r="S404" s="47"/>
      <c r="T404" s="47"/>
      <c r="U404" s="47"/>
      <c r="V404" s="47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47"/>
      <c r="AJ404" s="47"/>
      <c r="AK404" s="796"/>
      <c r="AL404" s="796"/>
      <c r="AM404" s="796"/>
      <c r="AN404" s="799"/>
    </row>
    <row r="405" spans="1:42" s="38" customFormat="1" ht="25.5" hidden="1" customHeight="1" outlineLevel="1">
      <c r="A405" s="166"/>
      <c r="B405" s="66">
        <v>31</v>
      </c>
      <c r="C405" s="735">
        <v>1</v>
      </c>
      <c r="D405" s="166" t="s">
        <v>192</v>
      </c>
      <c r="E405" s="66" t="s">
        <v>69</v>
      </c>
      <c r="F405" s="176"/>
      <c r="G405" s="176"/>
      <c r="H405" s="177" t="s">
        <v>50</v>
      </c>
      <c r="I405" s="166" t="s">
        <v>299</v>
      </c>
      <c r="J405" s="166" t="s">
        <v>300</v>
      </c>
      <c r="K405" s="183">
        <v>19</v>
      </c>
      <c r="L405" s="66" t="s">
        <v>46</v>
      </c>
      <c r="M405" s="70" t="s">
        <v>40</v>
      </c>
      <c r="N405" s="68">
        <v>30083781</v>
      </c>
      <c r="O405" s="68" t="s">
        <v>757</v>
      </c>
      <c r="P405" s="68"/>
      <c r="Q405" s="742" t="s">
        <v>309</v>
      </c>
      <c r="R405" s="178"/>
      <c r="S405" s="71">
        <v>9154000</v>
      </c>
      <c r="T405" s="72">
        <v>0</v>
      </c>
      <c r="U405" s="72">
        <v>9154000</v>
      </c>
      <c r="V405" s="297">
        <f t="shared" si="205"/>
        <v>0</v>
      </c>
      <c r="W405" s="147"/>
      <c r="X405" s="121"/>
      <c r="Y405" s="121"/>
      <c r="Z405" s="121"/>
      <c r="AA405" s="28"/>
      <c r="AB405" s="28"/>
      <c r="AC405" s="28"/>
      <c r="AD405" s="28"/>
      <c r="AE405" s="28"/>
      <c r="AF405" s="28"/>
      <c r="AG405" s="121"/>
      <c r="AH405" s="28">
        <v>0</v>
      </c>
      <c r="AI405" s="72">
        <f t="shared" si="207"/>
        <v>9154000</v>
      </c>
      <c r="AJ405" s="72">
        <f>+S405-T405-V405-AI405</f>
        <v>0</v>
      </c>
      <c r="AK405" s="796" t="s">
        <v>48</v>
      </c>
      <c r="AL405" s="796" t="s">
        <v>66</v>
      </c>
      <c r="AM405" s="796"/>
      <c r="AN405" s="799"/>
      <c r="AO405" s="33">
        <f>VLOOKUP(N405,'CONVENIOS 2021'!A$1:A$53,1,FALSE)</f>
        <v>30083781</v>
      </c>
    </row>
    <row r="406" spans="1:42" s="38" customFormat="1" ht="25.5" customHeight="1" outlineLevel="1">
      <c r="A406" s="66" t="s">
        <v>118</v>
      </c>
      <c r="B406" s="801">
        <v>31</v>
      </c>
      <c r="C406" s="730"/>
      <c r="D406" s="66" t="s">
        <v>33</v>
      </c>
      <c r="E406" s="801" t="s">
        <v>69</v>
      </c>
      <c r="F406" s="730"/>
      <c r="G406" s="66"/>
      <c r="H406" s="68" t="s">
        <v>208</v>
      </c>
      <c r="I406" s="801" t="s">
        <v>299</v>
      </c>
      <c r="J406" s="801" t="s">
        <v>300</v>
      </c>
      <c r="K406" s="183">
        <v>19</v>
      </c>
      <c r="L406" s="66" t="s">
        <v>310</v>
      </c>
      <c r="M406" s="802" t="s">
        <v>40</v>
      </c>
      <c r="N406" s="803">
        <v>40012136</v>
      </c>
      <c r="O406" s="771"/>
      <c r="P406" s="68"/>
      <c r="Q406" s="802" t="s">
        <v>311</v>
      </c>
      <c r="R406" s="146"/>
      <c r="S406" s="804">
        <v>189406000</v>
      </c>
      <c r="T406" s="805">
        <v>0</v>
      </c>
      <c r="U406" s="805">
        <v>189406000</v>
      </c>
      <c r="V406" s="805">
        <f t="shared" si="205"/>
        <v>0</v>
      </c>
      <c r="W406" s="147"/>
      <c r="X406" s="121"/>
      <c r="Y406" s="121"/>
      <c r="Z406" s="121"/>
      <c r="AA406" s="28"/>
      <c r="AB406" s="28"/>
      <c r="AC406" s="28"/>
      <c r="AD406" s="28"/>
      <c r="AE406" s="28"/>
      <c r="AF406" s="28"/>
      <c r="AG406" s="121"/>
      <c r="AH406" s="28">
        <v>0</v>
      </c>
      <c r="AI406" s="805">
        <f t="shared" si="207"/>
        <v>189406000</v>
      </c>
      <c r="AJ406" s="805">
        <f>+S406-T406-V406-AI406</f>
        <v>0</v>
      </c>
      <c r="AK406" s="806" t="s">
        <v>43</v>
      </c>
      <c r="AL406" s="806" t="s">
        <v>772</v>
      </c>
      <c r="AM406" s="806"/>
      <c r="AN406" s="807"/>
      <c r="AO406" s="33" t="e">
        <f>VLOOKUP(N406,'CONVENIOS 2021'!A$1:A$53,1,FALSE)</f>
        <v>#N/A</v>
      </c>
      <c r="AP406" s="33" t="e">
        <f>VLOOKUP(N406,'CONVENIOS 2020'!A$2:A$72,1,FALSE)</f>
        <v>#N/A</v>
      </c>
    </row>
    <row r="407" spans="1:42" s="18" customFormat="1" ht="25.5" hidden="1" customHeight="1" outlineLevel="1">
      <c r="A407" s="180"/>
      <c r="B407" s="180">
        <v>33</v>
      </c>
      <c r="C407" s="180"/>
      <c r="D407" s="180" t="s">
        <v>76</v>
      </c>
      <c r="E407" s="180" t="s">
        <v>69</v>
      </c>
      <c r="F407" s="180" t="s">
        <v>35</v>
      </c>
      <c r="G407" s="181" t="s">
        <v>49</v>
      </c>
      <c r="H407" s="182" t="s">
        <v>61</v>
      </c>
      <c r="I407" s="180" t="s">
        <v>299</v>
      </c>
      <c r="J407" s="180" t="s">
        <v>300</v>
      </c>
      <c r="K407" s="183">
        <v>19</v>
      </c>
      <c r="L407" s="180" t="s">
        <v>76</v>
      </c>
      <c r="M407" s="184" t="s">
        <v>40</v>
      </c>
      <c r="N407" s="182" t="s">
        <v>76</v>
      </c>
      <c r="O407" s="68"/>
      <c r="P407" s="182"/>
      <c r="Q407" s="184" t="s">
        <v>77</v>
      </c>
      <c r="R407" s="185"/>
      <c r="S407" s="188">
        <v>200000000</v>
      </c>
      <c r="T407" s="189">
        <v>0</v>
      </c>
      <c r="U407" s="189">
        <v>200000000</v>
      </c>
      <c r="V407" s="300">
        <f t="shared" si="205"/>
        <v>27001017</v>
      </c>
      <c r="W407" s="143"/>
      <c r="X407" s="143"/>
      <c r="Y407" s="143"/>
      <c r="Z407" s="143"/>
      <c r="AA407" s="143"/>
      <c r="AB407" s="28"/>
      <c r="AC407" s="143"/>
      <c r="AD407" s="143"/>
      <c r="AE407" s="143"/>
      <c r="AF407" s="143"/>
      <c r="AG407" s="28"/>
      <c r="AH407" s="72">
        <v>27001017</v>
      </c>
      <c r="AI407" s="189">
        <f t="shared" si="207"/>
        <v>172998983</v>
      </c>
      <c r="AJ407" s="189">
        <f>+S407-T407-V407-AI407</f>
        <v>0</v>
      </c>
      <c r="AK407" s="796" t="s">
        <v>78</v>
      </c>
      <c r="AL407" s="796"/>
      <c r="AM407" s="796"/>
      <c r="AN407" s="799"/>
    </row>
    <row r="408" spans="1:42" s="38" customFormat="1" ht="25.5" hidden="1" customHeight="1" outlineLevel="1">
      <c r="A408" s="35"/>
      <c r="B408" s="35"/>
      <c r="C408" s="35"/>
      <c r="D408" s="35"/>
      <c r="E408" s="35"/>
      <c r="F408" s="36"/>
      <c r="G408" s="36"/>
      <c r="H408" s="37"/>
      <c r="I408" s="36"/>
      <c r="J408" s="36"/>
      <c r="K408" s="36"/>
      <c r="L408" s="35"/>
      <c r="N408" s="39"/>
      <c r="O408" s="39"/>
      <c r="P408" s="39"/>
      <c r="Q408" s="134" t="s">
        <v>80</v>
      </c>
      <c r="R408" s="116"/>
      <c r="S408" s="110">
        <f t="shared" ref="S408:U408" si="213">SUBTOTAL(9,S405:S407)</f>
        <v>189406000</v>
      </c>
      <c r="T408" s="110">
        <f t="shared" ref="T408" si="214">SUBTOTAL(9,T405:T407)</f>
        <v>0</v>
      </c>
      <c r="U408" s="110">
        <f t="shared" si="213"/>
        <v>189406000</v>
      </c>
      <c r="V408" s="110">
        <f t="shared" ref="V408:AJ408" si="215">SUBTOTAL(9,V405:V407)</f>
        <v>0</v>
      </c>
      <c r="W408" s="110">
        <f t="shared" si="215"/>
        <v>0</v>
      </c>
      <c r="X408" s="110">
        <f t="shared" si="215"/>
        <v>0</v>
      </c>
      <c r="Y408" s="110">
        <f t="shared" si="215"/>
        <v>0</v>
      </c>
      <c r="Z408" s="110">
        <f t="shared" si="215"/>
        <v>0</v>
      </c>
      <c r="AA408" s="110">
        <f t="shared" si="215"/>
        <v>0</v>
      </c>
      <c r="AB408" s="110">
        <f t="shared" si="215"/>
        <v>0</v>
      </c>
      <c r="AC408" s="110">
        <f t="shared" si="215"/>
        <v>0</v>
      </c>
      <c r="AD408" s="110">
        <f t="shared" si="215"/>
        <v>0</v>
      </c>
      <c r="AE408" s="110">
        <f t="shared" si="215"/>
        <v>0</v>
      </c>
      <c r="AF408" s="110">
        <f t="shared" si="215"/>
        <v>0</v>
      </c>
      <c r="AG408" s="110">
        <f t="shared" si="215"/>
        <v>0</v>
      </c>
      <c r="AH408" s="110">
        <v>27001017</v>
      </c>
      <c r="AI408" s="110">
        <f t="shared" si="215"/>
        <v>189406000</v>
      </c>
      <c r="AJ408" s="110">
        <f t="shared" si="215"/>
        <v>0</v>
      </c>
      <c r="AK408" s="796"/>
      <c r="AL408" s="796"/>
      <c r="AM408" s="796"/>
      <c r="AN408" s="799"/>
    </row>
    <row r="409" spans="1:42" s="90" customFormat="1" ht="24.75" hidden="1" customHeight="1" outlineLevel="1">
      <c r="A409" s="35"/>
      <c r="B409" s="35"/>
      <c r="C409" s="35"/>
      <c r="D409" s="35"/>
      <c r="E409" s="35"/>
      <c r="F409" s="36"/>
      <c r="G409" s="36"/>
      <c r="H409" s="37"/>
      <c r="I409" s="36"/>
      <c r="J409" s="36"/>
      <c r="K409" s="36"/>
      <c r="L409" s="35"/>
      <c r="M409" s="38"/>
      <c r="N409" s="39"/>
      <c r="O409" s="39"/>
      <c r="P409" s="39"/>
      <c r="Q409" s="46"/>
      <c r="R409" s="116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796"/>
      <c r="AL409" s="796"/>
      <c r="AM409" s="796"/>
      <c r="AN409" s="799"/>
    </row>
    <row r="410" spans="1:42" s="84" customFormat="1" ht="24.75" hidden="1" customHeight="1" outlineLevel="1">
      <c r="A410" s="36"/>
      <c r="B410" s="82"/>
      <c r="C410" s="82"/>
      <c r="D410" s="36"/>
      <c r="E410" s="36"/>
      <c r="F410" s="36"/>
      <c r="G410" s="36"/>
      <c r="H410" s="37"/>
      <c r="I410" s="36"/>
      <c r="J410" s="36"/>
      <c r="K410" s="36"/>
      <c r="L410" s="82"/>
      <c r="N410" s="83"/>
      <c r="O410" s="39"/>
      <c r="P410" s="39"/>
      <c r="Q410" s="85" t="s">
        <v>312</v>
      </c>
      <c r="R410" s="111"/>
      <c r="S410" s="88">
        <f t="shared" ref="S410:U410" si="216">S394+S402+S408</f>
        <v>2227140000</v>
      </c>
      <c r="T410" s="88">
        <f t="shared" ref="T410" si="217">T394+T402+T408</f>
        <v>0</v>
      </c>
      <c r="U410" s="88">
        <f t="shared" si="216"/>
        <v>901560931</v>
      </c>
      <c r="V410" s="88">
        <f t="shared" ref="V410:AJ410" si="218">V394+V402+V408</f>
        <v>0</v>
      </c>
      <c r="W410" s="88">
        <f t="shared" si="218"/>
        <v>0</v>
      </c>
      <c r="X410" s="88">
        <f t="shared" si="218"/>
        <v>0</v>
      </c>
      <c r="Y410" s="88">
        <f t="shared" si="218"/>
        <v>0</v>
      </c>
      <c r="Z410" s="88">
        <f t="shared" si="218"/>
        <v>0</v>
      </c>
      <c r="AA410" s="88">
        <f t="shared" si="218"/>
        <v>0</v>
      </c>
      <c r="AB410" s="88">
        <f t="shared" si="218"/>
        <v>0</v>
      </c>
      <c r="AC410" s="88">
        <f t="shared" si="218"/>
        <v>0</v>
      </c>
      <c r="AD410" s="88">
        <f t="shared" si="218"/>
        <v>0</v>
      </c>
      <c r="AE410" s="88">
        <f t="shared" si="218"/>
        <v>0</v>
      </c>
      <c r="AF410" s="88">
        <f t="shared" si="218"/>
        <v>0</v>
      </c>
      <c r="AG410" s="88">
        <f t="shared" si="218"/>
        <v>0</v>
      </c>
      <c r="AH410" s="88">
        <v>180989073</v>
      </c>
      <c r="AI410" s="88">
        <f t="shared" si="218"/>
        <v>901560931</v>
      </c>
      <c r="AJ410" s="88">
        <f t="shared" si="218"/>
        <v>1325579069</v>
      </c>
      <c r="AK410" s="796"/>
      <c r="AL410" s="796"/>
      <c r="AM410" s="796"/>
      <c r="AN410" s="799"/>
    </row>
    <row r="411" spans="1:42" s="84" customFormat="1" ht="24.75" hidden="1" customHeight="1" outlineLevel="1">
      <c r="A411" s="36"/>
      <c r="B411" s="82"/>
      <c r="C411" s="82"/>
      <c r="D411" s="36"/>
      <c r="E411" s="36"/>
      <c r="F411" s="36"/>
      <c r="G411" s="36"/>
      <c r="H411" s="37"/>
      <c r="I411" s="36"/>
      <c r="J411" s="36"/>
      <c r="K411" s="36"/>
      <c r="L411" s="82"/>
      <c r="N411" s="83"/>
      <c r="O411" s="39"/>
      <c r="P411" s="39"/>
      <c r="Q411" s="91"/>
      <c r="R411" s="87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796"/>
      <c r="AL411" s="796"/>
      <c r="AM411" s="796"/>
      <c r="AN411" s="799"/>
    </row>
    <row r="412" spans="1:42" s="84" customFormat="1" ht="24.75" hidden="1" customHeight="1" outlineLevel="1">
      <c r="A412" s="36"/>
      <c r="B412" s="82"/>
      <c r="C412" s="82"/>
      <c r="D412" s="36"/>
      <c r="E412" s="36"/>
      <c r="F412" s="36"/>
      <c r="G412" s="36"/>
      <c r="H412" s="37"/>
      <c r="I412" s="36"/>
      <c r="J412" s="36"/>
      <c r="K412" s="36"/>
      <c r="L412" s="82"/>
      <c r="N412" s="83"/>
      <c r="O412" s="39"/>
      <c r="P412" s="39"/>
      <c r="Q412" s="596"/>
      <c r="R412" s="87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796"/>
      <c r="AL412" s="796"/>
      <c r="AM412" s="796"/>
      <c r="AN412" s="799"/>
    </row>
    <row r="413" spans="1:42" s="18" customFormat="1" ht="25.5" hidden="1" customHeight="1" outlineLevel="1">
      <c r="A413" s="36"/>
      <c r="B413" s="36"/>
      <c r="C413" s="36"/>
      <c r="D413" s="36"/>
      <c r="E413" s="36"/>
      <c r="F413" s="36"/>
      <c r="G413" s="36"/>
      <c r="H413" s="37"/>
      <c r="I413" s="36"/>
      <c r="J413" s="36"/>
      <c r="K413" s="36"/>
      <c r="L413" s="36"/>
      <c r="M413" s="95"/>
      <c r="N413" s="37"/>
      <c r="O413" s="39"/>
      <c r="P413" s="39"/>
      <c r="Q413" s="96" t="s">
        <v>313</v>
      </c>
      <c r="R413" s="50"/>
      <c r="S413" s="97"/>
      <c r="T413" s="97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796"/>
      <c r="AL413" s="796"/>
      <c r="AM413" s="796"/>
      <c r="AN413" s="799"/>
    </row>
    <row r="414" spans="1:42" s="33" customFormat="1" ht="25.5" hidden="1" customHeight="1" outlineLevel="2">
      <c r="A414" s="35"/>
      <c r="B414" s="35"/>
      <c r="C414" s="35"/>
      <c r="D414" s="35"/>
      <c r="E414" s="35"/>
      <c r="F414" s="36"/>
      <c r="G414" s="36"/>
      <c r="H414" s="37"/>
      <c r="I414" s="36"/>
      <c r="J414" s="36"/>
      <c r="K414" s="36"/>
      <c r="L414" s="35"/>
      <c r="M414" s="38"/>
      <c r="N414" s="39"/>
      <c r="O414" s="39"/>
      <c r="P414" s="39"/>
      <c r="Q414" s="17" t="s">
        <v>32</v>
      </c>
      <c r="R414" s="50"/>
      <c r="S414" s="51"/>
      <c r="T414" s="51"/>
      <c r="U414" s="52"/>
      <c r="V414" s="52"/>
      <c r="W414" s="52"/>
      <c r="X414" s="52"/>
      <c r="Y414" s="52"/>
      <c r="Z414" s="53"/>
      <c r="AA414" s="53"/>
      <c r="AB414" s="53"/>
      <c r="AC414" s="53"/>
      <c r="AD414" s="53"/>
      <c r="AE414" s="53"/>
      <c r="AF414" s="53"/>
      <c r="AG414" s="53"/>
      <c r="AH414" s="53"/>
      <c r="AI414" s="52"/>
      <c r="AJ414" s="52"/>
      <c r="AK414" s="796"/>
      <c r="AL414" s="796"/>
      <c r="AM414" s="796"/>
      <c r="AN414" s="799"/>
    </row>
    <row r="415" spans="1:42" s="33" customFormat="1" ht="25.5" hidden="1" customHeight="1" outlineLevel="2">
      <c r="A415" s="19"/>
      <c r="B415" s="19">
        <v>31</v>
      </c>
      <c r="C415" s="19"/>
      <c r="D415" s="19" t="s">
        <v>33</v>
      </c>
      <c r="E415" s="19" t="s">
        <v>34</v>
      </c>
      <c r="F415" s="19" t="s">
        <v>35</v>
      </c>
      <c r="G415" s="20" t="s">
        <v>36</v>
      </c>
      <c r="H415" s="21" t="s">
        <v>64</v>
      </c>
      <c r="I415" s="19" t="s">
        <v>299</v>
      </c>
      <c r="J415" s="19" t="s">
        <v>314</v>
      </c>
      <c r="K415" s="22">
        <v>20</v>
      </c>
      <c r="L415" s="19" t="s">
        <v>46</v>
      </c>
      <c r="M415" s="23" t="s">
        <v>40</v>
      </c>
      <c r="N415" s="21">
        <v>30485135</v>
      </c>
      <c r="O415" s="21" t="s">
        <v>757</v>
      </c>
      <c r="P415" s="21"/>
      <c r="Q415" s="23" t="s">
        <v>315</v>
      </c>
      <c r="R415" s="24"/>
      <c r="S415" s="26">
        <v>457733000</v>
      </c>
      <c r="T415" s="30">
        <v>435946053</v>
      </c>
      <c r="U415" s="30">
        <v>13009452</v>
      </c>
      <c r="V415" s="285">
        <f t="shared" si="205"/>
        <v>0</v>
      </c>
      <c r="W415" s="29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>
        <v>0</v>
      </c>
      <c r="AI415" s="30">
        <f t="shared" si="207"/>
        <v>13009452</v>
      </c>
      <c r="AJ415" s="30">
        <f t="shared" ref="AJ415:AJ420" si="219">+S415-T415-V415-AI415</f>
        <v>8777495</v>
      </c>
      <c r="AK415" s="796" t="s">
        <v>48</v>
      </c>
      <c r="AL415" s="796" t="s">
        <v>44</v>
      </c>
      <c r="AM415" s="796"/>
      <c r="AN415" s="799"/>
    </row>
    <row r="416" spans="1:42" s="33" customFormat="1" ht="25.5" hidden="1" customHeight="1" outlineLevel="2">
      <c r="A416" s="19"/>
      <c r="B416" s="19">
        <v>31</v>
      </c>
      <c r="C416" s="19"/>
      <c r="D416" s="19" t="s">
        <v>33</v>
      </c>
      <c r="E416" s="19" t="s">
        <v>34</v>
      </c>
      <c r="F416" s="19" t="s">
        <v>35</v>
      </c>
      <c r="G416" s="20" t="s">
        <v>49</v>
      </c>
      <c r="H416" s="21" t="s">
        <v>50</v>
      </c>
      <c r="I416" s="19" t="s">
        <v>299</v>
      </c>
      <c r="J416" s="19" t="s">
        <v>314</v>
      </c>
      <c r="K416" s="22">
        <v>20</v>
      </c>
      <c r="L416" s="19" t="s">
        <v>46</v>
      </c>
      <c r="M416" s="23" t="s">
        <v>56</v>
      </c>
      <c r="N416" s="21">
        <v>30076949</v>
      </c>
      <c r="O416" s="21" t="s">
        <v>757</v>
      </c>
      <c r="P416" s="21"/>
      <c r="Q416" s="23" t="s">
        <v>316</v>
      </c>
      <c r="R416" s="24"/>
      <c r="S416" s="26">
        <v>336933000</v>
      </c>
      <c r="T416" s="30">
        <v>191276297</v>
      </c>
      <c r="U416" s="30">
        <v>102168027</v>
      </c>
      <c r="V416" s="285">
        <f t="shared" si="205"/>
        <v>56290043</v>
      </c>
      <c r="W416" s="29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>
        <v>56290043</v>
      </c>
      <c r="AI416" s="30">
        <f t="shared" si="207"/>
        <v>45877984</v>
      </c>
      <c r="AJ416" s="30">
        <f t="shared" si="219"/>
        <v>43488676</v>
      </c>
      <c r="AK416" s="796" t="s">
        <v>43</v>
      </c>
      <c r="AL416" s="796" t="s">
        <v>44</v>
      </c>
      <c r="AM416" s="796"/>
      <c r="AN416" s="799"/>
    </row>
    <row r="417" spans="1:42" s="33" customFormat="1" ht="25.5" hidden="1" customHeight="1" outlineLevel="2">
      <c r="A417" s="19"/>
      <c r="B417" s="19">
        <v>31</v>
      </c>
      <c r="C417" s="19"/>
      <c r="D417" s="19" t="s">
        <v>33</v>
      </c>
      <c r="E417" s="19" t="s">
        <v>34</v>
      </c>
      <c r="F417" s="19" t="s">
        <v>35</v>
      </c>
      <c r="G417" s="20" t="s">
        <v>36</v>
      </c>
      <c r="H417" s="21" t="s">
        <v>37</v>
      </c>
      <c r="I417" s="19" t="s">
        <v>299</v>
      </c>
      <c r="J417" s="19" t="s">
        <v>314</v>
      </c>
      <c r="K417" s="22">
        <v>20</v>
      </c>
      <c r="L417" s="19" t="s">
        <v>46</v>
      </c>
      <c r="M417" s="23" t="s">
        <v>40</v>
      </c>
      <c r="N417" s="187">
        <v>40003369</v>
      </c>
      <c r="O417" s="187" t="s">
        <v>757</v>
      </c>
      <c r="P417" s="187"/>
      <c r="Q417" s="23" t="s">
        <v>317</v>
      </c>
      <c r="R417" s="24"/>
      <c r="S417" s="26">
        <v>550000000</v>
      </c>
      <c r="T417" s="30">
        <v>285558353</v>
      </c>
      <c r="U417" s="30">
        <v>200000000</v>
      </c>
      <c r="V417" s="285">
        <f t="shared" si="205"/>
        <v>0</v>
      </c>
      <c r="W417" s="29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>
        <v>0</v>
      </c>
      <c r="AI417" s="30">
        <f t="shared" si="207"/>
        <v>200000000</v>
      </c>
      <c r="AJ417" s="30">
        <f t="shared" si="219"/>
        <v>64441647</v>
      </c>
      <c r="AK417" s="796" t="s">
        <v>48</v>
      </c>
      <c r="AL417" s="796" t="s">
        <v>44</v>
      </c>
      <c r="AM417" s="796"/>
      <c r="AN417" s="799"/>
    </row>
    <row r="418" spans="1:42" s="33" customFormat="1" ht="25.5" hidden="1" customHeight="1" outlineLevel="2">
      <c r="A418" s="19"/>
      <c r="B418" s="19">
        <v>31</v>
      </c>
      <c r="C418" s="19"/>
      <c r="D418" s="19" t="s">
        <v>33</v>
      </c>
      <c r="E418" s="19" t="s">
        <v>34</v>
      </c>
      <c r="F418" s="19" t="s">
        <v>35</v>
      </c>
      <c r="G418" s="20" t="s">
        <v>318</v>
      </c>
      <c r="H418" s="21" t="s">
        <v>294</v>
      </c>
      <c r="I418" s="19" t="s">
        <v>299</v>
      </c>
      <c r="J418" s="19" t="s">
        <v>314</v>
      </c>
      <c r="K418" s="22">
        <v>20</v>
      </c>
      <c r="L418" s="19" t="s">
        <v>46</v>
      </c>
      <c r="M418" s="23" t="s">
        <v>40</v>
      </c>
      <c r="N418" s="21">
        <v>30076663</v>
      </c>
      <c r="O418" s="21" t="s">
        <v>757</v>
      </c>
      <c r="P418" s="21"/>
      <c r="Q418" s="23" t="s">
        <v>319</v>
      </c>
      <c r="R418" s="24"/>
      <c r="S418" s="26">
        <v>564532000</v>
      </c>
      <c r="T418" s="30">
        <v>447235824</v>
      </c>
      <c r="U418" s="30">
        <f>197831973-80535797</f>
        <v>117296176</v>
      </c>
      <c r="V418" s="285">
        <f t="shared" si="205"/>
        <v>29699282</v>
      </c>
      <c r="W418" s="29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>
        <v>29699282</v>
      </c>
      <c r="AI418" s="30">
        <f t="shared" si="207"/>
        <v>87596894</v>
      </c>
      <c r="AJ418" s="30">
        <f t="shared" si="219"/>
        <v>0</v>
      </c>
      <c r="AK418" s="796" t="s">
        <v>48</v>
      </c>
      <c r="AL418" s="796" t="s">
        <v>44</v>
      </c>
      <c r="AM418" s="796"/>
      <c r="AN418" s="799"/>
    </row>
    <row r="419" spans="1:42" s="33" customFormat="1" ht="25.5" hidden="1" customHeight="1" outlineLevel="2">
      <c r="A419" s="19"/>
      <c r="B419" s="19">
        <v>31</v>
      </c>
      <c r="C419" s="19"/>
      <c r="D419" s="19" t="s">
        <v>33</v>
      </c>
      <c r="E419" s="19" t="s">
        <v>34</v>
      </c>
      <c r="F419" s="19" t="s">
        <v>35</v>
      </c>
      <c r="G419" s="20" t="s">
        <v>49</v>
      </c>
      <c r="H419" s="21" t="s">
        <v>85</v>
      </c>
      <c r="I419" s="19" t="s">
        <v>299</v>
      </c>
      <c r="J419" s="19" t="s">
        <v>314</v>
      </c>
      <c r="K419" s="22">
        <v>20</v>
      </c>
      <c r="L419" s="19" t="s">
        <v>46</v>
      </c>
      <c r="M419" s="23" t="s">
        <v>40</v>
      </c>
      <c r="N419" s="21">
        <v>20140221</v>
      </c>
      <c r="O419" s="21" t="s">
        <v>756</v>
      </c>
      <c r="P419" s="21"/>
      <c r="Q419" s="23" t="s">
        <v>320</v>
      </c>
      <c r="R419" s="24"/>
      <c r="S419" s="26">
        <v>600518000</v>
      </c>
      <c r="T419" s="30">
        <v>203793037</v>
      </c>
      <c r="U419" s="30">
        <v>300000000</v>
      </c>
      <c r="V419" s="285">
        <f t="shared" si="205"/>
        <v>0</v>
      </c>
      <c r="W419" s="29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>
        <v>0</v>
      </c>
      <c r="AI419" s="30">
        <f t="shared" si="207"/>
        <v>300000000</v>
      </c>
      <c r="AJ419" s="30">
        <f t="shared" si="219"/>
        <v>96724963</v>
      </c>
      <c r="AK419" s="796" t="s">
        <v>43</v>
      </c>
      <c r="AL419" s="796" t="s">
        <v>44</v>
      </c>
      <c r="AM419" s="796"/>
      <c r="AN419" s="799"/>
    </row>
    <row r="420" spans="1:42" s="18" customFormat="1" ht="25.5" hidden="1" customHeight="1" outlineLevel="1">
      <c r="A420" s="19"/>
      <c r="B420" s="19">
        <v>31</v>
      </c>
      <c r="C420" s="19"/>
      <c r="D420" s="19" t="s">
        <v>33</v>
      </c>
      <c r="E420" s="19" t="s">
        <v>34</v>
      </c>
      <c r="F420" s="19" t="s">
        <v>35</v>
      </c>
      <c r="G420" s="20" t="s">
        <v>36</v>
      </c>
      <c r="H420" s="21" t="s">
        <v>64</v>
      </c>
      <c r="I420" s="19" t="s">
        <v>299</v>
      </c>
      <c r="J420" s="19" t="s">
        <v>314</v>
      </c>
      <c r="K420" s="22">
        <v>20</v>
      </c>
      <c r="L420" s="19" t="s">
        <v>46</v>
      </c>
      <c r="M420" s="23" t="s">
        <v>40</v>
      </c>
      <c r="N420" s="21">
        <v>40002877</v>
      </c>
      <c r="O420" s="21" t="s">
        <v>756</v>
      </c>
      <c r="P420" s="21"/>
      <c r="Q420" s="23" t="s">
        <v>321</v>
      </c>
      <c r="R420" s="151"/>
      <c r="S420" s="26">
        <v>3779356000</v>
      </c>
      <c r="T420" s="30">
        <v>219759892</v>
      </c>
      <c r="U420" s="30">
        <f>500000000+197610452+47522650</f>
        <v>745133102</v>
      </c>
      <c r="V420" s="285">
        <f t="shared" si="205"/>
        <v>0</v>
      </c>
      <c r="W420" s="153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28">
        <v>0</v>
      </c>
      <c r="AI420" s="30">
        <f t="shared" si="207"/>
        <v>745133102</v>
      </c>
      <c r="AJ420" s="30">
        <f t="shared" si="219"/>
        <v>2814463006</v>
      </c>
      <c r="AK420" s="796" t="s">
        <v>43</v>
      </c>
      <c r="AL420" s="796" t="s">
        <v>79</v>
      </c>
      <c r="AM420" s="796"/>
      <c r="AN420" s="799"/>
    </row>
    <row r="421" spans="1:42" s="38" customFormat="1" ht="25.5" hidden="1" customHeight="1" outlineLevel="1">
      <c r="A421" s="35"/>
      <c r="B421" s="35"/>
      <c r="C421" s="35"/>
      <c r="D421" s="35"/>
      <c r="E421" s="35"/>
      <c r="F421" s="36"/>
      <c r="G421" s="36"/>
      <c r="H421" s="37"/>
      <c r="I421" s="36"/>
      <c r="J421" s="36"/>
      <c r="K421" s="36"/>
      <c r="L421" s="35"/>
      <c r="N421" s="39"/>
      <c r="O421" s="39"/>
      <c r="P421" s="39"/>
      <c r="Q421" s="132" t="s">
        <v>58</v>
      </c>
      <c r="R421" s="41"/>
      <c r="S421" s="133">
        <f t="shared" ref="S421:AJ421" si="220">SUBTOTAL(9,S415:S420)</f>
        <v>0</v>
      </c>
      <c r="T421" s="133">
        <f t="shared" ref="T421" si="221">SUBTOTAL(9,T415:T420)</f>
        <v>0</v>
      </c>
      <c r="U421" s="133">
        <f t="shared" si="220"/>
        <v>0</v>
      </c>
      <c r="V421" s="133">
        <f t="shared" si="220"/>
        <v>0</v>
      </c>
      <c r="W421" s="133">
        <f t="shared" si="220"/>
        <v>0</v>
      </c>
      <c r="X421" s="133">
        <f t="shared" si="220"/>
        <v>0</v>
      </c>
      <c r="Y421" s="133">
        <f t="shared" si="220"/>
        <v>0</v>
      </c>
      <c r="Z421" s="133">
        <f t="shared" si="220"/>
        <v>0</v>
      </c>
      <c r="AA421" s="133">
        <f t="shared" si="220"/>
        <v>0</v>
      </c>
      <c r="AB421" s="133">
        <f t="shared" si="220"/>
        <v>0</v>
      </c>
      <c r="AC421" s="133">
        <f t="shared" si="220"/>
        <v>0</v>
      </c>
      <c r="AD421" s="133">
        <f t="shared" si="220"/>
        <v>0</v>
      </c>
      <c r="AE421" s="133">
        <f t="shared" si="220"/>
        <v>0</v>
      </c>
      <c r="AF421" s="133">
        <f t="shared" si="220"/>
        <v>0</v>
      </c>
      <c r="AG421" s="133">
        <f t="shared" si="220"/>
        <v>0</v>
      </c>
      <c r="AH421" s="133">
        <v>85989325</v>
      </c>
      <c r="AI421" s="133">
        <f t="shared" si="220"/>
        <v>0</v>
      </c>
      <c r="AJ421" s="133">
        <f t="shared" si="220"/>
        <v>0</v>
      </c>
      <c r="AK421" s="796"/>
      <c r="AL421" s="796"/>
      <c r="AM421" s="796"/>
      <c r="AN421" s="799"/>
    </row>
    <row r="422" spans="1:42" s="18" customFormat="1" ht="25.5" hidden="1" customHeight="1" outlineLevel="1">
      <c r="A422" s="35"/>
      <c r="B422" s="35"/>
      <c r="C422" s="35"/>
      <c r="D422" s="35"/>
      <c r="E422" s="35"/>
      <c r="F422" s="36"/>
      <c r="G422" s="36"/>
      <c r="H422" s="37"/>
      <c r="I422" s="36"/>
      <c r="J422" s="36"/>
      <c r="K422" s="36"/>
      <c r="L422" s="35"/>
      <c r="M422" s="38"/>
      <c r="N422" s="39"/>
      <c r="O422" s="39"/>
      <c r="P422" s="39"/>
      <c r="Q422" s="46"/>
      <c r="R422" s="42"/>
      <c r="S422" s="47"/>
      <c r="T422" s="47"/>
      <c r="U422" s="47"/>
      <c r="V422" s="47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7"/>
      <c r="AJ422" s="47"/>
      <c r="AK422" s="796"/>
      <c r="AL422" s="796"/>
      <c r="AM422" s="796"/>
      <c r="AN422" s="799"/>
    </row>
    <row r="423" spans="1:42" s="18" customFormat="1" ht="25.5" hidden="1" customHeight="1" outlineLevel="1">
      <c r="A423" s="35"/>
      <c r="B423" s="35"/>
      <c r="C423" s="35"/>
      <c r="D423" s="35"/>
      <c r="E423" s="35"/>
      <c r="F423" s="36"/>
      <c r="G423" s="36"/>
      <c r="H423" s="37"/>
      <c r="I423" s="36"/>
      <c r="J423" s="36"/>
      <c r="K423" s="36"/>
      <c r="L423" s="35"/>
      <c r="M423" s="38"/>
      <c r="N423" s="39"/>
      <c r="O423" s="39"/>
      <c r="P423" s="39"/>
      <c r="Q423" s="17" t="s">
        <v>68</v>
      </c>
      <c r="R423" s="42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796"/>
      <c r="AL423" s="796"/>
      <c r="AM423" s="796"/>
      <c r="AN423" s="799"/>
    </row>
    <row r="424" spans="1:42" s="18" customFormat="1" ht="25.5" customHeight="1" outlineLevel="1">
      <c r="A424" s="66"/>
      <c r="B424" s="801">
        <v>31</v>
      </c>
      <c r="C424" s="730"/>
      <c r="D424" s="66" t="s">
        <v>33</v>
      </c>
      <c r="E424" s="801" t="s">
        <v>69</v>
      </c>
      <c r="F424" s="730" t="s">
        <v>35</v>
      </c>
      <c r="G424" s="67" t="s">
        <v>49</v>
      </c>
      <c r="H424" s="68" t="s">
        <v>50</v>
      </c>
      <c r="I424" s="801" t="s">
        <v>299</v>
      </c>
      <c r="J424" s="801" t="s">
        <v>314</v>
      </c>
      <c r="K424" s="69">
        <v>20</v>
      </c>
      <c r="L424" s="66" t="s">
        <v>46</v>
      </c>
      <c r="M424" s="802" t="s">
        <v>56</v>
      </c>
      <c r="N424" s="803">
        <v>40005957</v>
      </c>
      <c r="O424" s="771"/>
      <c r="P424" s="68"/>
      <c r="Q424" s="802" t="s">
        <v>322</v>
      </c>
      <c r="R424" s="24"/>
      <c r="S424" s="804">
        <v>139625000</v>
      </c>
      <c r="T424" s="805">
        <v>0</v>
      </c>
      <c r="U424" s="805">
        <f>10000000+80535797</f>
        <v>90535797</v>
      </c>
      <c r="V424" s="805">
        <f t="shared" si="205"/>
        <v>0</v>
      </c>
      <c r="W424" s="29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>
        <v>0</v>
      </c>
      <c r="AI424" s="805">
        <f t="shared" si="207"/>
        <v>90535797</v>
      </c>
      <c r="AJ424" s="805">
        <f>+S424-T424-V424-AI424</f>
        <v>49089203</v>
      </c>
      <c r="AK424" s="806" t="s">
        <v>43</v>
      </c>
      <c r="AL424" s="806" t="s">
        <v>767</v>
      </c>
      <c r="AM424" s="806"/>
      <c r="AN424" s="807">
        <v>44245</v>
      </c>
      <c r="AO424" s="33" t="e">
        <f>VLOOKUP(N424,'CONVENIOS 2021'!A$1:A$53,1,FALSE)</f>
        <v>#N/A</v>
      </c>
      <c r="AP424" s="33" t="e">
        <f>VLOOKUP(N424,'CONVENIOS 2020'!A$2:A$72,1,FALSE)</f>
        <v>#N/A</v>
      </c>
    </row>
    <row r="425" spans="1:42" s="18" customFormat="1" ht="25.5" customHeight="1" outlineLevel="1">
      <c r="A425" s="66"/>
      <c r="B425" s="801">
        <v>31</v>
      </c>
      <c r="C425" s="730"/>
      <c r="D425" s="66" t="s">
        <v>33</v>
      </c>
      <c r="E425" s="801" t="s">
        <v>69</v>
      </c>
      <c r="F425" s="730" t="s">
        <v>35</v>
      </c>
      <c r="G425" s="67" t="s">
        <v>36</v>
      </c>
      <c r="H425" s="68" t="s">
        <v>37</v>
      </c>
      <c r="I425" s="801" t="s">
        <v>299</v>
      </c>
      <c r="J425" s="801" t="s">
        <v>314</v>
      </c>
      <c r="K425" s="69">
        <v>20</v>
      </c>
      <c r="L425" s="66" t="s">
        <v>46</v>
      </c>
      <c r="M425" s="802" t="s">
        <v>40</v>
      </c>
      <c r="N425" s="803">
        <v>40014732</v>
      </c>
      <c r="O425" s="771"/>
      <c r="P425" s="68"/>
      <c r="Q425" s="802" t="s">
        <v>323</v>
      </c>
      <c r="R425" s="118"/>
      <c r="S425" s="804">
        <v>158000000</v>
      </c>
      <c r="T425" s="805">
        <v>0</v>
      </c>
      <c r="U425" s="805">
        <v>50000000</v>
      </c>
      <c r="V425" s="805">
        <f t="shared" si="205"/>
        <v>0</v>
      </c>
      <c r="W425" s="119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28">
        <v>0</v>
      </c>
      <c r="AI425" s="805">
        <f t="shared" si="207"/>
        <v>50000000</v>
      </c>
      <c r="AJ425" s="805">
        <f>+S425-T425-V425-AI425</f>
        <v>108000000</v>
      </c>
      <c r="AK425" s="806" t="s">
        <v>48</v>
      </c>
      <c r="AL425" s="806" t="s">
        <v>759</v>
      </c>
      <c r="AM425" s="806" t="str">
        <f t="shared" ref="AM424:AM425" si="222">HYPERLINK(CONCATENATE("DOCUMENTOS\ACTA-",N425,".PDF"))</f>
        <v>DOCUMENTOS\ACTA-40014732.PDF</v>
      </c>
      <c r="AN425" s="807"/>
      <c r="AO425" s="33" t="e">
        <f>VLOOKUP(N425,'CONVENIOS 2021'!A$1:A$53,1,FALSE)</f>
        <v>#N/A</v>
      </c>
      <c r="AP425" s="33" t="e">
        <f>VLOOKUP(N425,'CONVENIOS 2020'!A$2:A$72,1,FALSE)</f>
        <v>#N/A</v>
      </c>
    </row>
    <row r="426" spans="1:42" s="38" customFormat="1" ht="25.5" hidden="1" customHeight="1" outlineLevel="1">
      <c r="A426" s="66"/>
      <c r="B426" s="180">
        <v>29</v>
      </c>
      <c r="C426" s="66"/>
      <c r="D426" s="66" t="s">
        <v>92</v>
      </c>
      <c r="E426" s="180" t="s">
        <v>69</v>
      </c>
      <c r="F426" s="66" t="s">
        <v>35</v>
      </c>
      <c r="G426" s="67" t="s">
        <v>49</v>
      </c>
      <c r="H426" s="68" t="s">
        <v>61</v>
      </c>
      <c r="I426" s="180" t="s">
        <v>299</v>
      </c>
      <c r="J426" s="180" t="s">
        <v>314</v>
      </c>
      <c r="K426" s="69">
        <v>20</v>
      </c>
      <c r="L426" s="66" t="s">
        <v>46</v>
      </c>
      <c r="M426" s="184" t="s">
        <v>40</v>
      </c>
      <c r="N426" s="182">
        <v>40007844</v>
      </c>
      <c r="O426" s="68" t="s">
        <v>756</v>
      </c>
      <c r="P426" s="68"/>
      <c r="Q426" s="184" t="s">
        <v>324</v>
      </c>
      <c r="R426" s="24"/>
      <c r="S426" s="188">
        <v>651525000</v>
      </c>
      <c r="T426" s="189">
        <v>0</v>
      </c>
      <c r="U426" s="189">
        <v>651525000</v>
      </c>
      <c r="V426" s="776">
        <f t="shared" si="205"/>
        <v>0</v>
      </c>
      <c r="W426" s="29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>
        <v>0</v>
      </c>
      <c r="AI426" s="189">
        <f t="shared" si="207"/>
        <v>651525000</v>
      </c>
      <c r="AJ426" s="189">
        <f>+S426-T426-V426-AI426</f>
        <v>0</v>
      </c>
      <c r="AK426" s="796" t="s">
        <v>48</v>
      </c>
      <c r="AL426" s="796" t="s">
        <v>104</v>
      </c>
      <c r="AM426" s="796"/>
      <c r="AN426" s="799"/>
    </row>
    <row r="427" spans="1:42" s="18" customFormat="1" ht="25.5" hidden="1" customHeight="1" outlineLevel="1">
      <c r="A427" s="66"/>
      <c r="B427" s="66">
        <v>33</v>
      </c>
      <c r="C427" s="66"/>
      <c r="D427" s="66" t="s">
        <v>76</v>
      </c>
      <c r="E427" s="66" t="s">
        <v>69</v>
      </c>
      <c r="F427" s="66" t="s">
        <v>35</v>
      </c>
      <c r="G427" s="67" t="s">
        <v>49</v>
      </c>
      <c r="H427" s="68" t="s">
        <v>61</v>
      </c>
      <c r="I427" s="66" t="s">
        <v>299</v>
      </c>
      <c r="J427" s="66" t="s">
        <v>314</v>
      </c>
      <c r="K427" s="69">
        <v>20</v>
      </c>
      <c r="L427" s="66" t="s">
        <v>76</v>
      </c>
      <c r="M427" s="70" t="s">
        <v>40</v>
      </c>
      <c r="N427" s="68" t="s">
        <v>76</v>
      </c>
      <c r="O427" s="68"/>
      <c r="P427" s="68"/>
      <c r="Q427" s="70" t="s">
        <v>77</v>
      </c>
      <c r="R427" s="24"/>
      <c r="S427" s="188">
        <v>200000000</v>
      </c>
      <c r="T427" s="72">
        <v>0</v>
      </c>
      <c r="U427" s="189">
        <v>200000000</v>
      </c>
      <c r="V427" s="296">
        <f t="shared" si="205"/>
        <v>0</v>
      </c>
      <c r="W427" s="29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72"/>
      <c r="AI427" s="72">
        <f t="shared" si="207"/>
        <v>200000000</v>
      </c>
      <c r="AJ427" s="72">
        <f>+S427-T427-V427-AI427</f>
        <v>0</v>
      </c>
      <c r="AK427" s="796" t="s">
        <v>78</v>
      </c>
      <c r="AL427" s="796"/>
      <c r="AM427" s="796"/>
      <c r="AN427" s="799"/>
    </row>
    <row r="428" spans="1:42" s="38" customFormat="1" ht="25.5" hidden="1" customHeight="1" outlineLevel="1">
      <c r="A428" s="35"/>
      <c r="B428" s="35"/>
      <c r="C428" s="35"/>
      <c r="D428" s="35"/>
      <c r="E428" s="35"/>
      <c r="F428" s="36"/>
      <c r="G428" s="36"/>
      <c r="H428" s="37"/>
      <c r="I428" s="36"/>
      <c r="J428" s="36"/>
      <c r="K428" s="36"/>
      <c r="L428" s="35"/>
      <c r="N428" s="39"/>
      <c r="O428" s="39"/>
      <c r="P428" s="39"/>
      <c r="Q428" s="134" t="s">
        <v>80</v>
      </c>
      <c r="R428" s="42"/>
      <c r="S428" s="110">
        <f t="shared" ref="S428:U428" si="223">SUBTOTAL(9,S424:S427)</f>
        <v>297625000</v>
      </c>
      <c r="T428" s="110">
        <f t="shared" ref="T428" si="224">SUBTOTAL(9,T424:T427)</f>
        <v>0</v>
      </c>
      <c r="U428" s="110">
        <f t="shared" si="223"/>
        <v>140535797</v>
      </c>
      <c r="V428" s="110">
        <f t="shared" ref="V428:AJ428" si="225">SUBTOTAL(9,V424:V427)</f>
        <v>0</v>
      </c>
      <c r="W428" s="110">
        <f t="shared" si="225"/>
        <v>0</v>
      </c>
      <c r="X428" s="110">
        <f t="shared" si="225"/>
        <v>0</v>
      </c>
      <c r="Y428" s="110">
        <f t="shared" si="225"/>
        <v>0</v>
      </c>
      <c r="Z428" s="110">
        <f t="shared" si="225"/>
        <v>0</v>
      </c>
      <c r="AA428" s="110">
        <f t="shared" si="225"/>
        <v>0</v>
      </c>
      <c r="AB428" s="110">
        <f t="shared" si="225"/>
        <v>0</v>
      </c>
      <c r="AC428" s="110">
        <f t="shared" si="225"/>
        <v>0</v>
      </c>
      <c r="AD428" s="110">
        <f t="shared" si="225"/>
        <v>0</v>
      </c>
      <c r="AE428" s="110">
        <f t="shared" si="225"/>
        <v>0</v>
      </c>
      <c r="AF428" s="110">
        <f t="shared" si="225"/>
        <v>0</v>
      </c>
      <c r="AG428" s="110">
        <f t="shared" si="225"/>
        <v>0</v>
      </c>
      <c r="AH428" s="110">
        <v>0</v>
      </c>
      <c r="AI428" s="110">
        <f t="shared" si="225"/>
        <v>140535797</v>
      </c>
      <c r="AJ428" s="110">
        <f t="shared" si="225"/>
        <v>157089203</v>
      </c>
      <c r="AK428" s="796"/>
      <c r="AL428" s="796"/>
      <c r="AM428" s="796"/>
      <c r="AN428" s="799"/>
    </row>
    <row r="429" spans="1:42" s="90" customFormat="1" ht="24.75" hidden="1" customHeight="1" outlineLevel="1">
      <c r="A429" s="35"/>
      <c r="B429" s="35"/>
      <c r="C429" s="35"/>
      <c r="D429" s="35"/>
      <c r="E429" s="35"/>
      <c r="F429" s="36"/>
      <c r="G429" s="36"/>
      <c r="H429" s="37"/>
      <c r="I429" s="36"/>
      <c r="J429" s="36"/>
      <c r="K429" s="36"/>
      <c r="L429" s="35"/>
      <c r="M429" s="38"/>
      <c r="N429" s="39"/>
      <c r="O429" s="39"/>
      <c r="P429" s="39"/>
      <c r="Q429" s="46"/>
      <c r="R429" s="42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796"/>
      <c r="AL429" s="796"/>
      <c r="AM429" s="796"/>
      <c r="AN429" s="799"/>
    </row>
    <row r="430" spans="1:42" s="84" customFormat="1" ht="24.75" hidden="1" customHeight="1" outlineLevel="1">
      <c r="A430" s="36"/>
      <c r="B430" s="82"/>
      <c r="C430" s="82"/>
      <c r="D430" s="36"/>
      <c r="E430" s="36"/>
      <c r="F430" s="36"/>
      <c r="G430" s="36"/>
      <c r="H430" s="37"/>
      <c r="I430" s="36"/>
      <c r="J430" s="36"/>
      <c r="K430" s="36"/>
      <c r="L430" s="82"/>
      <c r="N430" s="83"/>
      <c r="O430" s="39"/>
      <c r="P430" s="39"/>
      <c r="Q430" s="130" t="s">
        <v>325</v>
      </c>
      <c r="R430" s="86"/>
      <c r="S430" s="131">
        <f t="shared" ref="S430:U430" si="226">S421+S428</f>
        <v>297625000</v>
      </c>
      <c r="T430" s="131">
        <f t="shared" ref="T430" si="227">T421+T428</f>
        <v>0</v>
      </c>
      <c r="U430" s="131">
        <f t="shared" si="226"/>
        <v>140535797</v>
      </c>
      <c r="V430" s="131">
        <f t="shared" ref="V430:AJ430" si="228">V421+V428</f>
        <v>0</v>
      </c>
      <c r="W430" s="131">
        <f t="shared" si="228"/>
        <v>0</v>
      </c>
      <c r="X430" s="131">
        <f t="shared" si="228"/>
        <v>0</v>
      </c>
      <c r="Y430" s="131">
        <f t="shared" si="228"/>
        <v>0</v>
      </c>
      <c r="Z430" s="131">
        <f t="shared" si="228"/>
        <v>0</v>
      </c>
      <c r="AA430" s="131">
        <f t="shared" si="228"/>
        <v>0</v>
      </c>
      <c r="AB430" s="131">
        <f t="shared" si="228"/>
        <v>0</v>
      </c>
      <c r="AC430" s="131">
        <f t="shared" si="228"/>
        <v>0</v>
      </c>
      <c r="AD430" s="131">
        <f t="shared" si="228"/>
        <v>0</v>
      </c>
      <c r="AE430" s="131">
        <f t="shared" si="228"/>
        <v>0</v>
      </c>
      <c r="AF430" s="131">
        <f t="shared" si="228"/>
        <v>0</v>
      </c>
      <c r="AG430" s="131">
        <f t="shared" si="228"/>
        <v>0</v>
      </c>
      <c r="AH430" s="131">
        <v>85989325</v>
      </c>
      <c r="AI430" s="131">
        <f t="shared" si="228"/>
        <v>140535797</v>
      </c>
      <c r="AJ430" s="131">
        <f t="shared" si="228"/>
        <v>157089203</v>
      </c>
      <c r="AK430" s="796"/>
      <c r="AL430" s="796"/>
      <c r="AM430" s="796"/>
      <c r="AN430" s="799"/>
    </row>
    <row r="431" spans="1:42" s="84" customFormat="1" ht="24.75" hidden="1" customHeight="1" outlineLevel="1">
      <c r="A431" s="36"/>
      <c r="B431" s="82"/>
      <c r="C431" s="82"/>
      <c r="D431" s="36"/>
      <c r="E431" s="36"/>
      <c r="F431" s="36"/>
      <c r="G431" s="36"/>
      <c r="H431" s="37"/>
      <c r="I431" s="36"/>
      <c r="J431" s="36"/>
      <c r="K431" s="36"/>
      <c r="L431" s="82"/>
      <c r="N431" s="83"/>
      <c r="O431" s="39"/>
      <c r="P431" s="39"/>
      <c r="Q431" s="91"/>
      <c r="R431" s="87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796"/>
      <c r="AL431" s="796"/>
      <c r="AM431" s="796"/>
      <c r="AN431" s="799"/>
    </row>
    <row r="432" spans="1:42" s="18" customFormat="1" ht="25.5" hidden="1" customHeight="1" outlineLevel="1">
      <c r="A432" s="36"/>
      <c r="B432" s="36"/>
      <c r="C432" s="36"/>
      <c r="D432" s="36"/>
      <c r="E432" s="36"/>
      <c r="F432" s="36"/>
      <c r="G432" s="36"/>
      <c r="H432" s="37"/>
      <c r="I432" s="36"/>
      <c r="J432" s="36"/>
      <c r="K432" s="36"/>
      <c r="L432" s="36"/>
      <c r="M432" s="95"/>
      <c r="N432" s="37"/>
      <c r="O432" s="39"/>
      <c r="P432" s="39"/>
      <c r="Q432" s="96" t="s">
        <v>326</v>
      </c>
      <c r="R432" s="50"/>
      <c r="S432" s="97"/>
      <c r="T432" s="97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796"/>
      <c r="AL432" s="796"/>
      <c r="AM432" s="796"/>
      <c r="AN432" s="799"/>
    </row>
    <row r="433" spans="1:41" s="33" customFormat="1" ht="25.5" hidden="1" customHeight="1" outlineLevel="2">
      <c r="A433" s="35"/>
      <c r="B433" s="35"/>
      <c r="C433" s="35"/>
      <c r="D433" s="35"/>
      <c r="E433" s="35"/>
      <c r="F433" s="36"/>
      <c r="G433" s="36"/>
      <c r="H433" s="37"/>
      <c r="I433" s="36"/>
      <c r="J433" s="36"/>
      <c r="K433" s="36"/>
      <c r="L433" s="35"/>
      <c r="M433" s="38"/>
      <c r="N433" s="39"/>
      <c r="O433" s="39"/>
      <c r="P433" s="39"/>
      <c r="Q433" s="17" t="s">
        <v>32</v>
      </c>
      <c r="R433" s="50"/>
      <c r="S433" s="51"/>
      <c r="T433" s="51"/>
      <c r="U433" s="52"/>
      <c r="V433" s="52"/>
      <c r="W433" s="52"/>
      <c r="X433" s="52"/>
      <c r="Y433" s="52"/>
      <c r="Z433" s="53"/>
      <c r="AA433" s="53"/>
      <c r="AB433" s="53"/>
      <c r="AC433" s="53"/>
      <c r="AD433" s="53"/>
      <c r="AE433" s="53"/>
      <c r="AF433" s="53"/>
      <c r="AG433" s="53"/>
      <c r="AH433" s="53"/>
      <c r="AI433" s="52"/>
      <c r="AJ433" s="52"/>
      <c r="AK433" s="796"/>
      <c r="AL433" s="796"/>
      <c r="AM433" s="796"/>
      <c r="AN433" s="799"/>
    </row>
    <row r="434" spans="1:41" s="33" customFormat="1" ht="25.5" hidden="1" customHeight="1" outlineLevel="2">
      <c r="A434" s="19"/>
      <c r="B434" s="19">
        <v>31</v>
      </c>
      <c r="C434" s="19"/>
      <c r="D434" s="19" t="s">
        <v>33</v>
      </c>
      <c r="E434" s="19" t="s">
        <v>34</v>
      </c>
      <c r="F434" s="19" t="s">
        <v>84</v>
      </c>
      <c r="G434" s="20" t="s">
        <v>49</v>
      </c>
      <c r="H434" s="21" t="s">
        <v>45</v>
      </c>
      <c r="I434" s="19" t="s">
        <v>299</v>
      </c>
      <c r="J434" s="19" t="s">
        <v>327</v>
      </c>
      <c r="K434" s="22">
        <v>21</v>
      </c>
      <c r="L434" s="19" t="s">
        <v>46</v>
      </c>
      <c r="M434" s="23" t="s">
        <v>40</v>
      </c>
      <c r="N434" s="21">
        <v>30126506</v>
      </c>
      <c r="O434" s="21" t="s">
        <v>756</v>
      </c>
      <c r="P434" s="21"/>
      <c r="Q434" s="23" t="s">
        <v>328</v>
      </c>
      <c r="R434" s="24"/>
      <c r="S434" s="26">
        <v>644396000</v>
      </c>
      <c r="T434" s="30">
        <v>311482047</v>
      </c>
      <c r="U434" s="30">
        <v>203958165</v>
      </c>
      <c r="V434" s="285">
        <f t="shared" si="205"/>
        <v>0</v>
      </c>
      <c r="W434" s="29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>
        <v>0</v>
      </c>
      <c r="AI434" s="30">
        <f t="shared" si="207"/>
        <v>203958165</v>
      </c>
      <c r="AJ434" s="30">
        <f t="shared" ref="AJ434:AJ439" si="229">+S434-T434-V434-AI434</f>
        <v>128955788</v>
      </c>
      <c r="AK434" s="796" t="s">
        <v>43</v>
      </c>
      <c r="AL434" s="796" t="s">
        <v>44</v>
      </c>
      <c r="AM434" s="796"/>
      <c r="AN434" s="799"/>
    </row>
    <row r="435" spans="1:41" s="33" customFormat="1" ht="25.5" hidden="1" customHeight="1" outlineLevel="2">
      <c r="A435" s="19" t="s">
        <v>133</v>
      </c>
      <c r="B435" s="19">
        <v>31</v>
      </c>
      <c r="C435" s="19"/>
      <c r="D435" s="19" t="s">
        <v>33</v>
      </c>
      <c r="E435" s="19" t="s">
        <v>34</v>
      </c>
      <c r="F435" s="19" t="s">
        <v>84</v>
      </c>
      <c r="G435" s="20" t="s">
        <v>49</v>
      </c>
      <c r="H435" s="21" t="s">
        <v>85</v>
      </c>
      <c r="I435" s="19" t="s">
        <v>299</v>
      </c>
      <c r="J435" s="19" t="s">
        <v>327</v>
      </c>
      <c r="K435" s="22">
        <v>21</v>
      </c>
      <c r="L435" s="19" t="s">
        <v>46</v>
      </c>
      <c r="M435" s="23" t="s">
        <v>40</v>
      </c>
      <c r="N435" s="21">
        <v>30476688</v>
      </c>
      <c r="O435" s="21" t="s">
        <v>756</v>
      </c>
      <c r="P435" s="21"/>
      <c r="Q435" s="23" t="s">
        <v>329</v>
      </c>
      <c r="R435" s="24"/>
      <c r="S435" s="26">
        <v>543264000</v>
      </c>
      <c r="T435" s="30">
        <v>53730074</v>
      </c>
      <c r="U435" s="30">
        <f>300000000-78610985-50000000</f>
        <v>171389015</v>
      </c>
      <c r="V435" s="285">
        <f t="shared" si="205"/>
        <v>57781035</v>
      </c>
      <c r="W435" s="29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>
        <v>57781035</v>
      </c>
      <c r="AI435" s="30">
        <f t="shared" si="207"/>
        <v>113607980</v>
      </c>
      <c r="AJ435" s="30">
        <f t="shared" si="229"/>
        <v>318144911</v>
      </c>
      <c r="AK435" s="796" t="s">
        <v>43</v>
      </c>
      <c r="AL435" s="796" t="s">
        <v>44</v>
      </c>
      <c r="AM435" s="796"/>
      <c r="AN435" s="799"/>
    </row>
    <row r="436" spans="1:41" s="33" customFormat="1" ht="25.5" hidden="1" customHeight="1" outlineLevel="2">
      <c r="A436" s="19"/>
      <c r="B436" s="19">
        <v>31</v>
      </c>
      <c r="C436" s="19"/>
      <c r="D436" s="19" t="s">
        <v>33</v>
      </c>
      <c r="E436" s="19" t="s">
        <v>34</v>
      </c>
      <c r="F436" s="19" t="s">
        <v>84</v>
      </c>
      <c r="G436" s="20" t="s">
        <v>36</v>
      </c>
      <c r="H436" s="21" t="s">
        <v>37</v>
      </c>
      <c r="I436" s="19" t="s">
        <v>299</v>
      </c>
      <c r="J436" s="19" t="s">
        <v>327</v>
      </c>
      <c r="K436" s="22">
        <v>21</v>
      </c>
      <c r="L436" s="19" t="s">
        <v>46</v>
      </c>
      <c r="M436" s="23" t="s">
        <v>40</v>
      </c>
      <c r="N436" s="21">
        <v>40006762</v>
      </c>
      <c r="O436" s="21" t="s">
        <v>757</v>
      </c>
      <c r="P436" s="21"/>
      <c r="Q436" s="23" t="s">
        <v>330</v>
      </c>
      <c r="R436" s="24"/>
      <c r="S436" s="26">
        <v>588576000</v>
      </c>
      <c r="T436" s="30">
        <v>520377383</v>
      </c>
      <c r="U436" s="30">
        <v>0</v>
      </c>
      <c r="V436" s="285">
        <f t="shared" si="205"/>
        <v>0</v>
      </c>
      <c r="W436" s="29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>
        <v>0</v>
      </c>
      <c r="AI436" s="30">
        <f t="shared" si="207"/>
        <v>0</v>
      </c>
      <c r="AJ436" s="30">
        <f t="shared" si="229"/>
        <v>68198617</v>
      </c>
      <c r="AK436" s="796" t="s">
        <v>48</v>
      </c>
      <c r="AL436" s="796" t="s">
        <v>44</v>
      </c>
      <c r="AM436" s="796"/>
      <c r="AN436" s="799"/>
    </row>
    <row r="437" spans="1:41" s="33" customFormat="1" ht="25.5" hidden="1" customHeight="1" outlineLevel="2">
      <c r="A437" s="19"/>
      <c r="B437" s="19">
        <v>22</v>
      </c>
      <c r="C437" s="19"/>
      <c r="D437" s="19" t="s">
        <v>192</v>
      </c>
      <c r="E437" s="19" t="s">
        <v>34</v>
      </c>
      <c r="F437" s="19" t="s">
        <v>84</v>
      </c>
      <c r="G437" s="20" t="s">
        <v>49</v>
      </c>
      <c r="H437" s="21" t="s">
        <v>64</v>
      </c>
      <c r="I437" s="19" t="s">
        <v>299</v>
      </c>
      <c r="J437" s="19" t="s">
        <v>327</v>
      </c>
      <c r="K437" s="22">
        <v>21</v>
      </c>
      <c r="L437" s="19" t="s">
        <v>46</v>
      </c>
      <c r="M437" s="23" t="s">
        <v>40</v>
      </c>
      <c r="N437" s="21">
        <v>30126522</v>
      </c>
      <c r="O437" s="21" t="s">
        <v>757</v>
      </c>
      <c r="P437" s="21"/>
      <c r="Q437" s="23" t="s">
        <v>331</v>
      </c>
      <c r="R437" s="24"/>
      <c r="S437" s="26">
        <v>120000000</v>
      </c>
      <c r="T437" s="30">
        <v>110000000</v>
      </c>
      <c r="U437" s="30">
        <v>10000000</v>
      </c>
      <c r="V437" s="285">
        <f t="shared" si="205"/>
        <v>0</v>
      </c>
      <c r="W437" s="29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>
        <v>0</v>
      </c>
      <c r="AI437" s="30">
        <f t="shared" si="207"/>
        <v>10000000</v>
      </c>
      <c r="AJ437" s="30">
        <f t="shared" si="229"/>
        <v>0</v>
      </c>
      <c r="AK437" s="796" t="s">
        <v>48</v>
      </c>
      <c r="AL437" s="796" t="s">
        <v>44</v>
      </c>
      <c r="AM437" s="796"/>
      <c r="AN437" s="799"/>
    </row>
    <row r="438" spans="1:41" s="33" customFormat="1" ht="25.5" hidden="1" customHeight="1" outlineLevel="2">
      <c r="A438" s="19"/>
      <c r="B438" s="19">
        <v>33</v>
      </c>
      <c r="C438" s="19"/>
      <c r="D438" s="19" t="s">
        <v>332</v>
      </c>
      <c r="E438" s="19" t="s">
        <v>34</v>
      </c>
      <c r="F438" s="19" t="s">
        <v>84</v>
      </c>
      <c r="G438" s="20" t="s">
        <v>158</v>
      </c>
      <c r="H438" s="21" t="s">
        <v>72</v>
      </c>
      <c r="I438" s="19" t="s">
        <v>299</v>
      </c>
      <c r="J438" s="19" t="s">
        <v>327</v>
      </c>
      <c r="K438" s="22">
        <v>21</v>
      </c>
      <c r="L438" s="19" t="s">
        <v>244</v>
      </c>
      <c r="M438" s="23" t="s">
        <v>40</v>
      </c>
      <c r="N438" s="21">
        <v>30091901</v>
      </c>
      <c r="O438" s="21" t="s">
        <v>756</v>
      </c>
      <c r="P438" s="21"/>
      <c r="Q438" s="23" t="s">
        <v>333</v>
      </c>
      <c r="R438" s="24"/>
      <c r="S438" s="26">
        <v>597480684</v>
      </c>
      <c r="T438" s="30">
        <v>499967747</v>
      </c>
      <c r="U438" s="30">
        <v>0</v>
      </c>
      <c r="V438" s="285">
        <f t="shared" si="205"/>
        <v>0</v>
      </c>
      <c r="W438" s="29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>
        <v>0</v>
      </c>
      <c r="AI438" s="30">
        <f t="shared" si="207"/>
        <v>0</v>
      </c>
      <c r="AJ438" s="30">
        <f t="shared" si="229"/>
        <v>97512937</v>
      </c>
      <c r="AK438" s="796" t="s">
        <v>43</v>
      </c>
      <c r="AL438" s="796" t="s">
        <v>44</v>
      </c>
      <c r="AM438" s="796"/>
      <c r="AN438" s="799"/>
    </row>
    <row r="439" spans="1:41" s="33" customFormat="1" ht="25.5" hidden="1" customHeight="1" outlineLevel="2">
      <c r="A439" s="19"/>
      <c r="B439" s="19">
        <v>31</v>
      </c>
      <c r="C439" s="19"/>
      <c r="D439" s="19" t="s">
        <v>33</v>
      </c>
      <c r="E439" s="19" t="s">
        <v>34</v>
      </c>
      <c r="F439" s="19" t="s">
        <v>84</v>
      </c>
      <c r="G439" s="19" t="s">
        <v>49</v>
      </c>
      <c r="H439" s="21" t="s">
        <v>50</v>
      </c>
      <c r="I439" s="19" t="s">
        <v>299</v>
      </c>
      <c r="J439" s="19" t="s">
        <v>327</v>
      </c>
      <c r="K439" s="19">
        <v>21</v>
      </c>
      <c r="L439" s="19" t="s">
        <v>46</v>
      </c>
      <c r="M439" s="23" t="s">
        <v>40</v>
      </c>
      <c r="N439" s="21">
        <v>20157700</v>
      </c>
      <c r="O439" s="21" t="s">
        <v>756</v>
      </c>
      <c r="P439" s="21"/>
      <c r="Q439" s="23" t="s">
        <v>334</v>
      </c>
      <c r="R439" s="152"/>
      <c r="S439" s="26">
        <v>2850569000</v>
      </c>
      <c r="T439" s="30">
        <v>62399451</v>
      </c>
      <c r="U439" s="30">
        <v>142528450</v>
      </c>
      <c r="V439" s="286">
        <f t="shared" si="205"/>
        <v>0</v>
      </c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28">
        <v>0</v>
      </c>
      <c r="AI439" s="30">
        <f t="shared" si="207"/>
        <v>142528450</v>
      </c>
      <c r="AJ439" s="30">
        <f t="shared" si="229"/>
        <v>2645641099</v>
      </c>
      <c r="AK439" s="796" t="s">
        <v>43</v>
      </c>
      <c r="AL439" s="796" t="s">
        <v>90</v>
      </c>
      <c r="AM439" s="796"/>
      <c r="AN439" s="799"/>
    </row>
    <row r="440" spans="1:41" s="38" customFormat="1" ht="25.5" hidden="1" customHeight="1" outlineLevel="1">
      <c r="A440" s="35"/>
      <c r="B440" s="35"/>
      <c r="C440" s="35"/>
      <c r="D440" s="35"/>
      <c r="E440" s="35"/>
      <c r="F440" s="36"/>
      <c r="G440" s="36"/>
      <c r="H440" s="37"/>
      <c r="I440" s="36"/>
      <c r="J440" s="36"/>
      <c r="K440" s="36"/>
      <c r="L440" s="35"/>
      <c r="N440" s="39"/>
      <c r="O440" s="39"/>
      <c r="P440" s="39"/>
      <c r="Q440" s="132" t="s">
        <v>58</v>
      </c>
      <c r="R440" s="41"/>
      <c r="S440" s="133">
        <f t="shared" ref="S440:AJ440" si="230">SUBTOTAL(9,S434:S439)</f>
        <v>0</v>
      </c>
      <c r="T440" s="133">
        <f t="shared" ref="T440" si="231">SUBTOTAL(9,T434:T439)</f>
        <v>0</v>
      </c>
      <c r="U440" s="133">
        <f t="shared" si="230"/>
        <v>0</v>
      </c>
      <c r="V440" s="133">
        <f t="shared" si="230"/>
        <v>0</v>
      </c>
      <c r="W440" s="133">
        <f t="shared" si="230"/>
        <v>0</v>
      </c>
      <c r="X440" s="133">
        <f t="shared" si="230"/>
        <v>0</v>
      </c>
      <c r="Y440" s="133">
        <f t="shared" si="230"/>
        <v>0</v>
      </c>
      <c r="Z440" s="133">
        <f t="shared" si="230"/>
        <v>0</v>
      </c>
      <c r="AA440" s="133">
        <f t="shared" si="230"/>
        <v>0</v>
      </c>
      <c r="AB440" s="133">
        <f t="shared" si="230"/>
        <v>0</v>
      </c>
      <c r="AC440" s="133">
        <f t="shared" si="230"/>
        <v>0</v>
      </c>
      <c r="AD440" s="133">
        <f t="shared" si="230"/>
        <v>0</v>
      </c>
      <c r="AE440" s="133">
        <f t="shared" si="230"/>
        <v>0</v>
      </c>
      <c r="AF440" s="133">
        <f t="shared" si="230"/>
        <v>0</v>
      </c>
      <c r="AG440" s="133">
        <f t="shared" si="230"/>
        <v>0</v>
      </c>
      <c r="AH440" s="133">
        <v>57781035</v>
      </c>
      <c r="AI440" s="133">
        <f t="shared" si="230"/>
        <v>0</v>
      </c>
      <c r="AJ440" s="133">
        <f t="shared" si="230"/>
        <v>0</v>
      </c>
      <c r="AK440" s="796"/>
      <c r="AL440" s="796"/>
      <c r="AM440" s="796"/>
      <c r="AN440" s="799"/>
    </row>
    <row r="441" spans="1:41" s="38" customFormat="1" ht="25.5" hidden="1" customHeight="1" outlineLevel="1">
      <c r="A441" s="35"/>
      <c r="B441" s="35"/>
      <c r="C441" s="35"/>
      <c r="D441" s="35"/>
      <c r="E441" s="35"/>
      <c r="F441" s="36"/>
      <c r="G441" s="36"/>
      <c r="H441" s="37"/>
      <c r="I441" s="36"/>
      <c r="J441" s="36"/>
      <c r="K441" s="36"/>
      <c r="L441" s="35"/>
      <c r="N441" s="39"/>
      <c r="O441" s="39"/>
      <c r="P441" s="39"/>
      <c r="Q441" s="46"/>
      <c r="R441" s="42"/>
      <c r="S441" s="47"/>
      <c r="T441" s="47"/>
      <c r="U441" s="47"/>
      <c r="V441" s="47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7"/>
      <c r="AJ441" s="47"/>
      <c r="AK441" s="796"/>
      <c r="AL441" s="796"/>
      <c r="AM441" s="796"/>
      <c r="AN441" s="799"/>
    </row>
    <row r="442" spans="1:41" s="33" customFormat="1" ht="25.5" hidden="1" customHeight="1" outlineLevel="2">
      <c r="A442" s="35"/>
      <c r="B442" s="35"/>
      <c r="C442" s="35"/>
      <c r="D442" s="35"/>
      <c r="E442" s="35"/>
      <c r="F442" s="36"/>
      <c r="G442" s="36"/>
      <c r="H442" s="37"/>
      <c r="I442" s="36"/>
      <c r="J442" s="36"/>
      <c r="K442" s="36"/>
      <c r="L442" s="35"/>
      <c r="M442" s="38"/>
      <c r="N442" s="39"/>
      <c r="O442" s="39"/>
      <c r="P442" s="39"/>
      <c r="Q442" s="17" t="s">
        <v>68</v>
      </c>
      <c r="R442" s="42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796"/>
      <c r="AL442" s="796"/>
      <c r="AM442" s="796"/>
      <c r="AN442" s="799"/>
    </row>
    <row r="443" spans="1:41" s="38" customFormat="1" ht="25.5" hidden="1" customHeight="1" outlineLevel="1">
      <c r="A443" s="66"/>
      <c r="B443" s="66">
        <v>29</v>
      </c>
      <c r="C443" s="66"/>
      <c r="D443" s="66" t="s">
        <v>92</v>
      </c>
      <c r="E443" s="66" t="s">
        <v>69</v>
      </c>
      <c r="F443" s="66"/>
      <c r="G443" s="66"/>
      <c r="H443" s="68" t="s">
        <v>61</v>
      </c>
      <c r="I443" s="66" t="s">
        <v>299</v>
      </c>
      <c r="J443" s="66" t="s">
        <v>327</v>
      </c>
      <c r="K443" s="69">
        <v>21</v>
      </c>
      <c r="L443" s="66" t="s">
        <v>131</v>
      </c>
      <c r="M443" s="70" t="s">
        <v>40</v>
      </c>
      <c r="N443" s="68">
        <v>40014051</v>
      </c>
      <c r="O443" s="68"/>
      <c r="P443" s="68"/>
      <c r="Q443" s="70" t="s">
        <v>335</v>
      </c>
      <c r="R443" s="25"/>
      <c r="S443" s="71">
        <v>250000000</v>
      </c>
      <c r="T443" s="72">
        <v>0</v>
      </c>
      <c r="U443" s="72">
        <v>250000000</v>
      </c>
      <c r="V443" s="297">
        <f t="shared" si="205"/>
        <v>0</v>
      </c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>
        <v>0</v>
      </c>
      <c r="AI443" s="72">
        <f t="shared" si="207"/>
        <v>250000000</v>
      </c>
      <c r="AJ443" s="72">
        <f>+S443-T443-V443-AI443</f>
        <v>0</v>
      </c>
      <c r="AK443" s="796" t="s">
        <v>48</v>
      </c>
      <c r="AL443" s="796" t="s">
        <v>66</v>
      </c>
      <c r="AM443" s="796"/>
      <c r="AN443" s="799"/>
    </row>
    <row r="444" spans="1:41" s="38" customFormat="1" ht="25.5" hidden="1" customHeight="1" outlineLevel="1">
      <c r="A444" s="66"/>
      <c r="B444" s="66">
        <v>31</v>
      </c>
      <c r="C444" s="730"/>
      <c r="D444" s="66" t="s">
        <v>33</v>
      </c>
      <c r="E444" s="66" t="s">
        <v>69</v>
      </c>
      <c r="F444" s="730"/>
      <c r="G444" s="67"/>
      <c r="H444" s="68" t="s">
        <v>45</v>
      </c>
      <c r="I444" s="66" t="s">
        <v>299</v>
      </c>
      <c r="J444" s="66" t="s">
        <v>327</v>
      </c>
      <c r="K444" s="69">
        <v>21</v>
      </c>
      <c r="L444" s="66" t="s">
        <v>76</v>
      </c>
      <c r="M444" s="70" t="s">
        <v>40</v>
      </c>
      <c r="N444" s="68">
        <v>40019386</v>
      </c>
      <c r="O444" s="68"/>
      <c r="P444" s="68"/>
      <c r="Q444" s="742" t="s">
        <v>336</v>
      </c>
      <c r="R444" s="24"/>
      <c r="S444" s="71">
        <v>200000000</v>
      </c>
      <c r="T444" s="72">
        <v>0</v>
      </c>
      <c r="U444" s="72">
        <v>50000000</v>
      </c>
      <c r="V444" s="297">
        <f t="shared" si="205"/>
        <v>0</v>
      </c>
      <c r="W444" s="29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>
        <v>0</v>
      </c>
      <c r="AI444" s="72">
        <f t="shared" si="207"/>
        <v>50000000</v>
      </c>
      <c r="AJ444" s="72">
        <f>+S444-T444-V444-AI444</f>
        <v>150000000</v>
      </c>
      <c r="AK444" s="796" t="s">
        <v>43</v>
      </c>
      <c r="AL444" s="796" t="s">
        <v>66</v>
      </c>
      <c r="AM444" s="796"/>
      <c r="AN444" s="799"/>
      <c r="AO444" s="33">
        <f>VLOOKUP(N444,'CONVENIOS 2021'!A$1:A$53,1,FALSE)</f>
        <v>40019386</v>
      </c>
    </row>
    <row r="445" spans="1:41" s="18" customFormat="1" ht="25.5" hidden="1" customHeight="1" outlineLevel="1">
      <c r="A445" s="66"/>
      <c r="B445" s="66">
        <v>33</v>
      </c>
      <c r="C445" s="66"/>
      <c r="D445" s="66" t="s">
        <v>76</v>
      </c>
      <c r="E445" s="66" t="s">
        <v>69</v>
      </c>
      <c r="F445" s="66" t="s">
        <v>35</v>
      </c>
      <c r="G445" s="67" t="s">
        <v>49</v>
      </c>
      <c r="H445" s="68" t="s">
        <v>61</v>
      </c>
      <c r="I445" s="66" t="s">
        <v>299</v>
      </c>
      <c r="J445" s="66" t="s">
        <v>327</v>
      </c>
      <c r="K445" s="69">
        <v>21</v>
      </c>
      <c r="L445" s="66" t="s">
        <v>76</v>
      </c>
      <c r="M445" s="70" t="s">
        <v>40</v>
      </c>
      <c r="N445" s="68" t="s">
        <v>76</v>
      </c>
      <c r="O445" s="68"/>
      <c r="P445" s="68"/>
      <c r="Q445" s="70" t="s">
        <v>77</v>
      </c>
      <c r="R445" s="141"/>
      <c r="S445" s="188">
        <v>200000000</v>
      </c>
      <c r="T445" s="72">
        <v>0</v>
      </c>
      <c r="U445" s="189">
        <v>200000000</v>
      </c>
      <c r="V445" s="296">
        <f t="shared" si="205"/>
        <v>0</v>
      </c>
      <c r="W445" s="144"/>
      <c r="X445" s="143"/>
      <c r="Y445" s="143"/>
      <c r="Z445" s="143"/>
      <c r="AA445" s="143"/>
      <c r="AB445" s="28"/>
      <c r="AC445" s="143"/>
      <c r="AD445" s="143"/>
      <c r="AE445" s="143"/>
      <c r="AF445" s="143"/>
      <c r="AG445" s="28"/>
      <c r="AH445" s="72"/>
      <c r="AI445" s="72">
        <f t="shared" si="207"/>
        <v>200000000</v>
      </c>
      <c r="AJ445" s="72">
        <f>+S445-T445-V445-AI445</f>
        <v>0</v>
      </c>
      <c r="AK445" s="796" t="s">
        <v>78</v>
      </c>
      <c r="AL445" s="796"/>
      <c r="AM445" s="796"/>
      <c r="AN445" s="799"/>
    </row>
    <row r="446" spans="1:41" s="38" customFormat="1" ht="25.5" hidden="1" customHeight="1" outlineLevel="1">
      <c r="A446" s="35"/>
      <c r="B446" s="35"/>
      <c r="C446" s="35"/>
      <c r="D446" s="35"/>
      <c r="E446" s="35"/>
      <c r="F446" s="36"/>
      <c r="G446" s="36"/>
      <c r="H446" s="37"/>
      <c r="I446" s="36"/>
      <c r="J446" s="36"/>
      <c r="K446" s="36"/>
      <c r="L446" s="35"/>
      <c r="N446" s="39"/>
      <c r="O446" s="39"/>
      <c r="P446" s="39"/>
      <c r="Q446" s="134" t="s">
        <v>80</v>
      </c>
      <c r="R446" s="42"/>
      <c r="S446" s="110">
        <f t="shared" ref="S446:U446" si="232">SUBTOTAL(9,S443:S445)</f>
        <v>0</v>
      </c>
      <c r="T446" s="110">
        <f t="shared" ref="T446" si="233">SUBTOTAL(9,T443:T445)</f>
        <v>0</v>
      </c>
      <c r="U446" s="110">
        <f t="shared" si="232"/>
        <v>0</v>
      </c>
      <c r="V446" s="110">
        <f t="shared" ref="V446:AJ446" si="234">SUBTOTAL(9,V443:V445)</f>
        <v>0</v>
      </c>
      <c r="W446" s="110">
        <f t="shared" si="234"/>
        <v>0</v>
      </c>
      <c r="X446" s="110">
        <f t="shared" si="234"/>
        <v>0</v>
      </c>
      <c r="Y446" s="110">
        <f t="shared" si="234"/>
        <v>0</v>
      </c>
      <c r="Z446" s="110">
        <f t="shared" si="234"/>
        <v>0</v>
      </c>
      <c r="AA446" s="110">
        <f t="shared" si="234"/>
        <v>0</v>
      </c>
      <c r="AB446" s="110">
        <f t="shared" si="234"/>
        <v>0</v>
      </c>
      <c r="AC446" s="110">
        <f t="shared" si="234"/>
        <v>0</v>
      </c>
      <c r="AD446" s="110">
        <f t="shared" si="234"/>
        <v>0</v>
      </c>
      <c r="AE446" s="110">
        <f t="shared" si="234"/>
        <v>0</v>
      </c>
      <c r="AF446" s="110">
        <f t="shared" si="234"/>
        <v>0</v>
      </c>
      <c r="AG446" s="110">
        <f t="shared" si="234"/>
        <v>0</v>
      </c>
      <c r="AH446" s="110">
        <v>0</v>
      </c>
      <c r="AI446" s="110">
        <f t="shared" si="234"/>
        <v>0</v>
      </c>
      <c r="AJ446" s="110">
        <f t="shared" si="234"/>
        <v>0</v>
      </c>
      <c r="AK446" s="796"/>
      <c r="AL446" s="796"/>
      <c r="AM446" s="796"/>
      <c r="AN446" s="799"/>
    </row>
    <row r="447" spans="1:41" s="90" customFormat="1" ht="24.75" hidden="1" customHeight="1" outlineLevel="1">
      <c r="A447" s="35"/>
      <c r="B447" s="35"/>
      <c r="C447" s="35"/>
      <c r="D447" s="35"/>
      <c r="E447" s="35"/>
      <c r="F447" s="36"/>
      <c r="G447" s="36"/>
      <c r="H447" s="37"/>
      <c r="I447" s="36"/>
      <c r="J447" s="36"/>
      <c r="K447" s="36"/>
      <c r="L447" s="35"/>
      <c r="M447" s="38"/>
      <c r="N447" s="39"/>
      <c r="O447" s="39"/>
      <c r="P447" s="39"/>
      <c r="Q447" s="46"/>
      <c r="R447" s="42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796"/>
      <c r="AL447" s="796"/>
      <c r="AM447" s="796"/>
      <c r="AN447" s="799"/>
    </row>
    <row r="448" spans="1:41" s="84" customFormat="1" ht="24.75" hidden="1" customHeight="1" outlineLevel="1">
      <c r="A448" s="36"/>
      <c r="B448" s="82"/>
      <c r="C448" s="82"/>
      <c r="D448" s="36"/>
      <c r="E448" s="36"/>
      <c r="F448" s="36"/>
      <c r="G448" s="36"/>
      <c r="H448" s="37"/>
      <c r="I448" s="36"/>
      <c r="J448" s="36"/>
      <c r="K448" s="36"/>
      <c r="L448" s="82"/>
      <c r="N448" s="83"/>
      <c r="O448" s="39"/>
      <c r="P448" s="39"/>
      <c r="Q448" s="85" t="s">
        <v>337</v>
      </c>
      <c r="R448" s="111"/>
      <c r="S448" s="88">
        <f t="shared" ref="S448:U448" si="235">S446+S440</f>
        <v>0</v>
      </c>
      <c r="T448" s="88">
        <f t="shared" ref="T448" si="236">T446+T440</f>
        <v>0</v>
      </c>
      <c r="U448" s="88">
        <f t="shared" si="235"/>
        <v>0</v>
      </c>
      <c r="V448" s="88">
        <f t="shared" ref="V448:AJ448" si="237">V446+V440</f>
        <v>0</v>
      </c>
      <c r="W448" s="88">
        <f t="shared" si="237"/>
        <v>0</v>
      </c>
      <c r="X448" s="88">
        <f t="shared" si="237"/>
        <v>0</v>
      </c>
      <c r="Y448" s="88">
        <f t="shared" si="237"/>
        <v>0</v>
      </c>
      <c r="Z448" s="88">
        <f t="shared" si="237"/>
        <v>0</v>
      </c>
      <c r="AA448" s="88">
        <f t="shared" si="237"/>
        <v>0</v>
      </c>
      <c r="AB448" s="88">
        <f t="shared" si="237"/>
        <v>0</v>
      </c>
      <c r="AC448" s="88">
        <f t="shared" si="237"/>
        <v>0</v>
      </c>
      <c r="AD448" s="88">
        <f t="shared" si="237"/>
        <v>0</v>
      </c>
      <c r="AE448" s="88">
        <f t="shared" si="237"/>
        <v>0</v>
      </c>
      <c r="AF448" s="88">
        <f t="shared" si="237"/>
        <v>0</v>
      </c>
      <c r="AG448" s="88">
        <f t="shared" si="237"/>
        <v>0</v>
      </c>
      <c r="AH448" s="88">
        <v>57781035</v>
      </c>
      <c r="AI448" s="88">
        <f t="shared" si="237"/>
        <v>0</v>
      </c>
      <c r="AJ448" s="88">
        <f t="shared" si="237"/>
        <v>0</v>
      </c>
      <c r="AK448" s="796"/>
      <c r="AL448" s="796"/>
      <c r="AM448" s="796"/>
      <c r="AN448" s="799"/>
    </row>
    <row r="449" spans="1:40" s="84" customFormat="1" ht="24.75" hidden="1" customHeight="1" outlineLevel="1">
      <c r="A449" s="36"/>
      <c r="B449" s="82"/>
      <c r="C449" s="82"/>
      <c r="D449" s="36"/>
      <c r="E449" s="36"/>
      <c r="F449" s="36"/>
      <c r="G449" s="36"/>
      <c r="H449" s="37"/>
      <c r="I449" s="36"/>
      <c r="J449" s="36"/>
      <c r="K449" s="36"/>
      <c r="L449" s="82"/>
      <c r="N449" s="83"/>
      <c r="O449" s="39"/>
      <c r="P449" s="39"/>
      <c r="Q449" s="91"/>
      <c r="R449" s="87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796"/>
      <c r="AL449" s="796"/>
      <c r="AM449" s="796"/>
      <c r="AN449" s="799"/>
    </row>
    <row r="450" spans="1:40" s="84" customFormat="1" ht="24.75" hidden="1" customHeight="1" outlineLevel="1">
      <c r="A450" s="36"/>
      <c r="B450" s="82"/>
      <c r="C450" s="82"/>
      <c r="D450" s="36"/>
      <c r="E450" s="36"/>
      <c r="F450" s="36"/>
      <c r="G450" s="36"/>
      <c r="H450" s="37"/>
      <c r="I450" s="36"/>
      <c r="J450" s="36"/>
      <c r="K450" s="36"/>
      <c r="L450" s="82"/>
      <c r="N450" s="83"/>
      <c r="O450" s="39"/>
      <c r="P450" s="39"/>
      <c r="Q450" s="596"/>
      <c r="R450" s="87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796"/>
      <c r="AL450" s="796"/>
      <c r="AM450" s="796"/>
      <c r="AN450" s="799"/>
    </row>
    <row r="451" spans="1:40" s="18" customFormat="1" ht="25.5" hidden="1" customHeight="1" outlineLevel="1">
      <c r="A451" s="36"/>
      <c r="B451" s="36"/>
      <c r="C451" s="36"/>
      <c r="D451" s="36"/>
      <c r="E451" s="36"/>
      <c r="F451" s="36"/>
      <c r="G451" s="36"/>
      <c r="H451" s="37"/>
      <c r="I451" s="36"/>
      <c r="J451" s="36"/>
      <c r="K451" s="36"/>
      <c r="L451" s="36"/>
      <c r="M451" s="95"/>
      <c r="N451" s="37"/>
      <c r="O451" s="39"/>
      <c r="P451" s="39"/>
      <c r="Q451" s="96" t="s">
        <v>338</v>
      </c>
      <c r="R451" s="50"/>
      <c r="S451" s="97"/>
      <c r="T451" s="97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796"/>
      <c r="AL451" s="796"/>
      <c r="AM451" s="796"/>
      <c r="AN451" s="799"/>
    </row>
    <row r="452" spans="1:40" s="33" customFormat="1" ht="25.5" hidden="1" customHeight="1" outlineLevel="2">
      <c r="A452" s="35"/>
      <c r="B452" s="35"/>
      <c r="C452" s="35"/>
      <c r="D452" s="35"/>
      <c r="E452" s="35"/>
      <c r="F452" s="36"/>
      <c r="G452" s="36"/>
      <c r="H452" s="37"/>
      <c r="I452" s="36"/>
      <c r="J452" s="36"/>
      <c r="K452" s="36"/>
      <c r="L452" s="35"/>
      <c r="M452" s="38"/>
      <c r="N452" s="39"/>
      <c r="O452" s="39"/>
      <c r="P452" s="39"/>
      <c r="Q452" s="17" t="s">
        <v>32</v>
      </c>
      <c r="R452" s="50"/>
      <c r="S452" s="51"/>
      <c r="T452" s="51"/>
      <c r="U452" s="52"/>
      <c r="V452" s="52"/>
      <c r="W452" s="52"/>
      <c r="X452" s="52"/>
      <c r="Y452" s="52"/>
      <c r="Z452" s="53"/>
      <c r="AA452" s="53"/>
      <c r="AB452" s="53"/>
      <c r="AC452" s="53"/>
      <c r="AD452" s="53"/>
      <c r="AE452" s="53"/>
      <c r="AF452" s="53"/>
      <c r="AG452" s="53"/>
      <c r="AH452" s="53"/>
      <c r="AI452" s="52"/>
      <c r="AJ452" s="52"/>
      <c r="AK452" s="796"/>
      <c r="AL452" s="796"/>
      <c r="AM452" s="796"/>
      <c r="AN452" s="799"/>
    </row>
    <row r="453" spans="1:40" s="33" customFormat="1" ht="25.5" hidden="1" customHeight="1" outlineLevel="2">
      <c r="A453" s="19" t="s">
        <v>133</v>
      </c>
      <c r="B453" s="19">
        <v>31</v>
      </c>
      <c r="C453" s="19"/>
      <c r="D453" s="19" t="s">
        <v>33</v>
      </c>
      <c r="E453" s="19" t="s">
        <v>34</v>
      </c>
      <c r="F453" s="19" t="s">
        <v>84</v>
      </c>
      <c r="G453" s="20" t="s">
        <v>49</v>
      </c>
      <c r="H453" s="21" t="s">
        <v>85</v>
      </c>
      <c r="I453" s="19" t="s">
        <v>299</v>
      </c>
      <c r="J453" s="19" t="s">
        <v>339</v>
      </c>
      <c r="K453" s="22">
        <v>22</v>
      </c>
      <c r="L453" s="19" t="s">
        <v>46</v>
      </c>
      <c r="M453" s="23" t="s">
        <v>40</v>
      </c>
      <c r="N453" s="21">
        <v>30135739</v>
      </c>
      <c r="O453" s="21" t="s">
        <v>756</v>
      </c>
      <c r="P453" s="21"/>
      <c r="Q453" s="23" t="s">
        <v>340</v>
      </c>
      <c r="R453" s="24"/>
      <c r="S453" s="26">
        <v>571440000</v>
      </c>
      <c r="T453" s="30">
        <v>493221484</v>
      </c>
      <c r="U453" s="30">
        <v>78218516</v>
      </c>
      <c r="V453" s="285">
        <f t="shared" ref="V453:V509" si="238">+SUM(W453:AH453)</f>
        <v>0</v>
      </c>
      <c r="W453" s="29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>
        <v>0</v>
      </c>
      <c r="AI453" s="30">
        <f t="shared" ref="AI453:AI509" si="239">+U453-V453</f>
        <v>78218516</v>
      </c>
      <c r="AJ453" s="30">
        <f>+S453-T453-V453-AI453</f>
        <v>0</v>
      </c>
      <c r="AK453" s="796" t="s">
        <v>43</v>
      </c>
      <c r="AL453" s="796" t="s">
        <v>44</v>
      </c>
      <c r="AM453" s="796"/>
      <c r="AN453" s="799"/>
    </row>
    <row r="454" spans="1:40" s="38" customFormat="1" ht="25.5" hidden="1" customHeight="1" outlineLevel="1">
      <c r="A454" s="35"/>
      <c r="B454" s="35"/>
      <c r="C454" s="35"/>
      <c r="D454" s="35"/>
      <c r="E454" s="35"/>
      <c r="F454" s="36"/>
      <c r="G454" s="36"/>
      <c r="H454" s="37"/>
      <c r="I454" s="36"/>
      <c r="J454" s="36"/>
      <c r="K454" s="36"/>
      <c r="L454" s="35"/>
      <c r="N454" s="39"/>
      <c r="O454" s="39"/>
      <c r="P454" s="39"/>
      <c r="Q454" s="132" t="s">
        <v>58</v>
      </c>
      <c r="R454" s="41"/>
      <c r="S454" s="133">
        <f t="shared" ref="S454:AJ454" si="240">SUBTOTAL(9,S453)</f>
        <v>0</v>
      </c>
      <c r="T454" s="133">
        <f t="shared" ref="T454" si="241">SUBTOTAL(9,T453)</f>
        <v>0</v>
      </c>
      <c r="U454" s="133">
        <f t="shared" si="240"/>
        <v>0</v>
      </c>
      <c r="V454" s="133">
        <f t="shared" si="240"/>
        <v>0</v>
      </c>
      <c r="W454" s="133">
        <f t="shared" si="240"/>
        <v>0</v>
      </c>
      <c r="X454" s="133">
        <f t="shared" si="240"/>
        <v>0</v>
      </c>
      <c r="Y454" s="133">
        <f t="shared" si="240"/>
        <v>0</v>
      </c>
      <c r="Z454" s="133">
        <f t="shared" si="240"/>
        <v>0</v>
      </c>
      <c r="AA454" s="133">
        <f t="shared" si="240"/>
        <v>0</v>
      </c>
      <c r="AB454" s="133">
        <f t="shared" si="240"/>
        <v>0</v>
      </c>
      <c r="AC454" s="133">
        <f t="shared" si="240"/>
        <v>0</v>
      </c>
      <c r="AD454" s="133">
        <f t="shared" si="240"/>
        <v>0</v>
      </c>
      <c r="AE454" s="133">
        <f t="shared" si="240"/>
        <v>0</v>
      </c>
      <c r="AF454" s="133">
        <f t="shared" si="240"/>
        <v>0</v>
      </c>
      <c r="AG454" s="133">
        <f t="shared" si="240"/>
        <v>0</v>
      </c>
      <c r="AH454" s="133">
        <v>0</v>
      </c>
      <c r="AI454" s="133">
        <f t="shared" si="240"/>
        <v>0</v>
      </c>
      <c r="AJ454" s="133">
        <f t="shared" si="240"/>
        <v>0</v>
      </c>
      <c r="AK454" s="796"/>
      <c r="AL454" s="796" t="s">
        <v>90</v>
      </c>
      <c r="AM454" s="796"/>
      <c r="AN454" s="799"/>
    </row>
    <row r="455" spans="1:40" s="38" customFormat="1" ht="25.5" hidden="1" customHeight="1" outlineLevel="1">
      <c r="A455" s="35"/>
      <c r="B455" s="35"/>
      <c r="C455" s="35"/>
      <c r="D455" s="35"/>
      <c r="E455" s="35"/>
      <c r="F455" s="36"/>
      <c r="G455" s="36"/>
      <c r="H455" s="37"/>
      <c r="I455" s="36"/>
      <c r="J455" s="36"/>
      <c r="K455" s="36"/>
      <c r="L455" s="35"/>
      <c r="N455" s="39"/>
      <c r="O455" s="39"/>
      <c r="P455" s="39"/>
      <c r="Q455" s="46"/>
      <c r="R455" s="42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796"/>
      <c r="AL455" s="796"/>
      <c r="AM455" s="796"/>
      <c r="AN455" s="799"/>
    </row>
    <row r="456" spans="1:40" s="38" customFormat="1" ht="25.5" hidden="1" customHeight="1" outlineLevel="1">
      <c r="A456" s="35"/>
      <c r="B456" s="35"/>
      <c r="C456" s="35"/>
      <c r="D456" s="35"/>
      <c r="E456" s="35"/>
      <c r="F456" s="36"/>
      <c r="G456" s="36"/>
      <c r="H456" s="37"/>
      <c r="I456" s="36"/>
      <c r="J456" s="36"/>
      <c r="K456" s="36"/>
      <c r="L456" s="35"/>
      <c r="N456" s="39"/>
      <c r="O456" s="39"/>
      <c r="P456" s="39"/>
      <c r="Q456" s="17" t="s">
        <v>59</v>
      </c>
      <c r="R456" s="42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796"/>
      <c r="AL456" s="796"/>
      <c r="AM456" s="796"/>
      <c r="AN456" s="799"/>
    </row>
    <row r="457" spans="1:40" s="38" customFormat="1" ht="25.5" hidden="1" customHeight="1" outlineLevel="1">
      <c r="A457" s="54"/>
      <c r="B457" s="54">
        <v>31</v>
      </c>
      <c r="C457" s="54"/>
      <c r="D457" s="54" t="s">
        <v>33</v>
      </c>
      <c r="E457" s="54" t="s">
        <v>60</v>
      </c>
      <c r="F457" s="54" t="s">
        <v>84</v>
      </c>
      <c r="G457" s="55" t="s">
        <v>49</v>
      </c>
      <c r="H457" s="56" t="s">
        <v>53</v>
      </c>
      <c r="I457" s="54" t="s">
        <v>299</v>
      </c>
      <c r="J457" s="54" t="s">
        <v>339</v>
      </c>
      <c r="K457" s="57">
        <v>22</v>
      </c>
      <c r="L457" s="54" t="s">
        <v>46</v>
      </c>
      <c r="M457" s="58" t="s">
        <v>40</v>
      </c>
      <c r="N457" s="56">
        <v>30095333</v>
      </c>
      <c r="O457" s="56" t="s">
        <v>757</v>
      </c>
      <c r="P457" s="56"/>
      <c r="Q457" s="58" t="s">
        <v>341</v>
      </c>
      <c r="R457" s="194"/>
      <c r="S457" s="59">
        <v>1556275000</v>
      </c>
      <c r="T457" s="60">
        <v>157191500</v>
      </c>
      <c r="U457" s="60">
        <v>400000000</v>
      </c>
      <c r="V457" s="292">
        <f t="shared" si="238"/>
        <v>0</v>
      </c>
      <c r="W457" s="195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  <c r="AH457" s="28">
        <v>0</v>
      </c>
      <c r="AI457" s="60">
        <f t="shared" si="239"/>
        <v>400000000</v>
      </c>
      <c r="AJ457" s="60">
        <f>+S457-T457-V457-AI457</f>
        <v>999083500</v>
      </c>
      <c r="AK457" s="796" t="s">
        <v>43</v>
      </c>
      <c r="AL457" s="796"/>
      <c r="AM457" s="796"/>
      <c r="AN457" s="799"/>
    </row>
    <row r="458" spans="1:40" s="38" customFormat="1" ht="25.5" hidden="1" customHeight="1" outlineLevel="1">
      <c r="A458" s="35"/>
      <c r="B458" s="35"/>
      <c r="C458" s="35"/>
      <c r="D458" s="35"/>
      <c r="E458" s="35"/>
      <c r="F458" s="36"/>
      <c r="G458" s="36"/>
      <c r="H458" s="37"/>
      <c r="I458" s="36"/>
      <c r="J458" s="36"/>
      <c r="K458" s="36"/>
      <c r="L458" s="35"/>
      <c r="N458" s="39"/>
      <c r="O458" s="39"/>
      <c r="P458" s="39"/>
      <c r="Q458" s="139" t="s">
        <v>67</v>
      </c>
      <c r="R458" s="41"/>
      <c r="S458" s="140">
        <f t="shared" ref="S458:AJ458" si="242">SUBTOTAL(9,S457)</f>
        <v>0</v>
      </c>
      <c r="T458" s="140">
        <f t="shared" ref="T458" si="243">SUBTOTAL(9,T457)</f>
        <v>0</v>
      </c>
      <c r="U458" s="140">
        <f t="shared" si="242"/>
        <v>0</v>
      </c>
      <c r="V458" s="140">
        <f t="shared" si="242"/>
        <v>0</v>
      </c>
      <c r="W458" s="140">
        <f t="shared" si="242"/>
        <v>0</v>
      </c>
      <c r="X458" s="140">
        <f t="shared" si="242"/>
        <v>0</v>
      </c>
      <c r="Y458" s="140">
        <f t="shared" si="242"/>
        <v>0</v>
      </c>
      <c r="Z458" s="140">
        <f t="shared" si="242"/>
        <v>0</v>
      </c>
      <c r="AA458" s="140">
        <f t="shared" si="242"/>
        <v>0</v>
      </c>
      <c r="AB458" s="140">
        <f t="shared" si="242"/>
        <v>0</v>
      </c>
      <c r="AC458" s="140">
        <f t="shared" si="242"/>
        <v>0</v>
      </c>
      <c r="AD458" s="140">
        <f t="shared" si="242"/>
        <v>0</v>
      </c>
      <c r="AE458" s="140">
        <f t="shared" si="242"/>
        <v>0</v>
      </c>
      <c r="AF458" s="140">
        <f t="shared" si="242"/>
        <v>0</v>
      </c>
      <c r="AG458" s="140">
        <f t="shared" si="242"/>
        <v>0</v>
      </c>
      <c r="AH458" s="140">
        <v>0</v>
      </c>
      <c r="AI458" s="140">
        <f t="shared" si="242"/>
        <v>0</v>
      </c>
      <c r="AJ458" s="140">
        <f t="shared" si="242"/>
        <v>0</v>
      </c>
      <c r="AK458" s="796"/>
      <c r="AL458" s="796"/>
      <c r="AM458" s="796"/>
      <c r="AN458" s="799"/>
    </row>
    <row r="459" spans="1:40" s="38" customFormat="1" ht="25.5" hidden="1" customHeight="1" outlineLevel="1">
      <c r="A459" s="35"/>
      <c r="B459" s="35"/>
      <c r="C459" s="35"/>
      <c r="D459" s="35"/>
      <c r="E459" s="35"/>
      <c r="F459" s="36"/>
      <c r="G459" s="36"/>
      <c r="H459" s="37"/>
      <c r="I459" s="36"/>
      <c r="J459" s="36"/>
      <c r="K459" s="36"/>
      <c r="L459" s="35"/>
      <c r="N459" s="39"/>
      <c r="O459" s="39"/>
      <c r="P459" s="39"/>
      <c r="Q459" s="46"/>
      <c r="R459" s="42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796"/>
      <c r="AL459" s="796"/>
      <c r="AM459" s="796"/>
      <c r="AN459" s="799"/>
    </row>
    <row r="460" spans="1:40" s="33" customFormat="1" ht="25.5" hidden="1" customHeight="1" outlineLevel="2">
      <c r="A460" s="35"/>
      <c r="B460" s="35"/>
      <c r="C460" s="35"/>
      <c r="D460" s="35"/>
      <c r="E460" s="35"/>
      <c r="F460" s="36"/>
      <c r="G460" s="36"/>
      <c r="H460" s="37"/>
      <c r="I460" s="36"/>
      <c r="J460" s="36"/>
      <c r="K460" s="36"/>
      <c r="L460" s="35"/>
      <c r="M460" s="38"/>
      <c r="N460" s="39"/>
      <c r="O460" s="39"/>
      <c r="P460" s="39"/>
      <c r="Q460" s="17" t="s">
        <v>68</v>
      </c>
      <c r="R460" s="42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796"/>
      <c r="AL460" s="796"/>
      <c r="AM460" s="796"/>
      <c r="AN460" s="799"/>
    </row>
    <row r="461" spans="1:40" s="18" customFormat="1" ht="25.5" hidden="1" customHeight="1" outlineLevel="1">
      <c r="A461" s="66"/>
      <c r="B461" s="66">
        <v>33</v>
      </c>
      <c r="C461" s="66"/>
      <c r="D461" s="66" t="s">
        <v>76</v>
      </c>
      <c r="E461" s="66" t="s">
        <v>69</v>
      </c>
      <c r="F461" s="66" t="s">
        <v>35</v>
      </c>
      <c r="G461" s="67" t="s">
        <v>49</v>
      </c>
      <c r="H461" s="68" t="s">
        <v>61</v>
      </c>
      <c r="I461" s="66" t="s">
        <v>299</v>
      </c>
      <c r="J461" s="66" t="s">
        <v>339</v>
      </c>
      <c r="K461" s="69">
        <v>22</v>
      </c>
      <c r="L461" s="66" t="s">
        <v>76</v>
      </c>
      <c r="M461" s="70" t="s">
        <v>40</v>
      </c>
      <c r="N461" s="68" t="s">
        <v>76</v>
      </c>
      <c r="O461" s="68"/>
      <c r="P461" s="68"/>
      <c r="Q461" s="70" t="s">
        <v>77</v>
      </c>
      <c r="R461" s="142"/>
      <c r="S461" s="71">
        <v>200000000</v>
      </c>
      <c r="T461" s="72">
        <v>0</v>
      </c>
      <c r="U461" s="72">
        <v>200000000</v>
      </c>
      <c r="V461" s="297">
        <f t="shared" si="238"/>
        <v>113651927</v>
      </c>
      <c r="W461" s="143"/>
      <c r="X461" s="143"/>
      <c r="Y461" s="143"/>
      <c r="Z461" s="143"/>
      <c r="AA461" s="143"/>
      <c r="AB461" s="28"/>
      <c r="AC461" s="143"/>
      <c r="AD461" s="143"/>
      <c r="AE461" s="143"/>
      <c r="AF461" s="143"/>
      <c r="AG461" s="28"/>
      <c r="AH461" s="72">
        <v>113651927</v>
      </c>
      <c r="AI461" s="72">
        <f t="shared" si="239"/>
        <v>86348073</v>
      </c>
      <c r="AJ461" s="72">
        <f>+S461-T461-V461-AI461</f>
        <v>0</v>
      </c>
      <c r="AK461" s="796" t="s">
        <v>78</v>
      </c>
      <c r="AL461" s="796" t="s">
        <v>342</v>
      </c>
      <c r="AM461" s="796"/>
      <c r="AN461" s="799"/>
    </row>
    <row r="462" spans="1:40" s="38" customFormat="1" ht="25.5" hidden="1" customHeight="1" outlineLevel="1">
      <c r="A462" s="35"/>
      <c r="B462" s="35"/>
      <c r="C462" s="35"/>
      <c r="D462" s="35"/>
      <c r="E462" s="35"/>
      <c r="F462" s="36"/>
      <c r="G462" s="36"/>
      <c r="H462" s="37"/>
      <c r="I462" s="36"/>
      <c r="J462" s="36"/>
      <c r="K462" s="36"/>
      <c r="L462" s="35"/>
      <c r="N462" s="39"/>
      <c r="O462" s="39"/>
      <c r="P462" s="39"/>
      <c r="Q462" s="80" t="s">
        <v>80</v>
      </c>
      <c r="R462" s="64"/>
      <c r="S462" s="81">
        <f t="shared" ref="S462:AJ462" si="244">SUBTOTAL(9,S461)</f>
        <v>0</v>
      </c>
      <c r="T462" s="81">
        <f t="shared" ref="T462" si="245">SUBTOTAL(9,T461)</f>
        <v>0</v>
      </c>
      <c r="U462" s="81">
        <f t="shared" si="244"/>
        <v>0</v>
      </c>
      <c r="V462" s="81">
        <f t="shared" si="244"/>
        <v>0</v>
      </c>
      <c r="W462" s="81">
        <f t="shared" si="244"/>
        <v>0</v>
      </c>
      <c r="X462" s="81">
        <f t="shared" si="244"/>
        <v>0</v>
      </c>
      <c r="Y462" s="81">
        <f t="shared" si="244"/>
        <v>0</v>
      </c>
      <c r="Z462" s="81">
        <f t="shared" si="244"/>
        <v>0</v>
      </c>
      <c r="AA462" s="81">
        <f t="shared" si="244"/>
        <v>0</v>
      </c>
      <c r="AB462" s="81">
        <f t="shared" si="244"/>
        <v>0</v>
      </c>
      <c r="AC462" s="81">
        <f t="shared" si="244"/>
        <v>0</v>
      </c>
      <c r="AD462" s="81">
        <f t="shared" si="244"/>
        <v>0</v>
      </c>
      <c r="AE462" s="81">
        <f t="shared" si="244"/>
        <v>0</v>
      </c>
      <c r="AF462" s="81">
        <f t="shared" si="244"/>
        <v>0</v>
      </c>
      <c r="AG462" s="81">
        <f t="shared" si="244"/>
        <v>0</v>
      </c>
      <c r="AH462" s="81">
        <v>113651927</v>
      </c>
      <c r="AI462" s="81">
        <f t="shared" si="244"/>
        <v>0</v>
      </c>
      <c r="AJ462" s="81">
        <f t="shared" si="244"/>
        <v>0</v>
      </c>
      <c r="AK462" s="796"/>
      <c r="AL462" s="796"/>
      <c r="AM462" s="796"/>
      <c r="AN462" s="799"/>
    </row>
    <row r="463" spans="1:40" s="90" customFormat="1" ht="24.75" hidden="1" customHeight="1" outlineLevel="1">
      <c r="A463" s="35"/>
      <c r="B463" s="35"/>
      <c r="C463" s="35"/>
      <c r="D463" s="35"/>
      <c r="E463" s="35"/>
      <c r="F463" s="36"/>
      <c r="G463" s="36"/>
      <c r="H463" s="37"/>
      <c r="I463" s="36"/>
      <c r="J463" s="36"/>
      <c r="K463" s="36"/>
      <c r="L463" s="35"/>
      <c r="M463" s="38"/>
      <c r="N463" s="39"/>
      <c r="O463" s="39"/>
      <c r="P463" s="39"/>
      <c r="Q463" s="46"/>
      <c r="R463" s="42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796"/>
      <c r="AL463" s="796"/>
      <c r="AM463" s="796"/>
      <c r="AN463" s="799"/>
    </row>
    <row r="464" spans="1:40" s="84" customFormat="1" ht="24.75" hidden="1" customHeight="1" outlineLevel="1">
      <c r="A464" s="36"/>
      <c r="B464" s="82"/>
      <c r="C464" s="82"/>
      <c r="D464" s="36"/>
      <c r="E464" s="36"/>
      <c r="F464" s="36"/>
      <c r="G464" s="36"/>
      <c r="H464" s="37"/>
      <c r="I464" s="36"/>
      <c r="J464" s="36"/>
      <c r="K464" s="36"/>
      <c r="L464" s="82"/>
      <c r="N464" s="83"/>
      <c r="O464" s="39"/>
      <c r="P464" s="39"/>
      <c r="Q464" s="85" t="s">
        <v>343</v>
      </c>
      <c r="R464" s="111"/>
      <c r="S464" s="88">
        <f t="shared" ref="S464:AJ464" si="246">S454+S462+S458</f>
        <v>0</v>
      </c>
      <c r="T464" s="88">
        <f t="shared" ref="T464" si="247">T454+T462+T458</f>
        <v>0</v>
      </c>
      <c r="U464" s="88">
        <f t="shared" si="246"/>
        <v>0</v>
      </c>
      <c r="V464" s="88">
        <f t="shared" si="246"/>
        <v>0</v>
      </c>
      <c r="W464" s="88">
        <f t="shared" si="246"/>
        <v>0</v>
      </c>
      <c r="X464" s="88">
        <f t="shared" si="246"/>
        <v>0</v>
      </c>
      <c r="Y464" s="88">
        <f t="shared" si="246"/>
        <v>0</v>
      </c>
      <c r="Z464" s="88">
        <f t="shared" si="246"/>
        <v>0</v>
      </c>
      <c r="AA464" s="88">
        <f t="shared" si="246"/>
        <v>0</v>
      </c>
      <c r="AB464" s="88">
        <f t="shared" si="246"/>
        <v>0</v>
      </c>
      <c r="AC464" s="88">
        <f t="shared" si="246"/>
        <v>0</v>
      </c>
      <c r="AD464" s="88">
        <f t="shared" si="246"/>
        <v>0</v>
      </c>
      <c r="AE464" s="88">
        <f t="shared" si="246"/>
        <v>0</v>
      </c>
      <c r="AF464" s="88">
        <f t="shared" si="246"/>
        <v>0</v>
      </c>
      <c r="AG464" s="88">
        <f t="shared" si="246"/>
        <v>0</v>
      </c>
      <c r="AH464" s="88">
        <v>113651927</v>
      </c>
      <c r="AI464" s="88">
        <f t="shared" si="246"/>
        <v>0</v>
      </c>
      <c r="AJ464" s="88">
        <f t="shared" si="246"/>
        <v>0</v>
      </c>
      <c r="AK464" s="796"/>
      <c r="AL464" s="796"/>
      <c r="AM464" s="796"/>
      <c r="AN464" s="799"/>
    </row>
    <row r="465" spans="1:42" s="84" customFormat="1" ht="24.75" hidden="1" customHeight="1" outlineLevel="1">
      <c r="A465" s="36"/>
      <c r="B465" s="82"/>
      <c r="C465" s="82"/>
      <c r="D465" s="190"/>
      <c r="E465" s="36"/>
      <c r="F465" s="190"/>
      <c r="G465" s="190"/>
      <c r="H465" s="191"/>
      <c r="I465" s="190"/>
      <c r="J465" s="190"/>
      <c r="K465" s="190"/>
      <c r="L465" s="82"/>
      <c r="N465" s="83"/>
      <c r="O465" s="39"/>
      <c r="P465" s="39"/>
      <c r="Q465" s="91"/>
      <c r="R465" s="192"/>
      <c r="S465" s="92"/>
      <c r="T465" s="92"/>
      <c r="U465" s="92"/>
      <c r="V465" s="92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92"/>
      <c r="AJ465" s="92"/>
      <c r="AK465" s="796"/>
      <c r="AL465" s="796"/>
      <c r="AM465" s="796"/>
      <c r="AN465" s="799"/>
    </row>
    <row r="466" spans="1:42" s="18" customFormat="1" ht="25.5" hidden="1" customHeight="1" outlineLevel="1">
      <c r="A466" s="36"/>
      <c r="B466" s="36"/>
      <c r="C466" s="36"/>
      <c r="D466" s="36"/>
      <c r="E466" s="36"/>
      <c r="F466" s="36"/>
      <c r="G466" s="36"/>
      <c r="H466" s="37"/>
      <c r="I466" s="36"/>
      <c r="J466" s="36"/>
      <c r="K466" s="36"/>
      <c r="L466" s="36"/>
      <c r="M466" s="95"/>
      <c r="N466" s="37"/>
      <c r="O466" s="39"/>
      <c r="P466" s="39"/>
      <c r="Q466" s="96" t="s">
        <v>344</v>
      </c>
      <c r="R466" s="50"/>
      <c r="S466" s="97"/>
      <c r="T466" s="97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796"/>
      <c r="AL466" s="796"/>
      <c r="AM466" s="796"/>
      <c r="AN466" s="799"/>
    </row>
    <row r="467" spans="1:42" s="33" customFormat="1" ht="25.5" hidden="1" customHeight="1" outlineLevel="2">
      <c r="A467" s="35"/>
      <c r="B467" s="35"/>
      <c r="C467" s="35"/>
      <c r="D467" s="35"/>
      <c r="E467" s="35"/>
      <c r="F467" s="36"/>
      <c r="G467" s="36"/>
      <c r="H467" s="37"/>
      <c r="I467" s="36"/>
      <c r="J467" s="36"/>
      <c r="K467" s="36"/>
      <c r="L467" s="35"/>
      <c r="M467" s="38"/>
      <c r="N467" s="39"/>
      <c r="O467" s="39"/>
      <c r="P467" s="39"/>
      <c r="Q467" s="17" t="s">
        <v>32</v>
      </c>
      <c r="R467" s="50"/>
      <c r="S467" s="51"/>
      <c r="T467" s="51"/>
      <c r="U467" s="52"/>
      <c r="V467" s="52"/>
      <c r="W467" s="52"/>
      <c r="X467" s="52"/>
      <c r="Y467" s="52"/>
      <c r="Z467" s="53"/>
      <c r="AA467" s="53"/>
      <c r="AB467" s="53"/>
      <c r="AC467" s="53"/>
      <c r="AD467" s="53"/>
      <c r="AE467" s="53"/>
      <c r="AF467" s="53"/>
      <c r="AG467" s="53"/>
      <c r="AH467" s="53"/>
      <c r="AI467" s="52"/>
      <c r="AJ467" s="52"/>
      <c r="AK467" s="796"/>
      <c r="AL467" s="796"/>
      <c r="AM467" s="796"/>
      <c r="AN467" s="799"/>
    </row>
    <row r="468" spans="1:42" s="33" customFormat="1" ht="25.5" hidden="1" customHeight="1" outlineLevel="2">
      <c r="A468" s="19"/>
      <c r="B468" s="19">
        <v>31</v>
      </c>
      <c r="C468" s="19"/>
      <c r="D468" s="19" t="s">
        <v>33</v>
      </c>
      <c r="E468" s="19" t="s">
        <v>34</v>
      </c>
      <c r="F468" s="19" t="s">
        <v>84</v>
      </c>
      <c r="G468" s="20" t="s">
        <v>49</v>
      </c>
      <c r="H468" s="21" t="s">
        <v>53</v>
      </c>
      <c r="I468" s="19" t="s">
        <v>299</v>
      </c>
      <c r="J468" s="19" t="s">
        <v>345</v>
      </c>
      <c r="K468" s="22">
        <v>23</v>
      </c>
      <c r="L468" s="19" t="s">
        <v>46</v>
      </c>
      <c r="M468" s="23" t="s">
        <v>40</v>
      </c>
      <c r="N468" s="21">
        <v>30134014</v>
      </c>
      <c r="O468" s="21" t="s">
        <v>756</v>
      </c>
      <c r="P468" s="21"/>
      <c r="Q468" s="23" t="s">
        <v>346</v>
      </c>
      <c r="R468" s="24"/>
      <c r="S468" s="26">
        <v>466092000</v>
      </c>
      <c r="T468" s="30">
        <v>63846643</v>
      </c>
      <c r="U468" s="30">
        <f>300000000+14860688+6912500</f>
        <v>321773188</v>
      </c>
      <c r="V468" s="285">
        <f t="shared" si="238"/>
        <v>0</v>
      </c>
      <c r="W468" s="29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>
        <v>0</v>
      </c>
      <c r="AI468" s="30">
        <f t="shared" si="239"/>
        <v>321773188</v>
      </c>
      <c r="AJ468" s="30">
        <f>+S468-T468-V468-AI468</f>
        <v>80472169</v>
      </c>
      <c r="AK468" s="796" t="s">
        <v>43</v>
      </c>
      <c r="AL468" s="796" t="s">
        <v>44</v>
      </c>
      <c r="AM468" s="796"/>
      <c r="AN468" s="799"/>
    </row>
    <row r="469" spans="1:42" s="33" customFormat="1" ht="25.5" hidden="1" customHeight="1" outlineLevel="2">
      <c r="A469" s="19"/>
      <c r="B469" s="19">
        <v>31</v>
      </c>
      <c r="C469" s="19"/>
      <c r="D469" s="19" t="s">
        <v>33</v>
      </c>
      <c r="E469" s="19" t="s">
        <v>34</v>
      </c>
      <c r="F469" s="19" t="s">
        <v>84</v>
      </c>
      <c r="G469" s="20" t="s">
        <v>180</v>
      </c>
      <c r="H469" s="21" t="s">
        <v>72</v>
      </c>
      <c r="I469" s="19" t="s">
        <v>299</v>
      </c>
      <c r="J469" s="19" t="s">
        <v>345</v>
      </c>
      <c r="K469" s="22">
        <v>23</v>
      </c>
      <c r="L469" s="19" t="s">
        <v>46</v>
      </c>
      <c r="M469" s="23" t="s">
        <v>40</v>
      </c>
      <c r="N469" s="21">
        <v>30485152</v>
      </c>
      <c r="O469" s="21" t="s">
        <v>756</v>
      </c>
      <c r="P469" s="21"/>
      <c r="Q469" s="23" t="s">
        <v>347</v>
      </c>
      <c r="R469" s="24"/>
      <c r="S469" s="26">
        <v>357488184</v>
      </c>
      <c r="T469" s="30">
        <v>353680553</v>
      </c>
      <c r="U469" s="30">
        <f>18668319-14860688</f>
        <v>3807631</v>
      </c>
      <c r="V469" s="285">
        <f t="shared" si="238"/>
        <v>0</v>
      </c>
      <c r="W469" s="29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>
        <v>0</v>
      </c>
      <c r="AI469" s="30">
        <f t="shared" si="239"/>
        <v>3807631</v>
      </c>
      <c r="AJ469" s="30">
        <f>+S469-T469-V469-AI469</f>
        <v>0</v>
      </c>
      <c r="AK469" s="796" t="s">
        <v>43</v>
      </c>
      <c r="AL469" s="796" t="s">
        <v>44</v>
      </c>
      <c r="AM469" s="796"/>
      <c r="AN469" s="799"/>
    </row>
    <row r="470" spans="1:42" s="38" customFormat="1" ht="25.5" hidden="1" customHeight="1" outlineLevel="1">
      <c r="A470" s="35"/>
      <c r="B470" s="35"/>
      <c r="C470" s="35"/>
      <c r="D470" s="35"/>
      <c r="E470" s="35"/>
      <c r="F470" s="36"/>
      <c r="G470" s="36"/>
      <c r="H470" s="37"/>
      <c r="I470" s="36"/>
      <c r="J470" s="36"/>
      <c r="K470" s="36"/>
      <c r="L470" s="35"/>
      <c r="N470" s="39"/>
      <c r="O470" s="39"/>
      <c r="P470" s="39"/>
      <c r="Q470" s="132" t="s">
        <v>58</v>
      </c>
      <c r="R470" s="41"/>
      <c r="S470" s="133">
        <f t="shared" ref="S470:AJ470" si="248">SUBTOTAL(9,S468:S469)</f>
        <v>0</v>
      </c>
      <c r="T470" s="133">
        <f t="shared" ref="T470" si="249">SUBTOTAL(9,T468:T469)</f>
        <v>0</v>
      </c>
      <c r="U470" s="133">
        <f t="shared" si="248"/>
        <v>0</v>
      </c>
      <c r="V470" s="133">
        <f t="shared" si="248"/>
        <v>0</v>
      </c>
      <c r="W470" s="133">
        <f t="shared" si="248"/>
        <v>0</v>
      </c>
      <c r="X470" s="133">
        <f t="shared" si="248"/>
        <v>0</v>
      </c>
      <c r="Y470" s="133">
        <f t="shared" si="248"/>
        <v>0</v>
      </c>
      <c r="Z470" s="133">
        <f t="shared" si="248"/>
        <v>0</v>
      </c>
      <c r="AA470" s="133">
        <f t="shared" si="248"/>
        <v>0</v>
      </c>
      <c r="AB470" s="133">
        <f t="shared" si="248"/>
        <v>0</v>
      </c>
      <c r="AC470" s="133">
        <f t="shared" si="248"/>
        <v>0</v>
      </c>
      <c r="AD470" s="133">
        <f t="shared" si="248"/>
        <v>0</v>
      </c>
      <c r="AE470" s="133">
        <f t="shared" si="248"/>
        <v>0</v>
      </c>
      <c r="AF470" s="133">
        <f t="shared" si="248"/>
        <v>0</v>
      </c>
      <c r="AG470" s="133">
        <f t="shared" si="248"/>
        <v>0</v>
      </c>
      <c r="AH470" s="133">
        <v>0</v>
      </c>
      <c r="AI470" s="133">
        <f t="shared" si="248"/>
        <v>0</v>
      </c>
      <c r="AJ470" s="133">
        <f t="shared" si="248"/>
        <v>0</v>
      </c>
      <c r="AK470" s="796"/>
      <c r="AL470" s="796" t="s">
        <v>90</v>
      </c>
      <c r="AM470" s="796"/>
      <c r="AN470" s="799"/>
    </row>
    <row r="471" spans="1:42" s="18" customFormat="1" ht="25.5" hidden="1" customHeight="1" outlineLevel="1">
      <c r="A471" s="35"/>
      <c r="B471" s="35"/>
      <c r="C471" s="35"/>
      <c r="D471" s="35"/>
      <c r="E471" s="35"/>
      <c r="F471" s="36"/>
      <c r="G471" s="36"/>
      <c r="H471" s="37"/>
      <c r="I471" s="36"/>
      <c r="J471" s="36"/>
      <c r="K471" s="36"/>
      <c r="L471" s="35"/>
      <c r="M471" s="38"/>
      <c r="N471" s="39"/>
      <c r="O471" s="39"/>
      <c r="P471" s="39"/>
      <c r="Q471" s="46"/>
      <c r="R471" s="42"/>
      <c r="S471" s="47"/>
      <c r="T471" s="47"/>
      <c r="U471" s="47"/>
      <c r="V471" s="47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7"/>
      <c r="AJ471" s="47"/>
      <c r="AK471" s="796"/>
      <c r="AL471" s="796"/>
      <c r="AM471" s="796"/>
      <c r="AN471" s="799"/>
    </row>
    <row r="472" spans="1:42" s="33" customFormat="1" ht="25.5" hidden="1" customHeight="1" outlineLevel="2">
      <c r="A472" s="35"/>
      <c r="B472" s="35"/>
      <c r="C472" s="35"/>
      <c r="D472" s="35"/>
      <c r="E472" s="35"/>
      <c r="F472" s="36"/>
      <c r="G472" s="36"/>
      <c r="H472" s="37"/>
      <c r="I472" s="36"/>
      <c r="J472" s="36"/>
      <c r="K472" s="36"/>
      <c r="L472" s="35"/>
      <c r="M472" s="38"/>
      <c r="N472" s="39"/>
      <c r="O472" s="39"/>
      <c r="P472" s="39"/>
      <c r="Q472" s="17" t="s">
        <v>59</v>
      </c>
      <c r="R472" s="50"/>
      <c r="S472" s="51"/>
      <c r="T472" s="51"/>
      <c r="U472" s="52"/>
      <c r="V472" s="52"/>
      <c r="W472" s="52"/>
      <c r="X472" s="52"/>
      <c r="Y472" s="52"/>
      <c r="Z472" s="53"/>
      <c r="AA472" s="53"/>
      <c r="AB472" s="53"/>
      <c r="AC472" s="53"/>
      <c r="AD472" s="53"/>
      <c r="AE472" s="53"/>
      <c r="AF472" s="53"/>
      <c r="AG472" s="53"/>
      <c r="AH472" s="53"/>
      <c r="AI472" s="52"/>
      <c r="AJ472" s="52"/>
      <c r="AK472" s="796"/>
      <c r="AL472" s="796"/>
      <c r="AM472" s="796"/>
      <c r="AN472" s="799"/>
    </row>
    <row r="473" spans="1:42" s="18" customFormat="1" ht="25.5" hidden="1" customHeight="1" outlineLevel="1">
      <c r="A473" s="54"/>
      <c r="B473" s="54">
        <v>31</v>
      </c>
      <c r="C473" s="54"/>
      <c r="D473" s="54" t="s">
        <v>33</v>
      </c>
      <c r="E473" s="54" t="s">
        <v>60</v>
      </c>
      <c r="F473" s="54" t="s">
        <v>84</v>
      </c>
      <c r="G473" s="55" t="s">
        <v>158</v>
      </c>
      <c r="H473" s="56" t="s">
        <v>72</v>
      </c>
      <c r="I473" s="54" t="s">
        <v>299</v>
      </c>
      <c r="J473" s="54" t="s">
        <v>345</v>
      </c>
      <c r="K473" s="57">
        <v>23</v>
      </c>
      <c r="L473" s="54" t="s">
        <v>348</v>
      </c>
      <c r="M473" s="58" t="s">
        <v>40</v>
      </c>
      <c r="N473" s="196">
        <v>40004659</v>
      </c>
      <c r="O473" s="196" t="s">
        <v>757</v>
      </c>
      <c r="P473" s="196"/>
      <c r="Q473" s="58" t="s">
        <v>349</v>
      </c>
      <c r="R473" s="24"/>
      <c r="S473" s="59">
        <v>320000000</v>
      </c>
      <c r="T473" s="60">
        <v>110000000</v>
      </c>
      <c r="U473" s="60">
        <v>100000000</v>
      </c>
      <c r="V473" s="292">
        <f t="shared" si="238"/>
        <v>0</v>
      </c>
      <c r="W473" s="29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>
        <v>0</v>
      </c>
      <c r="AI473" s="60">
        <f t="shared" si="239"/>
        <v>100000000</v>
      </c>
      <c r="AJ473" s="60">
        <f>+S473-T473-V473-AI473</f>
        <v>110000000</v>
      </c>
      <c r="AK473" s="796" t="s">
        <v>43</v>
      </c>
      <c r="AL473" s="796" t="s">
        <v>162</v>
      </c>
      <c r="AM473" s="796"/>
      <c r="AN473" s="799"/>
    </row>
    <row r="474" spans="1:42" s="18" customFormat="1" ht="25.5" hidden="1" customHeight="1" outlineLevel="1">
      <c r="A474" s="54"/>
      <c r="B474" s="54">
        <v>31</v>
      </c>
      <c r="C474" s="54"/>
      <c r="D474" s="54" t="s">
        <v>33</v>
      </c>
      <c r="E474" s="54" t="s">
        <v>60</v>
      </c>
      <c r="F474" s="54" t="s">
        <v>84</v>
      </c>
      <c r="G474" s="55" t="s">
        <v>49</v>
      </c>
      <c r="H474" s="56" t="s">
        <v>53</v>
      </c>
      <c r="I474" s="54" t="s">
        <v>299</v>
      </c>
      <c r="J474" s="54" t="s">
        <v>345</v>
      </c>
      <c r="K474" s="57">
        <v>23</v>
      </c>
      <c r="L474" s="54" t="s">
        <v>46</v>
      </c>
      <c r="M474" s="58" t="s">
        <v>56</v>
      </c>
      <c r="N474" s="196">
        <v>40001662</v>
      </c>
      <c r="O474" s="196" t="s">
        <v>757</v>
      </c>
      <c r="P474" s="196"/>
      <c r="Q474" s="58" t="s">
        <v>350</v>
      </c>
      <c r="R474" s="24"/>
      <c r="S474" s="59">
        <v>20999000</v>
      </c>
      <c r="T474" s="60">
        <v>6912500</v>
      </c>
      <c r="U474" s="60">
        <f>20999000-6912500</f>
        <v>14086500</v>
      </c>
      <c r="V474" s="292">
        <f t="shared" si="238"/>
        <v>0</v>
      </c>
      <c r="W474" s="29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>
        <v>0</v>
      </c>
      <c r="AI474" s="60">
        <f t="shared" si="239"/>
        <v>14086500</v>
      </c>
      <c r="AJ474" s="60">
        <f>+S474-T474-V474-AI474</f>
        <v>0</v>
      </c>
      <c r="AK474" s="796" t="s">
        <v>43</v>
      </c>
      <c r="AL474" s="796" t="s">
        <v>162</v>
      </c>
      <c r="AM474" s="796"/>
      <c r="AN474" s="799"/>
    </row>
    <row r="475" spans="1:42" s="18" customFormat="1" ht="25.5" hidden="1" customHeight="1" outlineLevel="1">
      <c r="A475" s="54"/>
      <c r="B475" s="54">
        <v>31</v>
      </c>
      <c r="C475" s="54"/>
      <c r="D475" s="54" t="s">
        <v>33</v>
      </c>
      <c r="E475" s="54" t="s">
        <v>60</v>
      </c>
      <c r="F475" s="54" t="s">
        <v>84</v>
      </c>
      <c r="G475" s="55" t="s">
        <v>49</v>
      </c>
      <c r="H475" s="56" t="s">
        <v>50</v>
      </c>
      <c r="I475" s="54" t="s">
        <v>299</v>
      </c>
      <c r="J475" s="54" t="s">
        <v>345</v>
      </c>
      <c r="K475" s="57">
        <v>23</v>
      </c>
      <c r="L475" s="54" t="s">
        <v>88</v>
      </c>
      <c r="M475" s="58" t="s">
        <v>40</v>
      </c>
      <c r="N475" s="196">
        <v>30134013</v>
      </c>
      <c r="O475" s="196" t="s">
        <v>756</v>
      </c>
      <c r="P475" s="196"/>
      <c r="Q475" s="58" t="s">
        <v>352</v>
      </c>
      <c r="R475" s="24"/>
      <c r="S475" s="59">
        <v>758577000</v>
      </c>
      <c r="T475" s="60">
        <v>18541310</v>
      </c>
      <c r="U475" s="60">
        <f>200000000+317807328</f>
        <v>517807328</v>
      </c>
      <c r="V475" s="292">
        <f t="shared" si="238"/>
        <v>37000000</v>
      </c>
      <c r="W475" s="29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>
        <v>37000000</v>
      </c>
      <c r="AI475" s="60">
        <f t="shared" si="239"/>
        <v>480807328</v>
      </c>
      <c r="AJ475" s="60">
        <f>+S475-T475-V475-AI475</f>
        <v>222228362</v>
      </c>
      <c r="AK475" s="796" t="s">
        <v>43</v>
      </c>
      <c r="AL475" s="796" t="s">
        <v>351</v>
      </c>
      <c r="AM475" s="796"/>
      <c r="AN475" s="799"/>
    </row>
    <row r="476" spans="1:42" s="18" customFormat="1" ht="25.5" hidden="1" customHeight="1" outlineLevel="1">
      <c r="A476" s="54"/>
      <c r="B476" s="54">
        <v>31</v>
      </c>
      <c r="C476" s="729"/>
      <c r="D476" s="54" t="s">
        <v>33</v>
      </c>
      <c r="E476" s="54" t="s">
        <v>60</v>
      </c>
      <c r="F476" s="729" t="s">
        <v>35</v>
      </c>
      <c r="G476" s="55" t="s">
        <v>49</v>
      </c>
      <c r="H476" s="56" t="s">
        <v>50</v>
      </c>
      <c r="I476" s="54" t="s">
        <v>299</v>
      </c>
      <c r="J476" s="54" t="s">
        <v>345</v>
      </c>
      <c r="K476" s="57">
        <v>23</v>
      </c>
      <c r="L476" s="54" t="s">
        <v>88</v>
      </c>
      <c r="M476" s="58" t="s">
        <v>40</v>
      </c>
      <c r="N476" s="196">
        <v>30419547</v>
      </c>
      <c r="O476" s="196" t="s">
        <v>757</v>
      </c>
      <c r="P476" s="196"/>
      <c r="Q476" s="742" t="s">
        <v>353</v>
      </c>
      <c r="R476" s="24"/>
      <c r="S476" s="59">
        <v>395089000</v>
      </c>
      <c r="T476" s="60">
        <v>0</v>
      </c>
      <c r="U476" s="60">
        <f>100000000+289963141</f>
        <v>389963141</v>
      </c>
      <c r="V476" s="293">
        <f t="shared" si="238"/>
        <v>0</v>
      </c>
      <c r="W476" s="29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>
        <v>0</v>
      </c>
      <c r="AI476" s="60">
        <f t="shared" si="239"/>
        <v>389963141</v>
      </c>
      <c r="AJ476" s="60">
        <f>+S476-T476-V476-AI476</f>
        <v>5125859</v>
      </c>
      <c r="AK476" s="796" t="s">
        <v>43</v>
      </c>
      <c r="AL476" s="796" t="s">
        <v>66</v>
      </c>
      <c r="AM476" s="796"/>
      <c r="AN476" s="799"/>
      <c r="AO476" s="33">
        <f>VLOOKUP(N476,'CONVENIOS 2021'!A$1:A$53,1,FALSE)</f>
        <v>30419547</v>
      </c>
    </row>
    <row r="477" spans="1:42" s="38" customFormat="1" ht="25.5" hidden="1" customHeight="1" outlineLevel="1">
      <c r="A477" s="35"/>
      <c r="B477" s="35"/>
      <c r="C477" s="35"/>
      <c r="D477" s="35"/>
      <c r="E477" s="35"/>
      <c r="F477" s="36"/>
      <c r="G477" s="36"/>
      <c r="H477" s="37"/>
      <c r="I477" s="36"/>
      <c r="J477" s="36"/>
      <c r="K477" s="36"/>
      <c r="L477" s="35"/>
      <c r="N477" s="39"/>
      <c r="O477" s="39"/>
      <c r="P477" s="39"/>
      <c r="Q477" s="139" t="s">
        <v>67</v>
      </c>
      <c r="R477" s="41"/>
      <c r="S477" s="140">
        <f>SUBTOTAL(9,S473:S476)</f>
        <v>0</v>
      </c>
      <c r="T477" s="140">
        <f>SUBTOTAL(9,T473:T476)</f>
        <v>0</v>
      </c>
      <c r="U477" s="140">
        <f t="shared" ref="U477:AJ477" si="250">SUBTOTAL(9,U473:U476)</f>
        <v>0</v>
      </c>
      <c r="V477" s="140">
        <f t="shared" si="250"/>
        <v>0</v>
      </c>
      <c r="W477" s="140">
        <f t="shared" si="250"/>
        <v>0</v>
      </c>
      <c r="X477" s="140">
        <f t="shared" si="250"/>
        <v>0</v>
      </c>
      <c r="Y477" s="140">
        <f t="shared" si="250"/>
        <v>0</v>
      </c>
      <c r="Z477" s="140">
        <f t="shared" si="250"/>
        <v>0</v>
      </c>
      <c r="AA477" s="140">
        <f t="shared" si="250"/>
        <v>0</v>
      </c>
      <c r="AB477" s="140">
        <f t="shared" si="250"/>
        <v>0</v>
      </c>
      <c r="AC477" s="140">
        <f t="shared" si="250"/>
        <v>0</v>
      </c>
      <c r="AD477" s="140">
        <f t="shared" si="250"/>
        <v>0</v>
      </c>
      <c r="AE477" s="140">
        <f t="shared" si="250"/>
        <v>0</v>
      </c>
      <c r="AF477" s="140">
        <f t="shared" si="250"/>
        <v>0</v>
      </c>
      <c r="AG477" s="140">
        <f t="shared" si="250"/>
        <v>0</v>
      </c>
      <c r="AH477" s="140">
        <v>37000000</v>
      </c>
      <c r="AI477" s="140">
        <f t="shared" si="250"/>
        <v>0</v>
      </c>
      <c r="AJ477" s="140">
        <f t="shared" si="250"/>
        <v>0</v>
      </c>
      <c r="AK477" s="796"/>
      <c r="AL477" s="796"/>
      <c r="AM477" s="796"/>
      <c r="AN477" s="799"/>
    </row>
    <row r="478" spans="1:42" s="38" customFormat="1" ht="25.5" hidden="1" customHeight="1" outlineLevel="1">
      <c r="A478" s="35"/>
      <c r="B478" s="35"/>
      <c r="C478" s="35"/>
      <c r="D478" s="35"/>
      <c r="E478" s="35"/>
      <c r="F478" s="36"/>
      <c r="G478" s="36"/>
      <c r="H478" s="37"/>
      <c r="I478" s="36"/>
      <c r="J478" s="36"/>
      <c r="K478" s="36"/>
      <c r="L478" s="35"/>
      <c r="N478" s="39"/>
      <c r="O478" s="39"/>
      <c r="P478" s="39"/>
      <c r="Q478" s="46"/>
      <c r="R478" s="116"/>
      <c r="S478" s="47"/>
      <c r="T478" s="47"/>
      <c r="U478" s="47"/>
      <c r="V478" s="47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47"/>
      <c r="AJ478" s="47"/>
      <c r="AK478" s="796"/>
      <c r="AL478" s="796"/>
      <c r="AM478" s="796"/>
      <c r="AN478" s="799"/>
    </row>
    <row r="479" spans="1:42" s="18" customFormat="1" ht="25.5" hidden="1" customHeight="1" outlineLevel="1">
      <c r="A479" s="35"/>
      <c r="B479" s="35"/>
      <c r="C479" s="35"/>
      <c r="D479" s="35"/>
      <c r="E479" s="35"/>
      <c r="F479" s="36"/>
      <c r="G479" s="36"/>
      <c r="H479" s="37"/>
      <c r="I479" s="36"/>
      <c r="J479" s="36"/>
      <c r="K479" s="36"/>
      <c r="L479" s="35"/>
      <c r="M479" s="38"/>
      <c r="N479" s="39"/>
      <c r="O479" s="39"/>
      <c r="P479" s="39"/>
      <c r="Q479" s="17" t="s">
        <v>68</v>
      </c>
      <c r="R479" s="116"/>
      <c r="S479" s="47"/>
      <c r="T479" s="47"/>
      <c r="U479" s="47"/>
      <c r="V479" s="47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47"/>
      <c r="AJ479" s="47"/>
      <c r="AK479" s="796"/>
      <c r="AL479" s="796"/>
      <c r="AM479" s="796"/>
      <c r="AN479" s="799"/>
    </row>
    <row r="480" spans="1:42" s="38" customFormat="1" ht="25.5" customHeight="1" outlineLevel="1">
      <c r="A480" s="166"/>
      <c r="B480" s="801">
        <v>31</v>
      </c>
      <c r="C480" s="735"/>
      <c r="D480" s="166" t="s">
        <v>33</v>
      </c>
      <c r="E480" s="801" t="s">
        <v>69</v>
      </c>
      <c r="F480" s="735" t="s">
        <v>35</v>
      </c>
      <c r="G480" s="167" t="s">
        <v>36</v>
      </c>
      <c r="H480" s="177" t="s">
        <v>37</v>
      </c>
      <c r="I480" s="801" t="s">
        <v>299</v>
      </c>
      <c r="J480" s="801" t="s">
        <v>345</v>
      </c>
      <c r="K480" s="168">
        <v>23</v>
      </c>
      <c r="L480" s="66" t="s">
        <v>46</v>
      </c>
      <c r="M480" s="802" t="s">
        <v>40</v>
      </c>
      <c r="N480" s="812">
        <v>40013905</v>
      </c>
      <c r="O480" s="771"/>
      <c r="P480" s="68"/>
      <c r="Q480" s="802" t="s">
        <v>354</v>
      </c>
      <c r="R480" s="118"/>
      <c r="S480" s="804">
        <v>361068000</v>
      </c>
      <c r="T480" s="805">
        <v>0</v>
      </c>
      <c r="U480" s="805">
        <v>250000000</v>
      </c>
      <c r="V480" s="805">
        <f t="shared" si="238"/>
        <v>0</v>
      </c>
      <c r="W480" s="119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28">
        <v>0</v>
      </c>
      <c r="AI480" s="805">
        <f t="shared" si="239"/>
        <v>250000000</v>
      </c>
      <c r="AJ480" s="805">
        <f>+S480-T480-V480-AI480</f>
        <v>111068000</v>
      </c>
      <c r="AK480" s="806" t="s">
        <v>43</v>
      </c>
      <c r="AL480" s="806" t="s">
        <v>759</v>
      </c>
      <c r="AM480" s="806" t="str">
        <f t="shared" ref="AM480:AM481" si="251">HYPERLINK(CONCATENATE("DOCUMENTOS\ACTA-",N480,".PDF"))</f>
        <v>DOCUMENTOS\ACTA-40013905.PDF</v>
      </c>
      <c r="AN480" s="807"/>
      <c r="AO480" s="33" t="e">
        <f>VLOOKUP(N480,'CONVENIOS 2021'!A$1:A$53,1,FALSE)</f>
        <v>#N/A</v>
      </c>
      <c r="AP480" s="33" t="e">
        <f>VLOOKUP(N480,'CONVENIOS 2020'!A$2:A$72,1,FALSE)</f>
        <v>#N/A</v>
      </c>
    </row>
    <row r="481" spans="1:42" s="38" customFormat="1" ht="25.5" customHeight="1" outlineLevel="1">
      <c r="A481" s="66" t="s">
        <v>133</v>
      </c>
      <c r="B481" s="801">
        <v>31</v>
      </c>
      <c r="C481" s="730"/>
      <c r="D481" s="66" t="s">
        <v>33</v>
      </c>
      <c r="E481" s="801" t="s">
        <v>69</v>
      </c>
      <c r="F481" s="730"/>
      <c r="G481" s="66"/>
      <c r="H481" s="68" t="s">
        <v>85</v>
      </c>
      <c r="I481" s="801" t="s">
        <v>299</v>
      </c>
      <c r="J481" s="801" t="s">
        <v>345</v>
      </c>
      <c r="K481" s="168">
        <v>23</v>
      </c>
      <c r="L481" s="66" t="s">
        <v>46</v>
      </c>
      <c r="M481" s="802" t="s">
        <v>40</v>
      </c>
      <c r="N481" s="812">
        <v>40005352</v>
      </c>
      <c r="O481" s="771"/>
      <c r="P481" s="68"/>
      <c r="Q481" s="802" t="s">
        <v>355</v>
      </c>
      <c r="R481" s="24"/>
      <c r="S481" s="804">
        <v>641897000</v>
      </c>
      <c r="T481" s="805">
        <v>0</v>
      </c>
      <c r="U481" s="805">
        <v>100000000</v>
      </c>
      <c r="V481" s="805">
        <f t="shared" si="238"/>
        <v>0</v>
      </c>
      <c r="W481" s="29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>
        <v>0</v>
      </c>
      <c r="AI481" s="805">
        <f t="shared" si="239"/>
        <v>100000000</v>
      </c>
      <c r="AJ481" s="805">
        <f>+S481-T481-V481-AI481</f>
        <v>541897000</v>
      </c>
      <c r="AK481" s="806" t="s">
        <v>43</v>
      </c>
      <c r="AL481" s="806" t="s">
        <v>771</v>
      </c>
      <c r="AM481" s="806"/>
      <c r="AN481" s="807"/>
      <c r="AO481" s="33" t="e">
        <f>VLOOKUP(N481,'CONVENIOS 2021'!A$1:A$53,1,FALSE)</f>
        <v>#N/A</v>
      </c>
      <c r="AP481" s="33" t="e">
        <f>VLOOKUP(N481,'CONVENIOS 2020'!A$2:A$72,1,FALSE)</f>
        <v>#N/A</v>
      </c>
    </row>
    <row r="482" spans="1:42" s="18" customFormat="1" ht="25.5" hidden="1" customHeight="1" outlineLevel="1">
      <c r="A482" s="66"/>
      <c r="B482" s="180">
        <v>33</v>
      </c>
      <c r="C482" s="66"/>
      <c r="D482" s="66" t="s">
        <v>76</v>
      </c>
      <c r="E482" s="180" t="s">
        <v>69</v>
      </c>
      <c r="F482" s="66" t="s">
        <v>35</v>
      </c>
      <c r="G482" s="67" t="s">
        <v>49</v>
      </c>
      <c r="H482" s="68" t="s">
        <v>61</v>
      </c>
      <c r="I482" s="180" t="s">
        <v>299</v>
      </c>
      <c r="J482" s="180" t="s">
        <v>345</v>
      </c>
      <c r="K482" s="168">
        <v>23</v>
      </c>
      <c r="L482" s="66" t="s">
        <v>76</v>
      </c>
      <c r="M482" s="184" t="s">
        <v>40</v>
      </c>
      <c r="N482" s="182" t="s">
        <v>76</v>
      </c>
      <c r="O482" s="68"/>
      <c r="P482" s="68"/>
      <c r="Q482" s="184" t="s">
        <v>77</v>
      </c>
      <c r="R482" s="141"/>
      <c r="S482" s="188">
        <v>200000000</v>
      </c>
      <c r="T482" s="189">
        <v>0</v>
      </c>
      <c r="U482" s="189">
        <v>200000000</v>
      </c>
      <c r="V482" s="776">
        <f t="shared" si="238"/>
        <v>3429878</v>
      </c>
      <c r="W482" s="144"/>
      <c r="X482" s="143"/>
      <c r="Y482" s="143"/>
      <c r="Z482" s="143"/>
      <c r="AA482" s="143"/>
      <c r="AB482" s="28"/>
      <c r="AC482" s="143"/>
      <c r="AD482" s="143"/>
      <c r="AE482" s="143"/>
      <c r="AF482" s="143"/>
      <c r="AG482" s="28"/>
      <c r="AH482" s="72">
        <v>3429878</v>
      </c>
      <c r="AI482" s="189">
        <f t="shared" si="239"/>
        <v>196570122</v>
      </c>
      <c r="AJ482" s="189">
        <f>+S482-T482-V482-AI482</f>
        <v>0</v>
      </c>
      <c r="AK482" s="796" t="s">
        <v>78</v>
      </c>
      <c r="AL482" s="796"/>
      <c r="AM482" s="796"/>
      <c r="AN482" s="799"/>
    </row>
    <row r="483" spans="1:42" s="38" customFormat="1" ht="25.5" hidden="1" customHeight="1" outlineLevel="1">
      <c r="A483" s="35"/>
      <c r="B483" s="35"/>
      <c r="C483" s="35"/>
      <c r="D483" s="35"/>
      <c r="E483" s="35"/>
      <c r="F483" s="36"/>
      <c r="G483" s="36"/>
      <c r="H483" s="37"/>
      <c r="I483" s="36"/>
      <c r="J483" s="36"/>
      <c r="K483" s="36"/>
      <c r="L483" s="35"/>
      <c r="N483" s="39"/>
      <c r="O483" s="39"/>
      <c r="P483" s="39"/>
      <c r="Q483" s="134" t="s">
        <v>80</v>
      </c>
      <c r="R483" s="116"/>
      <c r="S483" s="110">
        <f t="shared" ref="S483:U483" si="252">SUBTOTAL(9,S480:S482)</f>
        <v>1002965000</v>
      </c>
      <c r="T483" s="110">
        <f t="shared" ref="T483" si="253">SUBTOTAL(9,T480:T482)</f>
        <v>0</v>
      </c>
      <c r="U483" s="110">
        <f t="shared" si="252"/>
        <v>350000000</v>
      </c>
      <c r="V483" s="110">
        <f t="shared" ref="V483:AJ483" si="254">SUBTOTAL(9,V480:V482)</f>
        <v>0</v>
      </c>
      <c r="W483" s="110">
        <f t="shared" si="254"/>
        <v>0</v>
      </c>
      <c r="X483" s="110">
        <f t="shared" si="254"/>
        <v>0</v>
      </c>
      <c r="Y483" s="110">
        <f t="shared" si="254"/>
        <v>0</v>
      </c>
      <c r="Z483" s="110">
        <f t="shared" si="254"/>
        <v>0</v>
      </c>
      <c r="AA483" s="110">
        <f t="shared" si="254"/>
        <v>0</v>
      </c>
      <c r="AB483" s="110">
        <f t="shared" si="254"/>
        <v>0</v>
      </c>
      <c r="AC483" s="110">
        <f t="shared" si="254"/>
        <v>0</v>
      </c>
      <c r="AD483" s="110">
        <f t="shared" si="254"/>
        <v>0</v>
      </c>
      <c r="AE483" s="110">
        <f t="shared" si="254"/>
        <v>0</v>
      </c>
      <c r="AF483" s="110">
        <f t="shared" si="254"/>
        <v>0</v>
      </c>
      <c r="AG483" s="110">
        <f t="shared" si="254"/>
        <v>0</v>
      </c>
      <c r="AH483" s="110">
        <v>3429878</v>
      </c>
      <c r="AI483" s="110">
        <f t="shared" si="254"/>
        <v>350000000</v>
      </c>
      <c r="AJ483" s="110">
        <f t="shared" si="254"/>
        <v>652965000</v>
      </c>
      <c r="AK483" s="796"/>
      <c r="AL483" s="796"/>
      <c r="AM483" s="796"/>
      <c r="AN483" s="799"/>
    </row>
    <row r="484" spans="1:42" s="90" customFormat="1" ht="24.75" hidden="1" customHeight="1" outlineLevel="1">
      <c r="A484" s="35"/>
      <c r="B484" s="35"/>
      <c r="C484" s="35"/>
      <c r="D484" s="35"/>
      <c r="E484" s="35"/>
      <c r="F484" s="36"/>
      <c r="G484" s="36"/>
      <c r="H484" s="37"/>
      <c r="I484" s="36"/>
      <c r="J484" s="36"/>
      <c r="K484" s="36"/>
      <c r="L484" s="35"/>
      <c r="M484" s="38"/>
      <c r="N484" s="39"/>
      <c r="O484" s="39"/>
      <c r="P484" s="39"/>
      <c r="Q484" s="46"/>
      <c r="R484" s="116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796"/>
      <c r="AL484" s="796"/>
      <c r="AM484" s="796"/>
      <c r="AN484" s="799"/>
    </row>
    <row r="485" spans="1:42" s="84" customFormat="1" ht="24.75" hidden="1" customHeight="1" outlineLevel="1">
      <c r="A485" s="36"/>
      <c r="B485" s="82"/>
      <c r="C485" s="82"/>
      <c r="D485" s="36"/>
      <c r="E485" s="36"/>
      <c r="F485" s="36"/>
      <c r="G485" s="36"/>
      <c r="H485" s="37"/>
      <c r="I485" s="36"/>
      <c r="J485" s="36"/>
      <c r="K485" s="36"/>
      <c r="L485" s="82"/>
      <c r="N485" s="83"/>
      <c r="O485" s="39"/>
      <c r="P485" s="39"/>
      <c r="Q485" s="85" t="s">
        <v>356</v>
      </c>
      <c r="R485" s="111"/>
      <c r="S485" s="88">
        <f>S470+S477+S483</f>
        <v>1002965000</v>
      </c>
      <c r="T485" s="88">
        <f>T470+T477+T483</f>
        <v>0</v>
      </c>
      <c r="U485" s="88">
        <f t="shared" ref="U485" si="255">U470+U477+U483</f>
        <v>350000000</v>
      </c>
      <c r="V485" s="88">
        <f t="shared" ref="V485:AJ485" si="256">V470+V477+V483</f>
        <v>0</v>
      </c>
      <c r="W485" s="88">
        <f t="shared" si="256"/>
        <v>0</v>
      </c>
      <c r="X485" s="88">
        <f t="shared" si="256"/>
        <v>0</v>
      </c>
      <c r="Y485" s="88">
        <f t="shared" si="256"/>
        <v>0</v>
      </c>
      <c r="Z485" s="88">
        <f t="shared" si="256"/>
        <v>0</v>
      </c>
      <c r="AA485" s="88">
        <f t="shared" si="256"/>
        <v>0</v>
      </c>
      <c r="AB485" s="88">
        <f t="shared" si="256"/>
        <v>0</v>
      </c>
      <c r="AC485" s="88">
        <f t="shared" si="256"/>
        <v>0</v>
      </c>
      <c r="AD485" s="88">
        <f t="shared" si="256"/>
        <v>0</v>
      </c>
      <c r="AE485" s="88">
        <f t="shared" si="256"/>
        <v>0</v>
      </c>
      <c r="AF485" s="88">
        <f t="shared" si="256"/>
        <v>0</v>
      </c>
      <c r="AG485" s="88">
        <f t="shared" si="256"/>
        <v>0</v>
      </c>
      <c r="AH485" s="88">
        <v>40429878</v>
      </c>
      <c r="AI485" s="88">
        <f t="shared" si="256"/>
        <v>350000000</v>
      </c>
      <c r="AJ485" s="88">
        <f t="shared" si="256"/>
        <v>652965000</v>
      </c>
      <c r="AK485" s="796"/>
      <c r="AL485" s="796"/>
      <c r="AM485" s="796"/>
      <c r="AN485" s="799"/>
    </row>
    <row r="486" spans="1:42" s="84" customFormat="1" ht="26.25" hidden="1" customHeight="1" outlineLevel="1">
      <c r="A486" s="36"/>
      <c r="B486" s="82"/>
      <c r="C486" s="82"/>
      <c r="D486" s="36"/>
      <c r="E486" s="36"/>
      <c r="F486" s="36"/>
      <c r="G486" s="36"/>
      <c r="H486" s="37"/>
      <c r="I486" s="36"/>
      <c r="J486" s="36"/>
      <c r="K486" s="36"/>
      <c r="L486" s="82"/>
      <c r="N486" s="83"/>
      <c r="O486" s="39"/>
      <c r="P486" s="39"/>
      <c r="Q486" s="91"/>
      <c r="R486" s="87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796"/>
      <c r="AL486" s="796"/>
      <c r="AM486" s="796"/>
      <c r="AN486" s="799"/>
    </row>
    <row r="487" spans="1:42" s="84" customFormat="1" ht="24.75" hidden="1" customHeight="1" outlineLevel="1">
      <c r="A487" s="36"/>
      <c r="B487" s="82"/>
      <c r="C487" s="82"/>
      <c r="D487" s="36"/>
      <c r="E487" s="36"/>
      <c r="F487" s="36"/>
      <c r="G487" s="36"/>
      <c r="H487" s="37"/>
      <c r="I487" s="36"/>
      <c r="J487" s="36"/>
      <c r="K487" s="36"/>
      <c r="L487" s="82"/>
      <c r="N487" s="83"/>
      <c r="O487" s="39"/>
      <c r="P487" s="39"/>
      <c r="Q487" s="596"/>
      <c r="R487" s="87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796"/>
      <c r="AL487" s="796"/>
      <c r="AM487" s="796"/>
      <c r="AN487" s="799"/>
    </row>
    <row r="488" spans="1:42" s="18" customFormat="1" ht="25.5" hidden="1" customHeight="1" outlineLevel="1">
      <c r="A488" s="36"/>
      <c r="B488" s="36"/>
      <c r="C488" s="36"/>
      <c r="D488" s="36"/>
      <c r="E488" s="36"/>
      <c r="F488" s="36"/>
      <c r="G488" s="36"/>
      <c r="H488" s="37"/>
      <c r="I488" s="36"/>
      <c r="J488" s="36"/>
      <c r="K488" s="36"/>
      <c r="L488" s="36"/>
      <c r="M488" s="95"/>
      <c r="N488" s="37"/>
      <c r="O488" s="39"/>
      <c r="P488" s="39"/>
      <c r="Q488" s="96" t="s">
        <v>357</v>
      </c>
      <c r="R488" s="50"/>
      <c r="S488" s="97"/>
      <c r="T488" s="97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796"/>
      <c r="AL488" s="796"/>
      <c r="AM488" s="796"/>
      <c r="AN488" s="799"/>
    </row>
    <row r="489" spans="1:42" s="33" customFormat="1" ht="25.5" hidden="1" customHeight="1" outlineLevel="2">
      <c r="A489" s="35"/>
      <c r="B489" s="35"/>
      <c r="C489" s="35"/>
      <c r="D489" s="35"/>
      <c r="E489" s="35"/>
      <c r="F489" s="36"/>
      <c r="G489" s="36"/>
      <c r="H489" s="37"/>
      <c r="I489" s="36"/>
      <c r="J489" s="36"/>
      <c r="K489" s="36"/>
      <c r="L489" s="35"/>
      <c r="M489" s="38"/>
      <c r="N489" s="39"/>
      <c r="O489" s="39"/>
      <c r="P489" s="39"/>
      <c r="Q489" s="17" t="s">
        <v>32</v>
      </c>
      <c r="R489" s="50"/>
      <c r="S489" s="51"/>
      <c r="T489" s="51"/>
      <c r="U489" s="52"/>
      <c r="V489" s="52"/>
      <c r="W489" s="52"/>
      <c r="X489" s="52"/>
      <c r="Y489" s="52"/>
      <c r="Z489" s="53"/>
      <c r="AA489" s="53"/>
      <c r="AB489" s="53"/>
      <c r="AC489" s="53"/>
      <c r="AD489" s="53"/>
      <c r="AE489" s="53"/>
      <c r="AF489" s="53"/>
      <c r="AG489" s="53"/>
      <c r="AH489" s="53"/>
      <c r="AI489" s="52"/>
      <c r="AJ489" s="52"/>
      <c r="AK489" s="796"/>
      <c r="AL489" s="796"/>
      <c r="AM489" s="796"/>
      <c r="AN489" s="799"/>
    </row>
    <row r="490" spans="1:42" s="33" customFormat="1" ht="25.5" hidden="1" customHeight="1" outlineLevel="1">
      <c r="A490" s="19" t="s">
        <v>133</v>
      </c>
      <c r="B490" s="19">
        <v>31</v>
      </c>
      <c r="C490" s="19"/>
      <c r="D490" s="19" t="s">
        <v>33</v>
      </c>
      <c r="E490" s="19" t="s">
        <v>34</v>
      </c>
      <c r="F490" s="19" t="s">
        <v>84</v>
      </c>
      <c r="G490" s="20" t="s">
        <v>49</v>
      </c>
      <c r="H490" s="21" t="s">
        <v>85</v>
      </c>
      <c r="I490" s="19" t="s">
        <v>299</v>
      </c>
      <c r="J490" s="19" t="s">
        <v>358</v>
      </c>
      <c r="K490" s="22">
        <v>24</v>
      </c>
      <c r="L490" s="19" t="s">
        <v>46</v>
      </c>
      <c r="M490" s="23" t="s">
        <v>40</v>
      </c>
      <c r="N490" s="21">
        <v>30042613</v>
      </c>
      <c r="O490" s="21"/>
      <c r="P490" s="21"/>
      <c r="Q490" s="23" t="s">
        <v>359</v>
      </c>
      <c r="R490" s="24"/>
      <c r="S490" s="26">
        <v>3472101337</v>
      </c>
      <c r="T490" s="30">
        <v>2618173447</v>
      </c>
      <c r="U490" s="30">
        <v>50000000</v>
      </c>
      <c r="V490" s="285">
        <f t="shared" si="238"/>
        <v>0</v>
      </c>
      <c r="W490" s="29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>
        <v>0</v>
      </c>
      <c r="AI490" s="30">
        <f t="shared" si="239"/>
        <v>50000000</v>
      </c>
      <c r="AJ490" s="30">
        <f>+S490-T490-V490-AI490</f>
        <v>803927890</v>
      </c>
      <c r="AK490" s="796" t="s">
        <v>43</v>
      </c>
      <c r="AL490" s="796" t="s">
        <v>44</v>
      </c>
      <c r="AM490" s="796"/>
      <c r="AN490" s="799"/>
    </row>
    <row r="491" spans="1:42" s="33" customFormat="1" ht="25.5" hidden="1" customHeight="1" outlineLevel="2">
      <c r="A491" s="19"/>
      <c r="B491" s="19">
        <v>31</v>
      </c>
      <c r="C491" s="19"/>
      <c r="D491" s="19" t="s">
        <v>33</v>
      </c>
      <c r="E491" s="19" t="s">
        <v>34</v>
      </c>
      <c r="F491" s="19" t="s">
        <v>84</v>
      </c>
      <c r="G491" s="20" t="s">
        <v>36</v>
      </c>
      <c r="H491" s="21" t="s">
        <v>37</v>
      </c>
      <c r="I491" s="19" t="s">
        <v>299</v>
      </c>
      <c r="J491" s="19" t="s">
        <v>358</v>
      </c>
      <c r="K491" s="22">
        <v>24</v>
      </c>
      <c r="L491" s="19" t="s">
        <v>46</v>
      </c>
      <c r="M491" s="23" t="s">
        <v>40</v>
      </c>
      <c r="N491" s="21">
        <v>40006078</v>
      </c>
      <c r="O491" s="21" t="s">
        <v>757</v>
      </c>
      <c r="P491" s="21"/>
      <c r="Q491" s="23" t="s">
        <v>360</v>
      </c>
      <c r="R491" s="24"/>
      <c r="S491" s="26">
        <v>666831000</v>
      </c>
      <c r="T491" s="30">
        <v>664441452</v>
      </c>
      <c r="U491" s="30">
        <f>200000000-197610452</f>
        <v>2389548</v>
      </c>
      <c r="V491" s="285">
        <f t="shared" si="238"/>
        <v>0</v>
      </c>
      <c r="W491" s="29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>
        <v>0</v>
      </c>
      <c r="AI491" s="30">
        <f t="shared" si="239"/>
        <v>2389548</v>
      </c>
      <c r="AJ491" s="30">
        <f>+S491-T491-V491-AI491</f>
        <v>0</v>
      </c>
      <c r="AK491" s="796" t="s">
        <v>48</v>
      </c>
      <c r="AL491" s="796" t="s">
        <v>44</v>
      </c>
      <c r="AM491" s="796"/>
      <c r="AN491" s="799"/>
    </row>
    <row r="492" spans="1:42" s="18" customFormat="1" ht="25.5" hidden="1" customHeight="1" outlineLevel="1">
      <c r="A492" s="35"/>
      <c r="B492" s="35"/>
      <c r="C492" s="35"/>
      <c r="D492" s="35"/>
      <c r="E492" s="35"/>
      <c r="F492" s="36"/>
      <c r="G492" s="36"/>
      <c r="H492" s="37"/>
      <c r="I492" s="36"/>
      <c r="J492" s="36"/>
      <c r="K492" s="36"/>
      <c r="L492" s="35"/>
      <c r="M492" s="38"/>
      <c r="N492" s="39"/>
      <c r="O492" s="39"/>
      <c r="P492" s="39"/>
      <c r="Q492" s="132" t="s">
        <v>58</v>
      </c>
      <c r="R492" s="64"/>
      <c r="S492" s="133">
        <f t="shared" ref="S492:AJ492" si="257">SUBTOTAL(9,S490:S491)</f>
        <v>0</v>
      </c>
      <c r="T492" s="133">
        <f t="shared" ref="T492" si="258">SUBTOTAL(9,T490:T491)</f>
        <v>0</v>
      </c>
      <c r="U492" s="133">
        <f t="shared" si="257"/>
        <v>0</v>
      </c>
      <c r="V492" s="133">
        <f t="shared" si="257"/>
        <v>0</v>
      </c>
      <c r="W492" s="133">
        <f t="shared" si="257"/>
        <v>0</v>
      </c>
      <c r="X492" s="133">
        <f t="shared" si="257"/>
        <v>0</v>
      </c>
      <c r="Y492" s="133">
        <f t="shared" si="257"/>
        <v>0</v>
      </c>
      <c r="Z492" s="133">
        <f t="shared" si="257"/>
        <v>0</v>
      </c>
      <c r="AA492" s="133">
        <f t="shared" si="257"/>
        <v>0</v>
      </c>
      <c r="AB492" s="133">
        <f t="shared" si="257"/>
        <v>0</v>
      </c>
      <c r="AC492" s="133">
        <f t="shared" si="257"/>
        <v>0</v>
      </c>
      <c r="AD492" s="133">
        <f t="shared" si="257"/>
        <v>0</v>
      </c>
      <c r="AE492" s="133">
        <f t="shared" si="257"/>
        <v>0</v>
      </c>
      <c r="AF492" s="133">
        <f t="shared" si="257"/>
        <v>0</v>
      </c>
      <c r="AG492" s="133">
        <f t="shared" si="257"/>
        <v>0</v>
      </c>
      <c r="AH492" s="133">
        <v>0</v>
      </c>
      <c r="AI492" s="133">
        <f t="shared" si="257"/>
        <v>0</v>
      </c>
      <c r="AJ492" s="133">
        <f t="shared" si="257"/>
        <v>0</v>
      </c>
      <c r="AK492" s="796"/>
      <c r="AL492" s="796" t="s">
        <v>79</v>
      </c>
      <c r="AM492" s="796"/>
      <c r="AN492" s="799"/>
    </row>
    <row r="493" spans="1:42" s="90" customFormat="1" ht="24.75" hidden="1" customHeight="1" outlineLevel="1">
      <c r="A493" s="35"/>
      <c r="B493" s="35"/>
      <c r="C493" s="35"/>
      <c r="D493" s="35"/>
      <c r="E493" s="35"/>
      <c r="F493" s="36"/>
      <c r="G493" s="36"/>
      <c r="H493" s="37"/>
      <c r="I493" s="36"/>
      <c r="J493" s="36"/>
      <c r="K493" s="36"/>
      <c r="L493" s="35"/>
      <c r="M493" s="38"/>
      <c r="N493" s="39"/>
      <c r="O493" s="39"/>
      <c r="P493" s="39"/>
      <c r="Q493" s="46"/>
      <c r="R493" s="42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796"/>
      <c r="AL493" s="796"/>
      <c r="AM493" s="796"/>
      <c r="AN493" s="799"/>
    </row>
    <row r="494" spans="1:42" s="90" customFormat="1" ht="24.75" hidden="1" customHeight="1" outlineLevel="1">
      <c r="A494" s="35"/>
      <c r="B494" s="35"/>
      <c r="C494" s="35"/>
      <c r="D494" s="35"/>
      <c r="E494" s="35"/>
      <c r="F494" s="36"/>
      <c r="G494" s="36"/>
      <c r="H494" s="37"/>
      <c r="I494" s="36"/>
      <c r="J494" s="36"/>
      <c r="K494" s="36"/>
      <c r="L494" s="35"/>
      <c r="M494" s="38"/>
      <c r="N494" s="39"/>
      <c r="O494" s="39"/>
      <c r="P494" s="39"/>
      <c r="Q494" s="17" t="s">
        <v>68</v>
      </c>
      <c r="R494" s="42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796"/>
      <c r="AL494" s="796"/>
      <c r="AM494" s="796"/>
      <c r="AN494" s="799"/>
    </row>
    <row r="495" spans="1:42" s="18" customFormat="1" ht="25.5" hidden="1" customHeight="1" outlineLevel="1">
      <c r="A495" s="66"/>
      <c r="B495" s="66">
        <v>33</v>
      </c>
      <c r="C495" s="66"/>
      <c r="D495" s="66" t="s">
        <v>76</v>
      </c>
      <c r="E495" s="66" t="s">
        <v>69</v>
      </c>
      <c r="F495" s="66" t="s">
        <v>35</v>
      </c>
      <c r="G495" s="67" t="s">
        <v>49</v>
      </c>
      <c r="H495" s="68" t="s">
        <v>61</v>
      </c>
      <c r="I495" s="66" t="s">
        <v>299</v>
      </c>
      <c r="J495" s="66" t="s">
        <v>358</v>
      </c>
      <c r="K495" s="69">
        <v>24</v>
      </c>
      <c r="L495" s="66" t="s">
        <v>76</v>
      </c>
      <c r="M495" s="70" t="s">
        <v>40</v>
      </c>
      <c r="N495" s="68" t="s">
        <v>76</v>
      </c>
      <c r="O495" s="68"/>
      <c r="P495" s="68"/>
      <c r="Q495" s="70" t="s">
        <v>77</v>
      </c>
      <c r="R495" s="118"/>
      <c r="S495" s="71">
        <v>200000000</v>
      </c>
      <c r="T495" s="72">
        <v>0</v>
      </c>
      <c r="U495" s="72">
        <v>200000000</v>
      </c>
      <c r="V495" s="297">
        <f t="shared" si="238"/>
        <v>0</v>
      </c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72"/>
      <c r="AI495" s="72">
        <f t="shared" si="239"/>
        <v>200000000</v>
      </c>
      <c r="AJ495" s="72">
        <f>+S495-T495-V495-AI495</f>
        <v>0</v>
      </c>
      <c r="AK495" s="796" t="s">
        <v>78</v>
      </c>
      <c r="AL495" s="796"/>
      <c r="AM495" s="796"/>
      <c r="AN495" s="799"/>
    </row>
    <row r="496" spans="1:42" s="90" customFormat="1" ht="24.75" hidden="1" customHeight="1" outlineLevel="1">
      <c r="A496" s="35"/>
      <c r="B496" s="35"/>
      <c r="C496" s="35"/>
      <c r="D496" s="35"/>
      <c r="E496" s="35"/>
      <c r="F496" s="36"/>
      <c r="G496" s="36"/>
      <c r="H496" s="37"/>
      <c r="I496" s="36"/>
      <c r="J496" s="36"/>
      <c r="K496" s="36"/>
      <c r="L496" s="35"/>
      <c r="M496" s="38"/>
      <c r="N496" s="39"/>
      <c r="O496" s="39"/>
      <c r="P496" s="39"/>
      <c r="Q496" s="134" t="s">
        <v>80</v>
      </c>
      <c r="R496" s="134" t="s">
        <v>80</v>
      </c>
      <c r="S496" s="81">
        <f t="shared" ref="S496:U496" si="259">SUBTOTAL(9,S495)</f>
        <v>0</v>
      </c>
      <c r="T496" s="81">
        <f t="shared" ref="T496" si="260">SUBTOTAL(9,T495)</f>
        <v>0</v>
      </c>
      <c r="U496" s="81">
        <f t="shared" si="259"/>
        <v>0</v>
      </c>
      <c r="V496" s="81">
        <f t="shared" ref="V496:AJ496" si="261">SUBTOTAL(9,V495)</f>
        <v>0</v>
      </c>
      <c r="W496" s="81">
        <f t="shared" si="261"/>
        <v>0</v>
      </c>
      <c r="X496" s="81">
        <f t="shared" si="261"/>
        <v>0</v>
      </c>
      <c r="Y496" s="81">
        <f t="shared" si="261"/>
        <v>0</v>
      </c>
      <c r="Z496" s="81">
        <f t="shared" si="261"/>
        <v>0</v>
      </c>
      <c r="AA496" s="81">
        <f t="shared" si="261"/>
        <v>0</v>
      </c>
      <c r="AB496" s="81">
        <f t="shared" si="261"/>
        <v>0</v>
      </c>
      <c r="AC496" s="81">
        <f t="shared" si="261"/>
        <v>0</v>
      </c>
      <c r="AD496" s="81">
        <f t="shared" si="261"/>
        <v>0</v>
      </c>
      <c r="AE496" s="81">
        <f t="shared" si="261"/>
        <v>0</v>
      </c>
      <c r="AF496" s="81">
        <f t="shared" si="261"/>
        <v>0</v>
      </c>
      <c r="AG496" s="81">
        <f t="shared" si="261"/>
        <v>0</v>
      </c>
      <c r="AH496" s="81">
        <v>0</v>
      </c>
      <c r="AI496" s="81">
        <f t="shared" si="261"/>
        <v>0</v>
      </c>
      <c r="AJ496" s="81">
        <f t="shared" si="261"/>
        <v>0</v>
      </c>
      <c r="AK496" s="796"/>
      <c r="AL496" s="796"/>
      <c r="AM496" s="796"/>
      <c r="AN496" s="799"/>
    </row>
    <row r="497" spans="1:42" s="90" customFormat="1" ht="24.75" hidden="1" customHeight="1" outlineLevel="1">
      <c r="A497" s="35"/>
      <c r="B497" s="35"/>
      <c r="C497" s="35"/>
      <c r="D497" s="35"/>
      <c r="E497" s="35"/>
      <c r="F497" s="36"/>
      <c r="G497" s="36"/>
      <c r="H497" s="37"/>
      <c r="I497" s="36"/>
      <c r="J497" s="36"/>
      <c r="K497" s="36"/>
      <c r="L497" s="35"/>
      <c r="M497" s="38"/>
      <c r="N497" s="39"/>
      <c r="O497" s="39"/>
      <c r="P497" s="39"/>
      <c r="Q497" s="46"/>
      <c r="R497" s="42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796"/>
      <c r="AL497" s="796"/>
      <c r="AM497" s="796"/>
      <c r="AN497" s="799"/>
    </row>
    <row r="498" spans="1:42" s="84" customFormat="1" ht="24.75" hidden="1" customHeight="1" outlineLevel="1">
      <c r="A498" s="36"/>
      <c r="B498" s="82"/>
      <c r="C498" s="82"/>
      <c r="D498" s="36"/>
      <c r="E498" s="36"/>
      <c r="F498" s="36"/>
      <c r="G498" s="36"/>
      <c r="H498" s="37"/>
      <c r="I498" s="36"/>
      <c r="J498" s="36"/>
      <c r="K498" s="36"/>
      <c r="L498" s="82"/>
      <c r="N498" s="83"/>
      <c r="O498" s="39"/>
      <c r="P498" s="39"/>
      <c r="Q498" s="130" t="s">
        <v>361</v>
      </c>
      <c r="R498" s="86"/>
      <c r="S498" s="131">
        <f t="shared" ref="S498:U498" si="262">S492+S496</f>
        <v>0</v>
      </c>
      <c r="T498" s="131">
        <f t="shared" ref="T498" si="263">T492+T496</f>
        <v>0</v>
      </c>
      <c r="U498" s="131">
        <f t="shared" si="262"/>
        <v>0</v>
      </c>
      <c r="V498" s="131">
        <f t="shared" ref="V498:AJ498" si="264">V492+V496</f>
        <v>0</v>
      </c>
      <c r="W498" s="131">
        <f t="shared" si="264"/>
        <v>0</v>
      </c>
      <c r="X498" s="131">
        <f t="shared" si="264"/>
        <v>0</v>
      </c>
      <c r="Y498" s="131">
        <f t="shared" si="264"/>
        <v>0</v>
      </c>
      <c r="Z498" s="131">
        <f t="shared" si="264"/>
        <v>0</v>
      </c>
      <c r="AA498" s="131">
        <f t="shared" si="264"/>
        <v>0</v>
      </c>
      <c r="AB498" s="131">
        <f t="shared" si="264"/>
        <v>0</v>
      </c>
      <c r="AC498" s="131">
        <f t="shared" si="264"/>
        <v>0</v>
      </c>
      <c r="AD498" s="131">
        <f t="shared" si="264"/>
        <v>0</v>
      </c>
      <c r="AE498" s="131">
        <f t="shared" si="264"/>
        <v>0</v>
      </c>
      <c r="AF498" s="131">
        <f t="shared" si="264"/>
        <v>0</v>
      </c>
      <c r="AG498" s="131">
        <f t="shared" si="264"/>
        <v>0</v>
      </c>
      <c r="AH498" s="131">
        <v>0</v>
      </c>
      <c r="AI498" s="131">
        <f t="shared" si="264"/>
        <v>0</v>
      </c>
      <c r="AJ498" s="131">
        <f t="shared" si="264"/>
        <v>0</v>
      </c>
      <c r="AK498" s="796"/>
      <c r="AL498" s="796"/>
      <c r="AM498" s="796"/>
      <c r="AN498" s="799"/>
    </row>
    <row r="499" spans="1:42" s="84" customFormat="1" ht="24.75" hidden="1" customHeight="1" outlineLevel="1">
      <c r="A499" s="36"/>
      <c r="B499" s="82"/>
      <c r="C499" s="82"/>
      <c r="D499" s="36"/>
      <c r="E499" s="36"/>
      <c r="F499" s="36"/>
      <c r="G499" s="36"/>
      <c r="H499" s="37"/>
      <c r="I499" s="36"/>
      <c r="J499" s="36"/>
      <c r="K499" s="36"/>
      <c r="L499" s="82"/>
      <c r="N499" s="83"/>
      <c r="O499" s="39"/>
      <c r="P499" s="39"/>
      <c r="Q499" s="91"/>
      <c r="R499" s="87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796"/>
      <c r="AL499" s="796"/>
      <c r="AM499" s="796"/>
      <c r="AN499" s="799"/>
    </row>
    <row r="500" spans="1:42" s="18" customFormat="1" ht="25.5" hidden="1" customHeight="1" outlineLevel="1">
      <c r="A500" s="36"/>
      <c r="B500" s="36"/>
      <c r="C500" s="36"/>
      <c r="D500" s="36"/>
      <c r="E500" s="36"/>
      <c r="F500" s="36"/>
      <c r="G500" s="36"/>
      <c r="H500" s="37"/>
      <c r="I500" s="36"/>
      <c r="J500" s="36"/>
      <c r="K500" s="36"/>
      <c r="L500" s="36"/>
      <c r="M500" s="95"/>
      <c r="N500" s="37"/>
      <c r="O500" s="39"/>
      <c r="P500" s="39"/>
      <c r="Q500" s="96" t="s">
        <v>362</v>
      </c>
      <c r="R500" s="50"/>
      <c r="S500" s="97"/>
      <c r="T500" s="97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796"/>
      <c r="AL500" s="796"/>
      <c r="AM500" s="796"/>
      <c r="AN500" s="799"/>
    </row>
    <row r="501" spans="1:42" s="33" customFormat="1" ht="25.5" hidden="1" customHeight="1" outlineLevel="2">
      <c r="A501" s="35"/>
      <c r="B501" s="35"/>
      <c r="C501" s="35"/>
      <c r="D501" s="35"/>
      <c r="E501" s="35"/>
      <c r="F501" s="36"/>
      <c r="G501" s="36"/>
      <c r="H501" s="37"/>
      <c r="I501" s="36"/>
      <c r="J501" s="36"/>
      <c r="K501" s="36"/>
      <c r="L501" s="35"/>
      <c r="M501" s="38"/>
      <c r="N501" s="39"/>
      <c r="O501" s="39"/>
      <c r="P501" s="39"/>
      <c r="Q501" s="17" t="s">
        <v>32</v>
      </c>
      <c r="R501" s="50"/>
      <c r="S501" s="51"/>
      <c r="T501" s="51"/>
      <c r="U501" s="52"/>
      <c r="V501" s="52"/>
      <c r="W501" s="52"/>
      <c r="X501" s="52"/>
      <c r="Y501" s="52"/>
      <c r="Z501" s="53"/>
      <c r="AA501" s="53"/>
      <c r="AB501" s="53"/>
      <c r="AC501" s="53"/>
      <c r="AD501" s="53"/>
      <c r="AE501" s="53"/>
      <c r="AF501" s="53"/>
      <c r="AG501" s="53"/>
      <c r="AH501" s="53"/>
      <c r="AI501" s="52"/>
      <c r="AJ501" s="52"/>
      <c r="AK501" s="796"/>
      <c r="AL501" s="796"/>
      <c r="AM501" s="796"/>
      <c r="AN501" s="799"/>
    </row>
    <row r="502" spans="1:42" s="33" customFormat="1" ht="25.5" hidden="1" customHeight="1" outlineLevel="2">
      <c r="A502" s="198" t="s">
        <v>133</v>
      </c>
      <c r="B502" s="198">
        <v>31</v>
      </c>
      <c r="C502" s="198"/>
      <c r="D502" s="198" t="s">
        <v>33</v>
      </c>
      <c r="E502" s="198" t="s">
        <v>34</v>
      </c>
      <c r="F502" s="198" t="s">
        <v>84</v>
      </c>
      <c r="G502" s="199" t="s">
        <v>49</v>
      </c>
      <c r="H502" s="200" t="s">
        <v>85</v>
      </c>
      <c r="I502" s="198" t="s">
        <v>299</v>
      </c>
      <c r="J502" s="198" t="s">
        <v>363</v>
      </c>
      <c r="K502" s="201">
        <v>25</v>
      </c>
      <c r="L502" s="198" t="s">
        <v>46</v>
      </c>
      <c r="M502" s="112" t="s">
        <v>40</v>
      </c>
      <c r="N502" s="200">
        <v>30078798</v>
      </c>
      <c r="O502" s="200" t="s">
        <v>756</v>
      </c>
      <c r="P502" s="200"/>
      <c r="Q502" s="112" t="s">
        <v>364</v>
      </c>
      <c r="R502" s="118"/>
      <c r="S502" s="113">
        <v>487098000</v>
      </c>
      <c r="T502" s="114">
        <v>459236777</v>
      </c>
      <c r="U502" s="114">
        <f>35997965-8136742</f>
        <v>27861223</v>
      </c>
      <c r="V502" s="288">
        <f t="shared" si="238"/>
        <v>0</v>
      </c>
      <c r="W502" s="119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28">
        <v>0</v>
      </c>
      <c r="AI502" s="114">
        <f t="shared" si="239"/>
        <v>27861223</v>
      </c>
      <c r="AJ502" s="114">
        <f>+S502-T502-V502-AI502</f>
        <v>0</v>
      </c>
      <c r="AK502" s="796" t="s">
        <v>43</v>
      </c>
      <c r="AL502" s="796" t="s">
        <v>44</v>
      </c>
      <c r="AM502" s="796"/>
      <c r="AN502" s="799"/>
    </row>
    <row r="503" spans="1:42" s="33" customFormat="1" ht="25.5" hidden="1" customHeight="1" outlineLevel="2">
      <c r="A503" s="19"/>
      <c r="B503" s="19">
        <v>31</v>
      </c>
      <c r="C503" s="19"/>
      <c r="D503" s="19" t="s">
        <v>33</v>
      </c>
      <c r="E503" s="19" t="s">
        <v>34</v>
      </c>
      <c r="F503" s="19"/>
      <c r="G503" s="19"/>
      <c r="H503" s="21" t="s">
        <v>53</v>
      </c>
      <c r="I503" s="19" t="s">
        <v>299</v>
      </c>
      <c r="J503" s="19" t="s">
        <v>363</v>
      </c>
      <c r="K503" s="201">
        <v>25</v>
      </c>
      <c r="L503" s="19" t="s">
        <v>46</v>
      </c>
      <c r="M503" s="23" t="s">
        <v>40</v>
      </c>
      <c r="N503" s="21">
        <v>30480757</v>
      </c>
      <c r="O503" s="21" t="s">
        <v>757</v>
      </c>
      <c r="P503" s="21"/>
      <c r="Q503" s="23" t="s">
        <v>365</v>
      </c>
      <c r="R503" s="25"/>
      <c r="S503" s="26">
        <v>361002000</v>
      </c>
      <c r="T503" s="30">
        <v>312229753</v>
      </c>
      <c r="U503" s="30">
        <f>S503-T503</f>
        <v>48772247</v>
      </c>
      <c r="V503" s="286">
        <f t="shared" si="238"/>
        <v>36980985</v>
      </c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>
        <v>36980985</v>
      </c>
      <c r="AI503" s="30">
        <f t="shared" si="239"/>
        <v>11791262</v>
      </c>
      <c r="AJ503" s="30">
        <f>+S503-T503-V503-AI503</f>
        <v>0</v>
      </c>
      <c r="AK503" s="796" t="s">
        <v>48</v>
      </c>
      <c r="AL503" s="796" t="s">
        <v>90</v>
      </c>
      <c r="AM503" s="796"/>
      <c r="AN503" s="799"/>
    </row>
    <row r="504" spans="1:42" s="38" customFormat="1" ht="25.5" hidden="1" customHeight="1" outlineLevel="1">
      <c r="A504" s="35"/>
      <c r="B504" s="35"/>
      <c r="C504" s="35"/>
      <c r="D504" s="35"/>
      <c r="E504" s="35"/>
      <c r="F504" s="36"/>
      <c r="G504" s="36"/>
      <c r="H504" s="37"/>
      <c r="I504" s="36"/>
      <c r="J504" s="36"/>
      <c r="K504" s="36"/>
      <c r="L504" s="35"/>
      <c r="N504" s="39"/>
      <c r="O504" s="39"/>
      <c r="P504" s="39"/>
      <c r="Q504" s="132" t="s">
        <v>58</v>
      </c>
      <c r="R504" s="116"/>
      <c r="S504" s="133">
        <f t="shared" ref="S504:AJ504" si="265">SUBTOTAL(9,S502:S503)</f>
        <v>0</v>
      </c>
      <c r="T504" s="133">
        <f t="shared" ref="T504" si="266">SUBTOTAL(9,T502:T503)</f>
        <v>0</v>
      </c>
      <c r="U504" s="133">
        <f t="shared" si="265"/>
        <v>0</v>
      </c>
      <c r="V504" s="133">
        <f t="shared" si="265"/>
        <v>0</v>
      </c>
      <c r="W504" s="133">
        <f t="shared" si="265"/>
        <v>0</v>
      </c>
      <c r="X504" s="133">
        <f t="shared" si="265"/>
        <v>0</v>
      </c>
      <c r="Y504" s="133">
        <f t="shared" si="265"/>
        <v>0</v>
      </c>
      <c r="Z504" s="133">
        <f t="shared" si="265"/>
        <v>0</v>
      </c>
      <c r="AA504" s="133">
        <f t="shared" si="265"/>
        <v>0</v>
      </c>
      <c r="AB504" s="133">
        <f t="shared" si="265"/>
        <v>0</v>
      </c>
      <c r="AC504" s="133">
        <f t="shared" si="265"/>
        <v>0</v>
      </c>
      <c r="AD504" s="133">
        <f t="shared" si="265"/>
        <v>0</v>
      </c>
      <c r="AE504" s="133">
        <f t="shared" si="265"/>
        <v>0</v>
      </c>
      <c r="AF504" s="133">
        <f t="shared" si="265"/>
        <v>0</v>
      </c>
      <c r="AG504" s="133">
        <f t="shared" si="265"/>
        <v>0</v>
      </c>
      <c r="AH504" s="133">
        <v>36980985</v>
      </c>
      <c r="AI504" s="133">
        <f t="shared" si="265"/>
        <v>0</v>
      </c>
      <c r="AJ504" s="133">
        <f t="shared" si="265"/>
        <v>0</v>
      </c>
      <c r="AK504" s="796"/>
      <c r="AL504" s="796"/>
      <c r="AM504" s="796"/>
      <c r="AN504" s="799"/>
    </row>
    <row r="505" spans="1:42" s="38" customFormat="1" ht="25.5" hidden="1" customHeight="1" outlineLevel="1">
      <c r="A505" s="35"/>
      <c r="B505" s="35"/>
      <c r="C505" s="35"/>
      <c r="D505" s="35"/>
      <c r="E505" s="35"/>
      <c r="F505" s="36"/>
      <c r="G505" s="36"/>
      <c r="H505" s="37"/>
      <c r="I505" s="36"/>
      <c r="J505" s="36"/>
      <c r="K505" s="36"/>
      <c r="L505" s="35"/>
      <c r="N505" s="39"/>
      <c r="O505" s="39"/>
      <c r="P505" s="39"/>
      <c r="Q505" s="46"/>
      <c r="R505" s="42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796"/>
      <c r="AL505" s="796"/>
      <c r="AM505" s="796"/>
      <c r="AN505" s="799"/>
    </row>
    <row r="506" spans="1:42" s="18" customFormat="1" ht="25.5" hidden="1" customHeight="1" outlineLevel="1">
      <c r="A506" s="35"/>
      <c r="B506" s="35"/>
      <c r="C506" s="35"/>
      <c r="D506" s="35"/>
      <c r="E506" s="35"/>
      <c r="F506" s="36"/>
      <c r="G506" s="36"/>
      <c r="H506" s="37"/>
      <c r="I506" s="36"/>
      <c r="J506" s="36"/>
      <c r="K506" s="36"/>
      <c r="L506" s="35"/>
      <c r="M506" s="38"/>
      <c r="N506" s="39"/>
      <c r="O506" s="39"/>
      <c r="P506" s="39"/>
      <c r="Q506" s="17" t="s">
        <v>68</v>
      </c>
      <c r="R506" s="42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796"/>
      <c r="AL506" s="796"/>
      <c r="AM506" s="796"/>
      <c r="AN506" s="799"/>
    </row>
    <row r="507" spans="1:42" s="18" customFormat="1" ht="25.5" customHeight="1" outlineLevel="1">
      <c r="A507" s="66"/>
      <c r="B507" s="801">
        <v>31</v>
      </c>
      <c r="C507" s="730"/>
      <c r="D507" s="66" t="s">
        <v>33</v>
      </c>
      <c r="E507" s="801" t="s">
        <v>69</v>
      </c>
      <c r="F507" s="730" t="s">
        <v>35</v>
      </c>
      <c r="G507" s="67" t="s">
        <v>49</v>
      </c>
      <c r="H507" s="68" t="s">
        <v>53</v>
      </c>
      <c r="I507" s="801" t="s">
        <v>299</v>
      </c>
      <c r="J507" s="801" t="s">
        <v>363</v>
      </c>
      <c r="K507" s="69">
        <v>25</v>
      </c>
      <c r="L507" s="66" t="s">
        <v>46</v>
      </c>
      <c r="M507" s="802" t="s">
        <v>40</v>
      </c>
      <c r="N507" s="803">
        <v>40002386</v>
      </c>
      <c r="O507" s="771"/>
      <c r="P507" s="68"/>
      <c r="Q507" s="802" t="s">
        <v>366</v>
      </c>
      <c r="R507" s="24"/>
      <c r="S507" s="804">
        <v>1350912000</v>
      </c>
      <c r="T507" s="805">
        <v>0</v>
      </c>
      <c r="U507" s="805">
        <f>400000000+160801000+8136742</f>
        <v>568937742</v>
      </c>
      <c r="V507" s="805">
        <f t="shared" si="238"/>
        <v>0</v>
      </c>
      <c r="W507" s="29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>
        <v>0</v>
      </c>
      <c r="AI507" s="805">
        <f t="shared" si="239"/>
        <v>568937742</v>
      </c>
      <c r="AJ507" s="805">
        <f>+S507-T507-V507-AI507</f>
        <v>781974258</v>
      </c>
      <c r="AK507" s="806" t="s">
        <v>43</v>
      </c>
      <c r="AL507" s="806" t="s">
        <v>759</v>
      </c>
      <c r="AM507" s="806" t="str">
        <f>HYPERLINK(CONCATENATE("DOCUMENTOS\ACTA-",N507,".PDF"))</f>
        <v>DOCUMENTOS\ACTA-40002386.PDF</v>
      </c>
      <c r="AN507" s="807"/>
      <c r="AO507" s="33" t="e">
        <f>VLOOKUP(N507,'CONVENIOS 2021'!A$1:A$53,1,FALSE)</f>
        <v>#N/A</v>
      </c>
      <c r="AP507" s="33" t="e">
        <f>VLOOKUP(N507,'CONVENIOS 2020'!A$2:A$72,1,FALSE)</f>
        <v>#N/A</v>
      </c>
    </row>
    <row r="508" spans="1:42" s="38" customFormat="1" ht="25.5" hidden="1" customHeight="1" outlineLevel="1">
      <c r="A508" s="66"/>
      <c r="B508" s="180">
        <v>29</v>
      </c>
      <c r="C508" s="66"/>
      <c r="D508" s="66" t="s">
        <v>92</v>
      </c>
      <c r="E508" s="180" t="s">
        <v>69</v>
      </c>
      <c r="F508" s="66"/>
      <c r="G508" s="66"/>
      <c r="H508" s="68" t="s">
        <v>37</v>
      </c>
      <c r="I508" s="180" t="s">
        <v>299</v>
      </c>
      <c r="J508" s="180" t="s">
        <v>363</v>
      </c>
      <c r="K508" s="69">
        <v>25</v>
      </c>
      <c r="L508" s="66" t="s">
        <v>46</v>
      </c>
      <c r="M508" s="184" t="s">
        <v>40</v>
      </c>
      <c r="N508" s="182">
        <v>40014326</v>
      </c>
      <c r="O508" s="68"/>
      <c r="P508" s="68"/>
      <c r="Q508" s="184" t="s">
        <v>367</v>
      </c>
      <c r="R508" s="78"/>
      <c r="S508" s="188">
        <v>127871000</v>
      </c>
      <c r="T508" s="189">
        <v>0</v>
      </c>
      <c r="U508" s="188">
        <v>127871000</v>
      </c>
      <c r="V508" s="300">
        <f t="shared" si="238"/>
        <v>0</v>
      </c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28">
        <v>0</v>
      </c>
      <c r="AI508" s="189">
        <f t="shared" si="239"/>
        <v>127871000</v>
      </c>
      <c r="AJ508" s="189">
        <f>+S508-T508-V508-AI508</f>
        <v>0</v>
      </c>
      <c r="AK508" s="796" t="s">
        <v>48</v>
      </c>
      <c r="AL508" s="796" t="s">
        <v>104</v>
      </c>
      <c r="AM508" s="796"/>
      <c r="AN508" s="799"/>
    </row>
    <row r="509" spans="1:42" s="18" customFormat="1" ht="25.5" hidden="1" customHeight="1" outlineLevel="1">
      <c r="A509" s="66"/>
      <c r="B509" s="66">
        <v>33</v>
      </c>
      <c r="C509" s="66"/>
      <c r="D509" s="66" t="s">
        <v>76</v>
      </c>
      <c r="E509" s="66" t="s">
        <v>69</v>
      </c>
      <c r="F509" s="66" t="s">
        <v>35</v>
      </c>
      <c r="G509" s="67" t="s">
        <v>49</v>
      </c>
      <c r="H509" s="68" t="s">
        <v>61</v>
      </c>
      <c r="I509" s="66" t="s">
        <v>299</v>
      </c>
      <c r="J509" s="66" t="s">
        <v>363</v>
      </c>
      <c r="K509" s="69">
        <v>25</v>
      </c>
      <c r="L509" s="66" t="s">
        <v>76</v>
      </c>
      <c r="M509" s="70" t="s">
        <v>40</v>
      </c>
      <c r="N509" s="68" t="s">
        <v>76</v>
      </c>
      <c r="O509" s="68"/>
      <c r="P509" s="68"/>
      <c r="Q509" s="70" t="s">
        <v>77</v>
      </c>
      <c r="R509" s="141"/>
      <c r="S509" s="188">
        <v>200000000</v>
      </c>
      <c r="T509" s="72">
        <v>0</v>
      </c>
      <c r="U509" s="189">
        <v>200000000</v>
      </c>
      <c r="V509" s="296">
        <f t="shared" si="238"/>
        <v>80423377</v>
      </c>
      <c r="W509" s="144"/>
      <c r="X509" s="143"/>
      <c r="Y509" s="143"/>
      <c r="Z509" s="143"/>
      <c r="AA509" s="143"/>
      <c r="AB509" s="28"/>
      <c r="AC509" s="143"/>
      <c r="AD509" s="143"/>
      <c r="AE509" s="143"/>
      <c r="AF509" s="143"/>
      <c r="AG509" s="28"/>
      <c r="AH509" s="72">
        <v>80423377</v>
      </c>
      <c r="AI509" s="72">
        <f t="shared" si="239"/>
        <v>119576623</v>
      </c>
      <c r="AJ509" s="72">
        <f>+S509-T509-V509-AI509</f>
        <v>0</v>
      </c>
      <c r="AK509" s="796" t="s">
        <v>78</v>
      </c>
      <c r="AL509" s="796"/>
      <c r="AM509" s="796"/>
      <c r="AN509" s="799"/>
    </row>
    <row r="510" spans="1:42" s="38" customFormat="1" ht="25.5" hidden="1" customHeight="1" outlineLevel="1">
      <c r="A510" s="35"/>
      <c r="B510" s="35"/>
      <c r="C510" s="35"/>
      <c r="D510" s="35"/>
      <c r="E510" s="35"/>
      <c r="F510" s="36"/>
      <c r="G510" s="36"/>
      <c r="H510" s="37"/>
      <c r="I510" s="36"/>
      <c r="J510" s="36"/>
      <c r="K510" s="36"/>
      <c r="L510" s="35"/>
      <c r="N510" s="39"/>
      <c r="O510" s="39"/>
      <c r="P510" s="39"/>
      <c r="Q510" s="134" t="s">
        <v>80</v>
      </c>
      <c r="R510" s="42"/>
      <c r="S510" s="110">
        <f t="shared" ref="S510:U510" si="267">SUBTOTAL(9,S507:S509)</f>
        <v>1350912000</v>
      </c>
      <c r="T510" s="110">
        <f t="shared" ref="T510" si="268">SUBTOTAL(9,T507:T509)</f>
        <v>0</v>
      </c>
      <c r="U510" s="110">
        <f t="shared" si="267"/>
        <v>568937742</v>
      </c>
      <c r="V510" s="110">
        <f t="shared" ref="V510:AJ510" si="269">SUBTOTAL(9,V507:V509)</f>
        <v>0</v>
      </c>
      <c r="W510" s="110">
        <f t="shared" si="269"/>
        <v>0</v>
      </c>
      <c r="X510" s="110">
        <f t="shared" si="269"/>
        <v>0</v>
      </c>
      <c r="Y510" s="110">
        <f t="shared" si="269"/>
        <v>0</v>
      </c>
      <c r="Z510" s="110">
        <f t="shared" si="269"/>
        <v>0</v>
      </c>
      <c r="AA510" s="110">
        <f t="shared" si="269"/>
        <v>0</v>
      </c>
      <c r="AB510" s="110">
        <f t="shared" si="269"/>
        <v>0</v>
      </c>
      <c r="AC510" s="110">
        <f t="shared" si="269"/>
        <v>0</v>
      </c>
      <c r="AD510" s="110">
        <f t="shared" si="269"/>
        <v>0</v>
      </c>
      <c r="AE510" s="110">
        <f t="shared" si="269"/>
        <v>0</v>
      </c>
      <c r="AF510" s="110">
        <f t="shared" si="269"/>
        <v>0</v>
      </c>
      <c r="AG510" s="110">
        <f t="shared" si="269"/>
        <v>0</v>
      </c>
      <c r="AH510" s="110">
        <v>80423377</v>
      </c>
      <c r="AI510" s="110">
        <f t="shared" si="269"/>
        <v>568937742</v>
      </c>
      <c r="AJ510" s="110">
        <f t="shared" si="269"/>
        <v>781974258</v>
      </c>
      <c r="AK510" s="796"/>
      <c r="AL510" s="796"/>
      <c r="AM510" s="796"/>
      <c r="AN510" s="799"/>
    </row>
    <row r="511" spans="1:42" s="90" customFormat="1" ht="24.75" hidden="1" customHeight="1" outlineLevel="1">
      <c r="A511" s="35"/>
      <c r="B511" s="35"/>
      <c r="C511" s="35"/>
      <c r="D511" s="35"/>
      <c r="E511" s="35"/>
      <c r="F511" s="36"/>
      <c r="G511" s="36"/>
      <c r="H511" s="37"/>
      <c r="I511" s="36"/>
      <c r="J511" s="36"/>
      <c r="K511" s="36"/>
      <c r="L511" s="35"/>
      <c r="M511" s="38"/>
      <c r="N511" s="39"/>
      <c r="O511" s="39"/>
      <c r="P511" s="39"/>
      <c r="Q511" s="46"/>
      <c r="R511" s="42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796"/>
      <c r="AL511" s="796"/>
      <c r="AM511" s="796"/>
      <c r="AN511" s="799"/>
    </row>
    <row r="512" spans="1:42" s="84" customFormat="1" ht="24.75" hidden="1" customHeight="1" outlineLevel="1">
      <c r="A512" s="36"/>
      <c r="B512" s="82"/>
      <c r="C512" s="82"/>
      <c r="D512" s="36"/>
      <c r="E512" s="36"/>
      <c r="F512" s="36"/>
      <c r="G512" s="36"/>
      <c r="H512" s="37"/>
      <c r="I512" s="36"/>
      <c r="J512" s="36"/>
      <c r="K512" s="36"/>
      <c r="L512" s="82"/>
      <c r="N512" s="83"/>
      <c r="O512" s="39"/>
      <c r="P512" s="39"/>
      <c r="Q512" s="85" t="s">
        <v>368</v>
      </c>
      <c r="R512" s="111"/>
      <c r="S512" s="88">
        <f t="shared" ref="S512:U512" si="270">S504+S510</f>
        <v>1350912000</v>
      </c>
      <c r="T512" s="88">
        <f t="shared" ref="T512" si="271">T504+T510</f>
        <v>0</v>
      </c>
      <c r="U512" s="88">
        <f t="shared" si="270"/>
        <v>568937742</v>
      </c>
      <c r="V512" s="88">
        <f t="shared" ref="V512:AJ512" si="272">V504+V510</f>
        <v>0</v>
      </c>
      <c r="W512" s="88">
        <f t="shared" si="272"/>
        <v>0</v>
      </c>
      <c r="X512" s="88">
        <f t="shared" si="272"/>
        <v>0</v>
      </c>
      <c r="Y512" s="88">
        <f t="shared" si="272"/>
        <v>0</v>
      </c>
      <c r="Z512" s="88">
        <f t="shared" si="272"/>
        <v>0</v>
      </c>
      <c r="AA512" s="88">
        <f t="shared" si="272"/>
        <v>0</v>
      </c>
      <c r="AB512" s="88">
        <f t="shared" si="272"/>
        <v>0</v>
      </c>
      <c r="AC512" s="88">
        <f t="shared" si="272"/>
        <v>0</v>
      </c>
      <c r="AD512" s="88">
        <f t="shared" si="272"/>
        <v>0</v>
      </c>
      <c r="AE512" s="88">
        <f t="shared" si="272"/>
        <v>0</v>
      </c>
      <c r="AF512" s="88">
        <f t="shared" si="272"/>
        <v>0</v>
      </c>
      <c r="AG512" s="88">
        <f t="shared" si="272"/>
        <v>0</v>
      </c>
      <c r="AH512" s="88">
        <v>117404362</v>
      </c>
      <c r="AI512" s="88">
        <f t="shared" si="272"/>
        <v>568937742</v>
      </c>
      <c r="AJ512" s="88">
        <f t="shared" si="272"/>
        <v>781974258</v>
      </c>
      <c r="AK512" s="796"/>
      <c r="AL512" s="796"/>
      <c r="AM512" s="796"/>
      <c r="AN512" s="799"/>
    </row>
    <row r="513" spans="1:42" s="84" customFormat="1" ht="24.75" hidden="1" customHeight="1" outlineLevel="1">
      <c r="A513" s="36"/>
      <c r="B513" s="82"/>
      <c r="C513" s="82"/>
      <c r="D513" s="36"/>
      <c r="E513" s="36"/>
      <c r="F513" s="36"/>
      <c r="G513" s="36"/>
      <c r="H513" s="37"/>
      <c r="I513" s="36"/>
      <c r="J513" s="36"/>
      <c r="K513" s="36"/>
      <c r="L513" s="82"/>
      <c r="N513" s="83"/>
      <c r="O513" s="39"/>
      <c r="P513" s="39"/>
      <c r="Q513" s="91"/>
      <c r="R513" s="87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796"/>
      <c r="AL513" s="796"/>
      <c r="AM513" s="796"/>
      <c r="AN513" s="799"/>
    </row>
    <row r="514" spans="1:42" s="84" customFormat="1" ht="24.75" hidden="1" customHeight="1" outlineLevel="1">
      <c r="A514" s="36"/>
      <c r="B514" s="82"/>
      <c r="C514" s="82"/>
      <c r="D514" s="36"/>
      <c r="E514" s="36"/>
      <c r="F514" s="36"/>
      <c r="G514" s="36"/>
      <c r="H514" s="37"/>
      <c r="I514" s="36"/>
      <c r="J514" s="36"/>
      <c r="K514" s="36"/>
      <c r="L514" s="82"/>
      <c r="N514" s="83"/>
      <c r="O514" s="39"/>
      <c r="P514" s="39"/>
      <c r="Q514" s="596"/>
      <c r="R514" s="87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796"/>
      <c r="AL514" s="796"/>
      <c r="AM514" s="796"/>
      <c r="AN514" s="799"/>
    </row>
    <row r="515" spans="1:42" s="18" customFormat="1" ht="25.5" hidden="1" customHeight="1" outlineLevel="1">
      <c r="A515" s="36"/>
      <c r="B515" s="36"/>
      <c r="C515" s="36"/>
      <c r="D515" s="36"/>
      <c r="E515" s="36"/>
      <c r="F515" s="36"/>
      <c r="G515" s="36"/>
      <c r="H515" s="37"/>
      <c r="I515" s="36"/>
      <c r="J515" s="36"/>
      <c r="K515" s="36"/>
      <c r="L515" s="36"/>
      <c r="M515" s="95"/>
      <c r="N515" s="37"/>
      <c r="O515" s="39"/>
      <c r="P515" s="39"/>
      <c r="Q515" s="96" t="s">
        <v>369</v>
      </c>
      <c r="R515" s="50"/>
      <c r="S515" s="97"/>
      <c r="T515" s="97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796"/>
      <c r="AL515" s="796"/>
      <c r="AM515" s="796"/>
      <c r="AN515" s="799"/>
    </row>
    <row r="516" spans="1:42" s="33" customFormat="1" ht="25.5" hidden="1" customHeight="1" outlineLevel="2">
      <c r="A516" s="35"/>
      <c r="B516" s="35"/>
      <c r="C516" s="35"/>
      <c r="D516" s="35"/>
      <c r="E516" s="35"/>
      <c r="F516" s="36"/>
      <c r="G516" s="36"/>
      <c r="H516" s="37"/>
      <c r="I516" s="36"/>
      <c r="J516" s="36"/>
      <c r="K516" s="36"/>
      <c r="L516" s="35"/>
      <c r="M516" s="38"/>
      <c r="N516" s="39"/>
      <c r="O516" s="39"/>
      <c r="P516" s="39"/>
      <c r="Q516" s="17" t="s">
        <v>32</v>
      </c>
      <c r="R516" s="50"/>
      <c r="S516" s="51"/>
      <c r="T516" s="51"/>
      <c r="U516" s="52"/>
      <c r="V516" s="52"/>
      <c r="W516" s="52"/>
      <c r="X516" s="52"/>
      <c r="Y516" s="52"/>
      <c r="Z516" s="53"/>
      <c r="AA516" s="53"/>
      <c r="AB516" s="53"/>
      <c r="AC516" s="53"/>
      <c r="AD516" s="53"/>
      <c r="AE516" s="53"/>
      <c r="AF516" s="53"/>
      <c r="AG516" s="53"/>
      <c r="AH516" s="53"/>
      <c r="AI516" s="52"/>
      <c r="AJ516" s="52"/>
      <c r="AK516" s="796"/>
      <c r="AL516" s="796"/>
      <c r="AM516" s="796"/>
      <c r="AN516" s="799"/>
    </row>
    <row r="517" spans="1:42" s="33" customFormat="1" ht="25.5" hidden="1" customHeight="1" outlineLevel="2">
      <c r="A517" s="19"/>
      <c r="B517" s="19">
        <v>31</v>
      </c>
      <c r="C517" s="19"/>
      <c r="D517" s="19" t="s">
        <v>33</v>
      </c>
      <c r="E517" s="19" t="s">
        <v>34</v>
      </c>
      <c r="F517" s="19" t="s">
        <v>35</v>
      </c>
      <c r="G517" s="20" t="s">
        <v>49</v>
      </c>
      <c r="H517" s="21" t="s">
        <v>50</v>
      </c>
      <c r="I517" s="19" t="s">
        <v>299</v>
      </c>
      <c r="J517" s="19" t="s">
        <v>370</v>
      </c>
      <c r="K517" s="22">
        <v>26</v>
      </c>
      <c r="L517" s="19" t="s">
        <v>88</v>
      </c>
      <c r="M517" s="23" t="s">
        <v>40</v>
      </c>
      <c r="N517" s="21">
        <v>30472589</v>
      </c>
      <c r="O517" s="21" t="s">
        <v>756</v>
      </c>
      <c r="P517" s="21"/>
      <c r="Q517" s="23" t="s">
        <v>371</v>
      </c>
      <c r="R517" s="24"/>
      <c r="S517" s="26">
        <v>2531139000</v>
      </c>
      <c r="T517" s="30">
        <v>2121102141</v>
      </c>
      <c r="U517" s="30">
        <f>700000000-289963141</f>
        <v>410036859</v>
      </c>
      <c r="V517" s="285">
        <f t="shared" ref="V517:V569" si="273">+SUM(W517:AH517)</f>
        <v>0</v>
      </c>
      <c r="W517" s="29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>
        <v>0</v>
      </c>
      <c r="AI517" s="30">
        <f t="shared" ref="AI517:AI569" si="274">+U517-V517</f>
        <v>410036859</v>
      </c>
      <c r="AJ517" s="30">
        <f>+S517-T517-V517-AI517</f>
        <v>0</v>
      </c>
      <c r="AK517" s="796" t="s">
        <v>43</v>
      </c>
      <c r="AL517" s="796" t="s">
        <v>44</v>
      </c>
      <c r="AM517" s="796"/>
      <c r="AN517" s="799"/>
    </row>
    <row r="518" spans="1:42" s="33" customFormat="1" ht="25.5" hidden="1" customHeight="1" outlineLevel="2">
      <c r="A518" s="19"/>
      <c r="B518" s="19">
        <v>31</v>
      </c>
      <c r="C518" s="19"/>
      <c r="D518" s="19" t="s">
        <v>33</v>
      </c>
      <c r="E518" s="19" t="s">
        <v>34</v>
      </c>
      <c r="F518" s="19" t="s">
        <v>35</v>
      </c>
      <c r="G518" s="20" t="s">
        <v>49</v>
      </c>
      <c r="H518" s="21" t="s">
        <v>50</v>
      </c>
      <c r="I518" s="19" t="s">
        <v>299</v>
      </c>
      <c r="J518" s="19" t="s">
        <v>370</v>
      </c>
      <c r="K518" s="22">
        <v>26</v>
      </c>
      <c r="L518" s="19" t="s">
        <v>46</v>
      </c>
      <c r="M518" s="23" t="s">
        <v>40</v>
      </c>
      <c r="N518" s="21">
        <v>30135630</v>
      </c>
      <c r="O518" s="21" t="s">
        <v>756</v>
      </c>
      <c r="P518" s="21"/>
      <c r="Q518" s="23" t="s">
        <v>372</v>
      </c>
      <c r="R518" s="24"/>
      <c r="S518" s="26">
        <v>1667420000</v>
      </c>
      <c r="T518" s="30">
        <v>745531</v>
      </c>
      <c r="U518" s="30">
        <v>600000000</v>
      </c>
      <c r="V518" s="285">
        <f t="shared" si="273"/>
        <v>0</v>
      </c>
      <c r="W518" s="29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>
        <v>0</v>
      </c>
      <c r="AI518" s="30">
        <f t="shared" si="274"/>
        <v>600000000</v>
      </c>
      <c r="AJ518" s="30">
        <f>+S518-T518-V518-AI518</f>
        <v>1066674469</v>
      </c>
      <c r="AK518" s="796" t="s">
        <v>43</v>
      </c>
      <c r="AL518" s="796" t="s">
        <v>44</v>
      </c>
      <c r="AM518" s="796"/>
      <c r="AN518" s="799"/>
    </row>
    <row r="519" spans="1:42" s="33" customFormat="1" ht="25.5" hidden="1" customHeight="1" outlineLevel="2">
      <c r="A519" s="19"/>
      <c r="B519" s="19">
        <v>31</v>
      </c>
      <c r="C519" s="19"/>
      <c r="D519" s="19" t="s">
        <v>33</v>
      </c>
      <c r="E519" s="19" t="s">
        <v>34</v>
      </c>
      <c r="F519" s="19" t="s">
        <v>35</v>
      </c>
      <c r="G519" s="20" t="s">
        <v>49</v>
      </c>
      <c r="H519" s="21" t="s">
        <v>53</v>
      </c>
      <c r="I519" s="19" t="s">
        <v>299</v>
      </c>
      <c r="J519" s="19" t="s">
        <v>370</v>
      </c>
      <c r="K519" s="22">
        <v>26</v>
      </c>
      <c r="L519" s="19" t="s">
        <v>46</v>
      </c>
      <c r="M519" s="23" t="s">
        <v>40</v>
      </c>
      <c r="N519" s="21">
        <v>30125850</v>
      </c>
      <c r="O519" s="21" t="s">
        <v>756</v>
      </c>
      <c r="P519" s="21"/>
      <c r="Q519" s="23" t="s">
        <v>373</v>
      </c>
      <c r="R519" s="24"/>
      <c r="S519" s="26">
        <v>302702000</v>
      </c>
      <c r="T519" s="30">
        <v>232173278</v>
      </c>
      <c r="U519" s="30">
        <v>25000000</v>
      </c>
      <c r="V519" s="285">
        <f t="shared" si="273"/>
        <v>62039496</v>
      </c>
      <c r="W519" s="29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>
        <v>62039496</v>
      </c>
      <c r="AI519" s="30">
        <f t="shared" si="274"/>
        <v>-37039496</v>
      </c>
      <c r="AJ519" s="30">
        <f>+S519-T519-V519-AI519</f>
        <v>45528722</v>
      </c>
      <c r="AK519" s="796" t="s">
        <v>43</v>
      </c>
      <c r="AL519" s="796" t="s">
        <v>44</v>
      </c>
      <c r="AM519" s="796"/>
      <c r="AN519" s="799"/>
    </row>
    <row r="520" spans="1:42" s="38" customFormat="1" ht="25.5" hidden="1" customHeight="1" outlineLevel="1">
      <c r="A520" s="35"/>
      <c r="B520" s="35"/>
      <c r="C520" s="35"/>
      <c r="D520" s="35"/>
      <c r="E520" s="35"/>
      <c r="F520" s="36"/>
      <c r="G520" s="36"/>
      <c r="H520" s="37"/>
      <c r="I520" s="36"/>
      <c r="J520" s="36"/>
      <c r="K520" s="36"/>
      <c r="L520" s="35"/>
      <c r="N520" s="39"/>
      <c r="O520" s="39"/>
      <c r="P520" s="39"/>
      <c r="Q520" s="132" t="s">
        <v>58</v>
      </c>
      <c r="R520" s="116"/>
      <c r="S520" s="133">
        <f t="shared" ref="S520:AJ520" si="275">SUBTOTAL(9,S517:S519)</f>
        <v>0</v>
      </c>
      <c r="T520" s="133">
        <f t="shared" ref="T520" si="276">SUBTOTAL(9,T517:T519)</f>
        <v>0</v>
      </c>
      <c r="U520" s="133">
        <f t="shared" si="275"/>
        <v>0</v>
      </c>
      <c r="V520" s="133">
        <f t="shared" si="275"/>
        <v>0</v>
      </c>
      <c r="W520" s="133">
        <f t="shared" si="275"/>
        <v>0</v>
      </c>
      <c r="X520" s="133">
        <f t="shared" si="275"/>
        <v>0</v>
      </c>
      <c r="Y520" s="133">
        <f t="shared" si="275"/>
        <v>0</v>
      </c>
      <c r="Z520" s="133">
        <f t="shared" si="275"/>
        <v>0</v>
      </c>
      <c r="AA520" s="133">
        <f t="shared" si="275"/>
        <v>0</v>
      </c>
      <c r="AB520" s="133">
        <f t="shared" si="275"/>
        <v>0</v>
      </c>
      <c r="AC520" s="133">
        <f t="shared" si="275"/>
        <v>0</v>
      </c>
      <c r="AD520" s="133">
        <f t="shared" si="275"/>
        <v>0</v>
      </c>
      <c r="AE520" s="133">
        <f t="shared" si="275"/>
        <v>0</v>
      </c>
      <c r="AF520" s="133">
        <f t="shared" si="275"/>
        <v>0</v>
      </c>
      <c r="AG520" s="133">
        <f t="shared" si="275"/>
        <v>0</v>
      </c>
      <c r="AH520" s="133">
        <v>62039496</v>
      </c>
      <c r="AI520" s="133">
        <f t="shared" si="275"/>
        <v>0</v>
      </c>
      <c r="AJ520" s="133">
        <f t="shared" si="275"/>
        <v>0</v>
      </c>
      <c r="AK520" s="796"/>
      <c r="AL520" s="796" t="s">
        <v>90</v>
      </c>
      <c r="AM520" s="796"/>
      <c r="AN520" s="799"/>
    </row>
    <row r="521" spans="1:42" s="18" customFormat="1" ht="25.5" hidden="1" customHeight="1" outlineLevel="1">
      <c r="A521" s="35"/>
      <c r="B521" s="35"/>
      <c r="C521" s="35"/>
      <c r="D521" s="35"/>
      <c r="E521" s="35"/>
      <c r="F521" s="36"/>
      <c r="G521" s="36"/>
      <c r="H521" s="37"/>
      <c r="I521" s="36"/>
      <c r="J521" s="36"/>
      <c r="K521" s="36"/>
      <c r="L521" s="35"/>
      <c r="M521" s="38"/>
      <c r="N521" s="39"/>
      <c r="O521" s="39"/>
      <c r="P521" s="39"/>
      <c r="Q521" s="46"/>
      <c r="R521" s="42"/>
      <c r="S521" s="47"/>
      <c r="T521" s="47"/>
      <c r="U521" s="47"/>
      <c r="V521" s="47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7"/>
      <c r="AJ521" s="47"/>
      <c r="AK521" s="796"/>
      <c r="AL521" s="796"/>
      <c r="AM521" s="796"/>
      <c r="AN521" s="799"/>
    </row>
    <row r="522" spans="1:42" s="18" customFormat="1" ht="25.5" hidden="1" customHeight="1" outlineLevel="1">
      <c r="A522" s="35"/>
      <c r="B522" s="35"/>
      <c r="C522" s="35"/>
      <c r="D522" s="35"/>
      <c r="E522" s="35"/>
      <c r="F522" s="36"/>
      <c r="G522" s="36"/>
      <c r="H522" s="37"/>
      <c r="I522" s="36"/>
      <c r="J522" s="36"/>
      <c r="K522" s="36"/>
      <c r="L522" s="35"/>
      <c r="M522" s="38"/>
      <c r="N522" s="39"/>
      <c r="O522" s="39"/>
      <c r="P522" s="39"/>
      <c r="Q522" s="17" t="s">
        <v>59</v>
      </c>
      <c r="R522" s="50"/>
      <c r="S522" s="51"/>
      <c r="T522" s="51"/>
      <c r="U522" s="52"/>
      <c r="V522" s="52"/>
      <c r="W522" s="52"/>
      <c r="X522" s="52"/>
      <c r="Y522" s="52"/>
      <c r="Z522" s="53"/>
      <c r="AA522" s="53"/>
      <c r="AB522" s="53"/>
      <c r="AC522" s="53"/>
      <c r="AD522" s="53"/>
      <c r="AE522" s="53"/>
      <c r="AF522" s="53"/>
      <c r="AG522" s="53"/>
      <c r="AH522" s="53"/>
      <c r="AI522" s="52"/>
      <c r="AJ522" s="52"/>
      <c r="AK522" s="796"/>
      <c r="AL522" s="796"/>
      <c r="AM522" s="796"/>
      <c r="AN522" s="799"/>
    </row>
    <row r="523" spans="1:42" s="18" customFormat="1" ht="25.5" hidden="1" customHeight="1" outlineLevel="1">
      <c r="A523" s="54"/>
      <c r="B523" s="54">
        <v>31</v>
      </c>
      <c r="C523" s="54"/>
      <c r="D523" s="54" t="s">
        <v>33</v>
      </c>
      <c r="E523" s="54" t="s">
        <v>60</v>
      </c>
      <c r="F523" s="54" t="s">
        <v>84</v>
      </c>
      <c r="G523" s="55" t="s">
        <v>158</v>
      </c>
      <c r="H523" s="56" t="s">
        <v>72</v>
      </c>
      <c r="I523" s="54" t="s">
        <v>299</v>
      </c>
      <c r="J523" s="54" t="s">
        <v>370</v>
      </c>
      <c r="K523" s="57">
        <v>26</v>
      </c>
      <c r="L523" s="54" t="s">
        <v>46</v>
      </c>
      <c r="M523" s="58" t="s">
        <v>56</v>
      </c>
      <c r="N523" s="56">
        <v>30488426</v>
      </c>
      <c r="O523" s="56" t="s">
        <v>757</v>
      </c>
      <c r="P523" s="56"/>
      <c r="Q523" s="58" t="s">
        <v>375</v>
      </c>
      <c r="R523" s="24"/>
      <c r="S523" s="59">
        <v>28825000</v>
      </c>
      <c r="T523" s="60">
        <v>2882500</v>
      </c>
      <c r="U523" s="60">
        <v>7206250</v>
      </c>
      <c r="V523" s="292">
        <f t="shared" si="273"/>
        <v>0</v>
      </c>
      <c r="W523" s="29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>
        <v>0</v>
      </c>
      <c r="AI523" s="60">
        <f t="shared" si="274"/>
        <v>7206250</v>
      </c>
      <c r="AJ523" s="60">
        <f>+S523-T523-V523-AI523</f>
        <v>18736250</v>
      </c>
      <c r="AK523" s="796" t="s">
        <v>43</v>
      </c>
      <c r="AL523" s="796" t="s">
        <v>374</v>
      </c>
      <c r="AM523" s="796"/>
      <c r="AN523" s="799"/>
    </row>
    <row r="524" spans="1:42" s="38" customFormat="1" ht="25.5" hidden="1" customHeight="1" outlineLevel="1">
      <c r="A524" s="35"/>
      <c r="B524" s="35"/>
      <c r="C524" s="35"/>
      <c r="D524" s="35"/>
      <c r="E524" s="35"/>
      <c r="F524" s="36"/>
      <c r="G524" s="36"/>
      <c r="H524" s="37"/>
      <c r="I524" s="36"/>
      <c r="J524" s="36"/>
      <c r="K524" s="36"/>
      <c r="L524" s="35"/>
      <c r="N524" s="39"/>
      <c r="O524" s="39"/>
      <c r="P524" s="39"/>
      <c r="Q524" s="139" t="s">
        <v>67</v>
      </c>
      <c r="R524" s="41"/>
      <c r="S524" s="140">
        <f t="shared" ref="S524:AJ524" si="277">SUBTOTAL(9,S523:S523)</f>
        <v>0</v>
      </c>
      <c r="T524" s="140">
        <f t="shared" ref="T524" si="278">SUBTOTAL(9,T523:T523)</f>
        <v>0</v>
      </c>
      <c r="U524" s="140">
        <f t="shared" si="277"/>
        <v>0</v>
      </c>
      <c r="V524" s="140">
        <f t="shared" si="277"/>
        <v>0</v>
      </c>
      <c r="W524" s="140">
        <f t="shared" si="277"/>
        <v>0</v>
      </c>
      <c r="X524" s="140">
        <f t="shared" si="277"/>
        <v>0</v>
      </c>
      <c r="Y524" s="140">
        <f t="shared" si="277"/>
        <v>0</v>
      </c>
      <c r="Z524" s="140">
        <f t="shared" si="277"/>
        <v>0</v>
      </c>
      <c r="AA524" s="140">
        <f t="shared" si="277"/>
        <v>0</v>
      </c>
      <c r="AB524" s="140">
        <f t="shared" si="277"/>
        <v>0</v>
      </c>
      <c r="AC524" s="140">
        <f t="shared" si="277"/>
        <v>0</v>
      </c>
      <c r="AD524" s="140">
        <f t="shared" si="277"/>
        <v>0</v>
      </c>
      <c r="AE524" s="140">
        <f t="shared" si="277"/>
        <v>0</v>
      </c>
      <c r="AF524" s="140">
        <f t="shared" si="277"/>
        <v>0</v>
      </c>
      <c r="AG524" s="140">
        <f t="shared" si="277"/>
        <v>0</v>
      </c>
      <c r="AH524" s="140">
        <v>0</v>
      </c>
      <c r="AI524" s="140">
        <f t="shared" si="277"/>
        <v>0</v>
      </c>
      <c r="AJ524" s="140">
        <f t="shared" si="277"/>
        <v>0</v>
      </c>
      <c r="AK524" s="796"/>
      <c r="AL524" s="796"/>
      <c r="AM524" s="796"/>
      <c r="AN524" s="799"/>
    </row>
    <row r="525" spans="1:42" s="38" customFormat="1" ht="25.5" hidden="1" customHeight="1" outlineLevel="1">
      <c r="A525" s="35"/>
      <c r="B525" s="35"/>
      <c r="C525" s="35"/>
      <c r="D525" s="35"/>
      <c r="E525" s="35"/>
      <c r="F525" s="36"/>
      <c r="G525" s="36"/>
      <c r="H525" s="37"/>
      <c r="I525" s="36"/>
      <c r="J525" s="36"/>
      <c r="K525" s="36"/>
      <c r="L525" s="35"/>
      <c r="N525" s="39"/>
      <c r="O525" s="39"/>
      <c r="P525" s="39"/>
      <c r="Q525" s="46"/>
      <c r="R525" s="116"/>
      <c r="S525" s="47"/>
      <c r="T525" s="47"/>
      <c r="U525" s="47"/>
      <c r="V525" s="47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47"/>
      <c r="AJ525" s="47"/>
      <c r="AK525" s="796"/>
      <c r="AL525" s="796"/>
      <c r="AM525" s="796"/>
      <c r="AN525" s="799"/>
    </row>
    <row r="526" spans="1:42" s="33" customFormat="1" ht="25.5" hidden="1" customHeight="1" outlineLevel="2">
      <c r="A526" s="35"/>
      <c r="B526" s="35"/>
      <c r="C526" s="35"/>
      <c r="D526" s="35"/>
      <c r="E526" s="35"/>
      <c r="F526" s="36"/>
      <c r="G526" s="36"/>
      <c r="H526" s="37"/>
      <c r="I526" s="36"/>
      <c r="J526" s="36"/>
      <c r="K526" s="36"/>
      <c r="L526" s="35"/>
      <c r="M526" s="38"/>
      <c r="N526" s="39"/>
      <c r="O526" s="39"/>
      <c r="P526" s="39"/>
      <c r="Q526" s="17" t="s">
        <v>68</v>
      </c>
      <c r="R526" s="116"/>
      <c r="S526" s="47"/>
      <c r="T526" s="47"/>
      <c r="U526" s="47"/>
      <c r="V526" s="47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47"/>
      <c r="AJ526" s="47"/>
      <c r="AK526" s="796"/>
      <c r="AL526" s="796"/>
      <c r="AM526" s="796"/>
      <c r="AN526" s="799"/>
    </row>
    <row r="527" spans="1:42" s="18" customFormat="1" ht="25.5" hidden="1" customHeight="1" outlineLevel="1">
      <c r="A527" s="66"/>
      <c r="B527" s="66">
        <v>31</v>
      </c>
      <c r="C527" s="66"/>
      <c r="D527" s="66" t="s">
        <v>33</v>
      </c>
      <c r="E527" s="66" t="s">
        <v>69</v>
      </c>
      <c r="F527" s="66" t="s">
        <v>35</v>
      </c>
      <c r="G527" s="67" t="s">
        <v>49</v>
      </c>
      <c r="H527" s="68" t="s">
        <v>50</v>
      </c>
      <c r="I527" s="66" t="s">
        <v>299</v>
      </c>
      <c r="J527" s="66" t="s">
        <v>370</v>
      </c>
      <c r="K527" s="69">
        <v>26</v>
      </c>
      <c r="L527" s="66" t="s">
        <v>46</v>
      </c>
      <c r="M527" s="70" t="s">
        <v>40</v>
      </c>
      <c r="N527" s="68">
        <v>30069919</v>
      </c>
      <c r="O527" s="68" t="s">
        <v>757</v>
      </c>
      <c r="P527" s="68"/>
      <c r="Q527" s="70" t="s">
        <v>376</v>
      </c>
      <c r="R527" s="203"/>
      <c r="S527" s="71">
        <v>835261000</v>
      </c>
      <c r="T527" s="72">
        <v>34373680</v>
      </c>
      <c r="U527" s="72">
        <v>100000000</v>
      </c>
      <c r="V527" s="296">
        <f t="shared" si="273"/>
        <v>0</v>
      </c>
      <c r="W527" s="79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28">
        <v>0</v>
      </c>
      <c r="AI527" s="72">
        <f t="shared" si="274"/>
        <v>100000000</v>
      </c>
      <c r="AJ527" s="72">
        <f t="shared" ref="AJ527:AJ532" si="279">+S527-T527-V527-AI527</f>
        <v>700887320</v>
      </c>
      <c r="AK527" s="796" t="s">
        <v>43</v>
      </c>
      <c r="AL527" s="796" t="s">
        <v>104</v>
      </c>
      <c r="AM527" s="796"/>
      <c r="AN527" s="799"/>
    </row>
    <row r="528" spans="1:42" s="18" customFormat="1" ht="25.5" customHeight="1" outlineLevel="1">
      <c r="A528" s="66"/>
      <c r="B528" s="801">
        <v>31</v>
      </c>
      <c r="C528" s="730"/>
      <c r="D528" s="66" t="s">
        <v>33</v>
      </c>
      <c r="E528" s="801" t="s">
        <v>69</v>
      </c>
      <c r="F528" s="730" t="s">
        <v>35</v>
      </c>
      <c r="G528" s="67" t="s">
        <v>158</v>
      </c>
      <c r="H528" s="68" t="s">
        <v>72</v>
      </c>
      <c r="I528" s="801" t="s">
        <v>299</v>
      </c>
      <c r="J528" s="801" t="s">
        <v>370</v>
      </c>
      <c r="K528" s="69">
        <v>26</v>
      </c>
      <c r="L528" s="66" t="s">
        <v>46</v>
      </c>
      <c r="M528" s="802" t="s">
        <v>40</v>
      </c>
      <c r="N528" s="803">
        <v>40009684</v>
      </c>
      <c r="O528" s="771" t="s">
        <v>757</v>
      </c>
      <c r="P528" s="68"/>
      <c r="Q528" s="802" t="s">
        <v>377</v>
      </c>
      <c r="R528" s="24"/>
      <c r="S528" s="804">
        <v>508302000</v>
      </c>
      <c r="T528" s="805">
        <v>0</v>
      </c>
      <c r="U528" s="805">
        <v>50000000</v>
      </c>
      <c r="V528" s="805">
        <f t="shared" si="273"/>
        <v>0</v>
      </c>
      <c r="W528" s="29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>
        <v>0</v>
      </c>
      <c r="AI528" s="805">
        <f t="shared" si="274"/>
        <v>50000000</v>
      </c>
      <c r="AJ528" s="805">
        <f t="shared" si="279"/>
        <v>458302000</v>
      </c>
      <c r="AK528" s="806" t="s">
        <v>43</v>
      </c>
      <c r="AL528" s="806" t="s">
        <v>759</v>
      </c>
      <c r="AM528" s="806" t="str">
        <f t="shared" ref="AM528:AM529" si="280">HYPERLINK(CONCATENATE("DOCUMENTOS\ACTA-",N528,".PDF"))</f>
        <v>DOCUMENTOS\ACTA-40009684.PDF</v>
      </c>
      <c r="AN528" s="807"/>
      <c r="AO528" s="33" t="e">
        <f>VLOOKUP(N528,'CONVENIOS 2021'!A$1:A$53,1,FALSE)</f>
        <v>#N/A</v>
      </c>
      <c r="AP528" s="33" t="e">
        <f>VLOOKUP(N528,'CONVENIOS 2020'!A$2:A$72,1,FALSE)</f>
        <v>#N/A</v>
      </c>
    </row>
    <row r="529" spans="1:42" s="18" customFormat="1" ht="25.5" customHeight="1" outlineLevel="1">
      <c r="A529" s="66"/>
      <c r="B529" s="801">
        <v>31</v>
      </c>
      <c r="C529" s="730"/>
      <c r="D529" s="66" t="s">
        <v>33</v>
      </c>
      <c r="E529" s="801" t="s">
        <v>69</v>
      </c>
      <c r="F529" s="735" t="s">
        <v>84</v>
      </c>
      <c r="G529" s="167" t="s">
        <v>158</v>
      </c>
      <c r="H529" s="68" t="s">
        <v>72</v>
      </c>
      <c r="I529" s="801" t="s">
        <v>299</v>
      </c>
      <c r="J529" s="801" t="s">
        <v>370</v>
      </c>
      <c r="K529" s="168">
        <v>26</v>
      </c>
      <c r="L529" s="66" t="s">
        <v>46</v>
      </c>
      <c r="M529" s="802" t="s">
        <v>56</v>
      </c>
      <c r="N529" s="803">
        <v>40000178</v>
      </c>
      <c r="O529" s="771" t="s">
        <v>757</v>
      </c>
      <c r="P529" s="68"/>
      <c r="Q529" s="802" t="s">
        <v>378</v>
      </c>
      <c r="R529" s="118"/>
      <c r="S529" s="804">
        <v>46350000</v>
      </c>
      <c r="T529" s="805">
        <v>0</v>
      </c>
      <c r="U529" s="805">
        <v>2317500</v>
      </c>
      <c r="V529" s="805">
        <f t="shared" si="273"/>
        <v>0</v>
      </c>
      <c r="W529" s="119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28">
        <v>0</v>
      </c>
      <c r="AI529" s="805">
        <f t="shared" si="274"/>
        <v>2317500</v>
      </c>
      <c r="AJ529" s="805">
        <f t="shared" si="279"/>
        <v>44032500</v>
      </c>
      <c r="AK529" s="806" t="s">
        <v>43</v>
      </c>
      <c r="AL529" s="806" t="s">
        <v>759</v>
      </c>
      <c r="AM529" s="806" t="str">
        <f t="shared" si="280"/>
        <v>DOCUMENTOS\ACTA-40000178.PDF</v>
      </c>
      <c r="AN529" s="807"/>
      <c r="AO529" s="33" t="e">
        <f>VLOOKUP(N529,'CONVENIOS 2021'!A$1:A$53,1,FALSE)</f>
        <v>#N/A</v>
      </c>
      <c r="AP529" s="33" t="e">
        <f>VLOOKUP(N529,'CONVENIOS 2020'!A$2:A$72,1,FALSE)</f>
        <v>#N/A</v>
      </c>
    </row>
    <row r="530" spans="1:42" s="38" customFormat="1" ht="25.5" hidden="1" customHeight="1" outlineLevel="1">
      <c r="A530" s="66"/>
      <c r="B530" s="180">
        <v>29</v>
      </c>
      <c r="C530" s="66"/>
      <c r="D530" s="66" t="s">
        <v>92</v>
      </c>
      <c r="E530" s="180" t="s">
        <v>69</v>
      </c>
      <c r="F530" s="66"/>
      <c r="G530" s="66"/>
      <c r="H530" s="68" t="s">
        <v>61</v>
      </c>
      <c r="I530" s="180" t="s">
        <v>299</v>
      </c>
      <c r="J530" s="180" t="s">
        <v>370</v>
      </c>
      <c r="K530" s="168">
        <v>26</v>
      </c>
      <c r="L530" s="66" t="s">
        <v>131</v>
      </c>
      <c r="M530" s="184" t="s">
        <v>40</v>
      </c>
      <c r="N530" s="182">
        <v>40018680</v>
      </c>
      <c r="O530" s="68"/>
      <c r="P530" s="68"/>
      <c r="Q530" s="184" t="s">
        <v>379</v>
      </c>
      <c r="R530" s="25"/>
      <c r="S530" s="188">
        <v>583695000</v>
      </c>
      <c r="T530" s="189">
        <v>0</v>
      </c>
      <c r="U530" s="188">
        <v>583695000</v>
      </c>
      <c r="V530" s="300">
        <f t="shared" si="273"/>
        <v>0</v>
      </c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>
        <v>0</v>
      </c>
      <c r="AI530" s="189">
        <f t="shared" si="274"/>
        <v>583695000</v>
      </c>
      <c r="AJ530" s="189">
        <f t="shared" si="279"/>
        <v>0</v>
      </c>
      <c r="AK530" s="796" t="s">
        <v>48</v>
      </c>
      <c r="AL530" s="796"/>
      <c r="AM530" s="796"/>
      <c r="AN530" s="799"/>
    </row>
    <row r="531" spans="1:42" s="38" customFormat="1" ht="25.5" hidden="1" customHeight="1" outlineLevel="1">
      <c r="A531" s="66"/>
      <c r="B531" s="66">
        <v>29</v>
      </c>
      <c r="C531" s="66"/>
      <c r="D531" s="66" t="s">
        <v>92</v>
      </c>
      <c r="E531" s="66" t="s">
        <v>69</v>
      </c>
      <c r="F531" s="66"/>
      <c r="G531" s="67"/>
      <c r="H531" s="68" t="s">
        <v>61</v>
      </c>
      <c r="I531" s="66" t="s">
        <v>299</v>
      </c>
      <c r="J531" s="66" t="s">
        <v>370</v>
      </c>
      <c r="K531" s="168">
        <v>26</v>
      </c>
      <c r="L531" s="66" t="s">
        <v>46</v>
      </c>
      <c r="M531" s="70" t="s">
        <v>40</v>
      </c>
      <c r="N531" s="68">
        <v>40008188</v>
      </c>
      <c r="O531" s="68"/>
      <c r="P531" s="68"/>
      <c r="Q531" s="70" t="s">
        <v>380</v>
      </c>
      <c r="R531" s="24"/>
      <c r="S531" s="71">
        <v>187309000</v>
      </c>
      <c r="T531" s="72">
        <v>0</v>
      </c>
      <c r="U531" s="71">
        <v>187309000</v>
      </c>
      <c r="V531" s="296">
        <f t="shared" si="273"/>
        <v>0</v>
      </c>
      <c r="W531" s="29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>
        <v>0</v>
      </c>
      <c r="AI531" s="72">
        <f t="shared" si="274"/>
        <v>187309000</v>
      </c>
      <c r="AJ531" s="72">
        <f t="shared" si="279"/>
        <v>0</v>
      </c>
      <c r="AK531" s="796" t="s">
        <v>48</v>
      </c>
      <c r="AL531" s="796"/>
      <c r="AM531" s="796"/>
      <c r="AN531" s="799"/>
    </row>
    <row r="532" spans="1:42" s="18" customFormat="1" ht="25.5" hidden="1" customHeight="1" outlineLevel="1">
      <c r="A532" s="66"/>
      <c r="B532" s="66">
        <v>33</v>
      </c>
      <c r="C532" s="66"/>
      <c r="D532" s="66" t="s">
        <v>76</v>
      </c>
      <c r="E532" s="66" t="s">
        <v>69</v>
      </c>
      <c r="F532" s="66" t="s">
        <v>35</v>
      </c>
      <c r="G532" s="67" t="s">
        <v>49</v>
      </c>
      <c r="H532" s="68" t="s">
        <v>61</v>
      </c>
      <c r="I532" s="66" t="s">
        <v>299</v>
      </c>
      <c r="J532" s="66" t="s">
        <v>370</v>
      </c>
      <c r="K532" s="168">
        <v>26</v>
      </c>
      <c r="L532" s="66" t="s">
        <v>76</v>
      </c>
      <c r="M532" s="70" t="s">
        <v>40</v>
      </c>
      <c r="N532" s="68" t="s">
        <v>76</v>
      </c>
      <c r="O532" s="68"/>
      <c r="P532" s="68"/>
      <c r="Q532" s="70" t="s">
        <v>77</v>
      </c>
      <c r="R532" s="141"/>
      <c r="S532" s="188">
        <v>200000000</v>
      </c>
      <c r="T532" s="72">
        <v>0</v>
      </c>
      <c r="U532" s="189">
        <v>200000000</v>
      </c>
      <c r="V532" s="296">
        <f t="shared" si="273"/>
        <v>0</v>
      </c>
      <c r="W532" s="144"/>
      <c r="X532" s="143"/>
      <c r="Y532" s="143"/>
      <c r="Z532" s="143"/>
      <c r="AA532" s="143"/>
      <c r="AB532" s="28"/>
      <c r="AC532" s="143"/>
      <c r="AD532" s="143"/>
      <c r="AE532" s="143"/>
      <c r="AF532" s="143"/>
      <c r="AG532" s="28"/>
      <c r="AH532" s="72"/>
      <c r="AI532" s="72">
        <f t="shared" si="274"/>
        <v>200000000</v>
      </c>
      <c r="AJ532" s="72">
        <f t="shared" si="279"/>
        <v>0</v>
      </c>
      <c r="AK532" s="796" t="s">
        <v>78</v>
      </c>
      <c r="AL532" s="796"/>
      <c r="AM532" s="796"/>
      <c r="AN532" s="799"/>
    </row>
    <row r="533" spans="1:42" s="38" customFormat="1" ht="25.5" hidden="1" customHeight="1" outlineLevel="1">
      <c r="A533" s="35"/>
      <c r="B533" s="35"/>
      <c r="C533" s="35"/>
      <c r="D533" s="35"/>
      <c r="E533" s="35"/>
      <c r="F533" s="36"/>
      <c r="G533" s="36"/>
      <c r="H533" s="37"/>
      <c r="I533" s="36"/>
      <c r="J533" s="36"/>
      <c r="K533" s="36"/>
      <c r="L533" s="35"/>
      <c r="N533" s="39"/>
      <c r="O533" s="39"/>
      <c r="P533" s="39"/>
      <c r="Q533" s="134" t="s">
        <v>80</v>
      </c>
      <c r="R533" s="116"/>
      <c r="S533" s="110">
        <f t="shared" ref="S533:AJ533" si="281">SUBTOTAL(9,S527:S532)</f>
        <v>554652000</v>
      </c>
      <c r="T533" s="110">
        <f t="shared" ref="T533" si="282">SUBTOTAL(9,T527:T532)</f>
        <v>0</v>
      </c>
      <c r="U533" s="110">
        <f t="shared" si="281"/>
        <v>52317500</v>
      </c>
      <c r="V533" s="110">
        <f t="shared" si="281"/>
        <v>0</v>
      </c>
      <c r="W533" s="110">
        <f t="shared" si="281"/>
        <v>0</v>
      </c>
      <c r="X533" s="110">
        <f t="shared" si="281"/>
        <v>0</v>
      </c>
      <c r="Y533" s="110">
        <f t="shared" si="281"/>
        <v>0</v>
      </c>
      <c r="Z533" s="110">
        <f t="shared" si="281"/>
        <v>0</v>
      </c>
      <c r="AA533" s="110">
        <f t="shared" si="281"/>
        <v>0</v>
      </c>
      <c r="AB533" s="110">
        <f t="shared" si="281"/>
        <v>0</v>
      </c>
      <c r="AC533" s="110">
        <f t="shared" si="281"/>
        <v>0</v>
      </c>
      <c r="AD533" s="110">
        <f t="shared" si="281"/>
        <v>0</v>
      </c>
      <c r="AE533" s="110">
        <f t="shared" si="281"/>
        <v>0</v>
      </c>
      <c r="AF533" s="110">
        <f t="shared" si="281"/>
        <v>0</v>
      </c>
      <c r="AG533" s="110">
        <f t="shared" si="281"/>
        <v>0</v>
      </c>
      <c r="AH533" s="110">
        <v>0</v>
      </c>
      <c r="AI533" s="110">
        <f t="shared" si="281"/>
        <v>52317500</v>
      </c>
      <c r="AJ533" s="110">
        <f t="shared" si="281"/>
        <v>502334500</v>
      </c>
      <c r="AK533" s="796"/>
      <c r="AL533" s="796"/>
      <c r="AM533" s="796"/>
      <c r="AN533" s="799"/>
    </row>
    <row r="534" spans="1:42" s="90" customFormat="1" ht="24.75" hidden="1" customHeight="1" outlineLevel="1">
      <c r="A534" s="35"/>
      <c r="B534" s="35"/>
      <c r="C534" s="35"/>
      <c r="D534" s="35"/>
      <c r="E534" s="35"/>
      <c r="F534" s="36"/>
      <c r="G534" s="36"/>
      <c r="H534" s="37"/>
      <c r="I534" s="36"/>
      <c r="J534" s="36"/>
      <c r="K534" s="36"/>
      <c r="L534" s="35"/>
      <c r="M534" s="38"/>
      <c r="N534" s="39"/>
      <c r="O534" s="39"/>
      <c r="P534" s="39"/>
      <c r="Q534" s="46"/>
      <c r="R534" s="116"/>
      <c r="S534" s="47"/>
      <c r="T534" s="47"/>
      <c r="U534" s="47"/>
      <c r="V534" s="47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47"/>
      <c r="AJ534" s="47"/>
      <c r="AK534" s="796"/>
      <c r="AL534" s="796"/>
      <c r="AM534" s="796"/>
      <c r="AN534" s="799"/>
    </row>
    <row r="535" spans="1:42" s="84" customFormat="1" ht="24.75" hidden="1" customHeight="1" outlineLevel="1">
      <c r="A535" s="36"/>
      <c r="B535" s="82"/>
      <c r="C535" s="82"/>
      <c r="D535" s="36"/>
      <c r="E535" s="36"/>
      <c r="F535" s="36"/>
      <c r="G535" s="36"/>
      <c r="H535" s="37"/>
      <c r="I535" s="36"/>
      <c r="J535" s="36"/>
      <c r="K535" s="36"/>
      <c r="L535" s="82"/>
      <c r="N535" s="83"/>
      <c r="O535" s="39"/>
      <c r="P535" s="39"/>
      <c r="Q535" s="85" t="s">
        <v>381</v>
      </c>
      <c r="R535" s="111"/>
      <c r="S535" s="88">
        <f t="shared" ref="S535:AJ535" si="283">S520+S524+S533</f>
        <v>554652000</v>
      </c>
      <c r="T535" s="88">
        <f t="shared" ref="T535" si="284">T520+T524+T533</f>
        <v>0</v>
      </c>
      <c r="U535" s="88">
        <f t="shared" si="283"/>
        <v>52317500</v>
      </c>
      <c r="V535" s="88">
        <f t="shared" si="283"/>
        <v>0</v>
      </c>
      <c r="W535" s="88">
        <f t="shared" si="283"/>
        <v>0</v>
      </c>
      <c r="X535" s="88">
        <f t="shared" si="283"/>
        <v>0</v>
      </c>
      <c r="Y535" s="88">
        <f t="shared" si="283"/>
        <v>0</v>
      </c>
      <c r="Z535" s="88">
        <f t="shared" si="283"/>
        <v>0</v>
      </c>
      <c r="AA535" s="88">
        <f t="shared" si="283"/>
        <v>0</v>
      </c>
      <c r="AB535" s="88">
        <f t="shared" si="283"/>
        <v>0</v>
      </c>
      <c r="AC535" s="88">
        <f t="shared" si="283"/>
        <v>0</v>
      </c>
      <c r="AD535" s="88">
        <f t="shared" si="283"/>
        <v>0</v>
      </c>
      <c r="AE535" s="88">
        <f t="shared" si="283"/>
        <v>0</v>
      </c>
      <c r="AF535" s="88">
        <f t="shared" si="283"/>
        <v>0</v>
      </c>
      <c r="AG535" s="88">
        <f t="shared" si="283"/>
        <v>0</v>
      </c>
      <c r="AH535" s="88">
        <v>62039496</v>
      </c>
      <c r="AI535" s="88">
        <f t="shared" si="283"/>
        <v>52317500</v>
      </c>
      <c r="AJ535" s="88">
        <f t="shared" si="283"/>
        <v>502334500</v>
      </c>
      <c r="AK535" s="796"/>
      <c r="AL535" s="796"/>
      <c r="AM535" s="796"/>
      <c r="AN535" s="799"/>
    </row>
    <row r="536" spans="1:42" s="84" customFormat="1" ht="24.75" hidden="1" customHeight="1" outlineLevel="1">
      <c r="A536" s="36"/>
      <c r="B536" s="82"/>
      <c r="C536" s="82"/>
      <c r="D536" s="36"/>
      <c r="E536" s="36"/>
      <c r="F536" s="36"/>
      <c r="G536" s="36"/>
      <c r="H536" s="37"/>
      <c r="I536" s="36"/>
      <c r="J536" s="36"/>
      <c r="K536" s="36"/>
      <c r="L536" s="82"/>
      <c r="N536" s="83"/>
      <c r="O536" s="39"/>
      <c r="P536" s="39"/>
      <c r="Q536" s="91"/>
      <c r="R536" s="87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796"/>
      <c r="AL536" s="796"/>
      <c r="AM536" s="796"/>
      <c r="AN536" s="799"/>
    </row>
    <row r="537" spans="1:42" s="18" customFormat="1" ht="25.5" hidden="1" customHeight="1" outlineLevel="1">
      <c r="A537" s="36"/>
      <c r="B537" s="36"/>
      <c r="C537" s="36"/>
      <c r="D537" s="36"/>
      <c r="E537" s="36"/>
      <c r="F537" s="36"/>
      <c r="G537" s="36"/>
      <c r="H537" s="37"/>
      <c r="I537" s="36"/>
      <c r="J537" s="36"/>
      <c r="K537" s="36"/>
      <c r="L537" s="36"/>
      <c r="M537" s="95"/>
      <c r="N537" s="37"/>
      <c r="O537" s="39"/>
      <c r="P537" s="39"/>
      <c r="Q537" s="96" t="s">
        <v>382</v>
      </c>
      <c r="R537" s="50"/>
      <c r="S537" s="97"/>
      <c r="T537" s="97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796"/>
      <c r="AL537" s="796"/>
      <c r="AM537" s="796"/>
      <c r="AN537" s="799"/>
    </row>
    <row r="538" spans="1:42" s="33" customFormat="1" ht="25.5" hidden="1" customHeight="1" outlineLevel="2">
      <c r="A538" s="35"/>
      <c r="B538" s="35"/>
      <c r="C538" s="35"/>
      <c r="D538" s="35"/>
      <c r="E538" s="35"/>
      <c r="F538" s="36"/>
      <c r="G538" s="36"/>
      <c r="H538" s="37"/>
      <c r="I538" s="36"/>
      <c r="J538" s="36"/>
      <c r="K538" s="36"/>
      <c r="L538" s="35"/>
      <c r="M538" s="38"/>
      <c r="N538" s="39"/>
      <c r="O538" s="39"/>
      <c r="P538" s="39"/>
      <c r="Q538" s="17" t="s">
        <v>32</v>
      </c>
      <c r="R538" s="50"/>
      <c r="S538" s="51"/>
      <c r="T538" s="51"/>
      <c r="U538" s="52"/>
      <c r="V538" s="52"/>
      <c r="W538" s="52"/>
      <c r="X538" s="52"/>
      <c r="Y538" s="52"/>
      <c r="Z538" s="53"/>
      <c r="AA538" s="53"/>
      <c r="AB538" s="53"/>
      <c r="AC538" s="53"/>
      <c r="AD538" s="53"/>
      <c r="AE538" s="53"/>
      <c r="AF538" s="53"/>
      <c r="AG538" s="53"/>
      <c r="AH538" s="53"/>
      <c r="AI538" s="52"/>
      <c r="AJ538" s="52"/>
      <c r="AK538" s="796"/>
      <c r="AL538" s="796"/>
      <c r="AM538" s="796"/>
      <c r="AN538" s="799"/>
    </row>
    <row r="539" spans="1:42" s="33" customFormat="1" ht="25.5" hidden="1" customHeight="1" outlineLevel="2">
      <c r="A539" s="19"/>
      <c r="B539" s="19">
        <v>31</v>
      </c>
      <c r="C539" s="19"/>
      <c r="D539" s="19" t="s">
        <v>33</v>
      </c>
      <c r="E539" s="19" t="s">
        <v>34</v>
      </c>
      <c r="F539" s="19" t="s">
        <v>84</v>
      </c>
      <c r="G539" s="20" t="s">
        <v>36</v>
      </c>
      <c r="H539" s="21" t="s">
        <v>37</v>
      </c>
      <c r="I539" s="19" t="s">
        <v>299</v>
      </c>
      <c r="J539" s="19" t="s">
        <v>383</v>
      </c>
      <c r="K539" s="22">
        <v>27</v>
      </c>
      <c r="L539" s="19" t="s">
        <v>46</v>
      </c>
      <c r="M539" s="23" t="s">
        <v>40</v>
      </c>
      <c r="N539" s="187">
        <v>30430173</v>
      </c>
      <c r="O539" s="187" t="s">
        <v>757</v>
      </c>
      <c r="P539" s="187"/>
      <c r="Q539" s="23" t="s">
        <v>384</v>
      </c>
      <c r="R539" s="24"/>
      <c r="S539" s="26">
        <v>547411000</v>
      </c>
      <c r="T539" s="30">
        <v>253005532</v>
      </c>
      <c r="U539" s="30">
        <v>168627982</v>
      </c>
      <c r="V539" s="285">
        <f t="shared" si="273"/>
        <v>0</v>
      </c>
      <c r="W539" s="29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>
        <v>0</v>
      </c>
      <c r="AI539" s="30">
        <f t="shared" si="274"/>
        <v>168627982</v>
      </c>
      <c r="AJ539" s="30">
        <f>+S539-T539-V539-AI539</f>
        <v>125777486</v>
      </c>
      <c r="AK539" s="796" t="s">
        <v>48</v>
      </c>
      <c r="AL539" s="796" t="s">
        <v>44</v>
      </c>
      <c r="AM539" s="796"/>
      <c r="AN539" s="799"/>
    </row>
    <row r="540" spans="1:42" s="33" customFormat="1" ht="25.5" hidden="1" customHeight="1" outlineLevel="2">
      <c r="A540" s="19"/>
      <c r="B540" s="19">
        <v>31</v>
      </c>
      <c r="C540" s="19"/>
      <c r="D540" s="19" t="s">
        <v>33</v>
      </c>
      <c r="E540" s="19" t="s">
        <v>34</v>
      </c>
      <c r="F540" s="19" t="s">
        <v>84</v>
      </c>
      <c r="G540" s="20" t="s">
        <v>36</v>
      </c>
      <c r="H540" s="21" t="s">
        <v>37</v>
      </c>
      <c r="I540" s="19" t="s">
        <v>299</v>
      </c>
      <c r="J540" s="19" t="s">
        <v>383</v>
      </c>
      <c r="K540" s="22">
        <v>27</v>
      </c>
      <c r="L540" s="19" t="s">
        <v>46</v>
      </c>
      <c r="M540" s="23" t="s">
        <v>40</v>
      </c>
      <c r="N540" s="21">
        <v>30396026</v>
      </c>
      <c r="O540" s="21" t="s">
        <v>757</v>
      </c>
      <c r="P540" s="21"/>
      <c r="Q540" s="23" t="s">
        <v>385</v>
      </c>
      <c r="R540" s="24"/>
      <c r="S540" s="26">
        <v>477979805</v>
      </c>
      <c r="T540" s="30">
        <v>358482829</v>
      </c>
      <c r="U540" s="30">
        <v>99496976</v>
      </c>
      <c r="V540" s="285">
        <f t="shared" si="273"/>
        <v>0</v>
      </c>
      <c r="W540" s="29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>
        <v>0</v>
      </c>
      <c r="AI540" s="30">
        <f t="shared" si="274"/>
        <v>99496976</v>
      </c>
      <c r="AJ540" s="30">
        <f>+S540-T540-V540-AI540</f>
        <v>20000000</v>
      </c>
      <c r="AK540" s="796" t="s">
        <v>48</v>
      </c>
      <c r="AL540" s="796" t="s">
        <v>83</v>
      </c>
      <c r="AM540" s="796"/>
      <c r="AN540" s="799"/>
    </row>
    <row r="541" spans="1:42" s="18" customFormat="1" ht="25.5" hidden="1" customHeight="1" outlineLevel="1">
      <c r="A541" s="19"/>
      <c r="B541" s="19">
        <v>31</v>
      </c>
      <c r="C541" s="19"/>
      <c r="D541" s="19" t="s">
        <v>33</v>
      </c>
      <c r="E541" s="19" t="s">
        <v>34</v>
      </c>
      <c r="F541" s="19" t="s">
        <v>84</v>
      </c>
      <c r="G541" s="20" t="s">
        <v>36</v>
      </c>
      <c r="H541" s="21" t="s">
        <v>37</v>
      </c>
      <c r="I541" s="19" t="s">
        <v>299</v>
      </c>
      <c r="J541" s="19" t="s">
        <v>383</v>
      </c>
      <c r="K541" s="22">
        <v>27</v>
      </c>
      <c r="L541" s="19" t="s">
        <v>348</v>
      </c>
      <c r="M541" s="23" t="s">
        <v>40</v>
      </c>
      <c r="N541" s="187">
        <v>40005537</v>
      </c>
      <c r="O541" s="187" t="s">
        <v>756</v>
      </c>
      <c r="P541" s="187"/>
      <c r="Q541" s="23" t="s">
        <v>386</v>
      </c>
      <c r="R541" s="24"/>
      <c r="S541" s="26">
        <v>499000000</v>
      </c>
      <c r="T541" s="30">
        <v>124500000</v>
      </c>
      <c r="U541" s="30">
        <v>31243092</v>
      </c>
      <c r="V541" s="285">
        <f t="shared" si="273"/>
        <v>0</v>
      </c>
      <c r="W541" s="29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>
        <v>0</v>
      </c>
      <c r="AI541" s="30">
        <f t="shared" si="274"/>
        <v>31243092</v>
      </c>
      <c r="AJ541" s="30">
        <f>+S541-T541-V541-AI541</f>
        <v>343256908</v>
      </c>
      <c r="AK541" s="796" t="s">
        <v>48</v>
      </c>
      <c r="AL541" s="796" t="s">
        <v>44</v>
      </c>
      <c r="AM541" s="796"/>
      <c r="AN541" s="799"/>
    </row>
    <row r="542" spans="1:42" s="33" customFormat="1" ht="25.5" hidden="1" customHeight="1" outlineLevel="2">
      <c r="A542" s="19"/>
      <c r="B542" s="19">
        <v>31</v>
      </c>
      <c r="C542" s="19"/>
      <c r="D542" s="19" t="s">
        <v>33</v>
      </c>
      <c r="E542" s="19" t="s">
        <v>34</v>
      </c>
      <c r="F542" s="19"/>
      <c r="G542" s="20"/>
      <c r="H542" s="21" t="s">
        <v>53</v>
      </c>
      <c r="I542" s="19" t="s">
        <v>299</v>
      </c>
      <c r="J542" s="19" t="s">
        <v>383</v>
      </c>
      <c r="K542" s="22">
        <v>27</v>
      </c>
      <c r="L542" s="19" t="s">
        <v>46</v>
      </c>
      <c r="M542" s="23" t="s">
        <v>40</v>
      </c>
      <c r="N542" s="187">
        <v>30133125</v>
      </c>
      <c r="O542" s="21"/>
      <c r="P542" s="21"/>
      <c r="Q542" s="23" t="s">
        <v>387</v>
      </c>
      <c r="R542" s="151"/>
      <c r="S542" s="26">
        <v>1386058000</v>
      </c>
      <c r="T542" s="30">
        <v>1224005772</v>
      </c>
      <c r="U542" s="30">
        <v>0</v>
      </c>
      <c r="V542" s="285">
        <f t="shared" si="273"/>
        <v>0</v>
      </c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28">
        <v>0</v>
      </c>
      <c r="AI542" s="30">
        <f t="shared" si="274"/>
        <v>0</v>
      </c>
      <c r="AJ542" s="30">
        <f>+S542-T542-V542-AI542</f>
        <v>162052228</v>
      </c>
      <c r="AK542" s="796" t="s">
        <v>43</v>
      </c>
      <c r="AL542" s="796" t="s">
        <v>75</v>
      </c>
      <c r="AM542" s="796"/>
      <c r="AN542" s="799"/>
    </row>
    <row r="543" spans="1:42" s="38" customFormat="1" ht="25.5" hidden="1" customHeight="1" outlineLevel="1">
      <c r="A543" s="35"/>
      <c r="B543" s="35"/>
      <c r="C543" s="35"/>
      <c r="D543" s="35"/>
      <c r="E543" s="35"/>
      <c r="F543" s="36"/>
      <c r="G543" s="36"/>
      <c r="H543" s="37"/>
      <c r="I543" s="36"/>
      <c r="J543" s="36"/>
      <c r="K543" s="36"/>
      <c r="L543" s="35"/>
      <c r="N543" s="39"/>
      <c r="O543" s="39"/>
      <c r="P543" s="39"/>
      <c r="Q543" s="132" t="s">
        <v>58</v>
      </c>
      <c r="R543" s="41"/>
      <c r="S543" s="133">
        <f t="shared" ref="S543:AJ543" si="285">SUBTOTAL(9,S539:S542)</f>
        <v>0</v>
      </c>
      <c r="T543" s="133">
        <f t="shared" ref="T543" si="286">SUBTOTAL(9,T539:T542)</f>
        <v>0</v>
      </c>
      <c r="U543" s="133">
        <f t="shared" si="285"/>
        <v>0</v>
      </c>
      <c r="V543" s="133">
        <f t="shared" si="285"/>
        <v>0</v>
      </c>
      <c r="W543" s="133">
        <f t="shared" si="285"/>
        <v>0</v>
      </c>
      <c r="X543" s="133">
        <f t="shared" si="285"/>
        <v>0</v>
      </c>
      <c r="Y543" s="133">
        <f t="shared" si="285"/>
        <v>0</v>
      </c>
      <c r="Z543" s="133">
        <f t="shared" si="285"/>
        <v>0</v>
      </c>
      <c r="AA543" s="133">
        <f t="shared" si="285"/>
        <v>0</v>
      </c>
      <c r="AB543" s="133">
        <f t="shared" si="285"/>
        <v>0</v>
      </c>
      <c r="AC543" s="133">
        <f t="shared" si="285"/>
        <v>0</v>
      </c>
      <c r="AD543" s="133">
        <f t="shared" si="285"/>
        <v>0</v>
      </c>
      <c r="AE543" s="133">
        <f t="shared" si="285"/>
        <v>0</v>
      </c>
      <c r="AF543" s="133">
        <f t="shared" si="285"/>
        <v>0</v>
      </c>
      <c r="AG543" s="133">
        <f t="shared" si="285"/>
        <v>0</v>
      </c>
      <c r="AH543" s="133">
        <v>0</v>
      </c>
      <c r="AI543" s="133">
        <f t="shared" si="285"/>
        <v>0</v>
      </c>
      <c r="AJ543" s="133">
        <f t="shared" si="285"/>
        <v>0</v>
      </c>
      <c r="AK543" s="796"/>
      <c r="AL543" s="796" t="s">
        <v>79</v>
      </c>
      <c r="AM543" s="796"/>
      <c r="AN543" s="799"/>
    </row>
    <row r="544" spans="1:42" s="18" customFormat="1" ht="25.5" hidden="1" customHeight="1" outlineLevel="1">
      <c r="A544" s="35"/>
      <c r="B544" s="35"/>
      <c r="C544" s="35"/>
      <c r="D544" s="35"/>
      <c r="E544" s="35"/>
      <c r="F544" s="36"/>
      <c r="G544" s="36"/>
      <c r="H544" s="37"/>
      <c r="I544" s="36"/>
      <c r="J544" s="36"/>
      <c r="K544" s="36"/>
      <c r="L544" s="35"/>
      <c r="M544" s="38"/>
      <c r="N544" s="39"/>
      <c r="O544" s="39"/>
      <c r="P544" s="39"/>
      <c r="Q544" s="46"/>
      <c r="R544" s="42"/>
      <c r="S544" s="47"/>
      <c r="T544" s="47"/>
      <c r="U544" s="47"/>
      <c r="V544" s="47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7"/>
      <c r="AJ544" s="47"/>
      <c r="AK544" s="796"/>
      <c r="AL544" s="796"/>
      <c r="AM544" s="796"/>
      <c r="AN544" s="799"/>
    </row>
    <row r="545" spans="1:42" s="18" customFormat="1" ht="25.5" hidden="1" customHeight="1" outlineLevel="1">
      <c r="A545" s="35"/>
      <c r="B545" s="35"/>
      <c r="C545" s="35"/>
      <c r="D545" s="35"/>
      <c r="E545" s="35"/>
      <c r="F545" s="36"/>
      <c r="G545" s="36"/>
      <c r="H545" s="37"/>
      <c r="I545" s="36"/>
      <c r="J545" s="36"/>
      <c r="K545" s="36"/>
      <c r="L545" s="35"/>
      <c r="M545" s="38"/>
      <c r="N545" s="39"/>
      <c r="O545" s="39"/>
      <c r="P545" s="39"/>
      <c r="Q545" s="17" t="s">
        <v>59</v>
      </c>
      <c r="R545" s="50"/>
      <c r="S545" s="51"/>
      <c r="T545" s="51"/>
      <c r="U545" s="52"/>
      <c r="V545" s="52"/>
      <c r="W545" s="52"/>
      <c r="X545" s="52"/>
      <c r="Y545" s="52"/>
      <c r="Z545" s="53"/>
      <c r="AA545" s="53"/>
      <c r="AB545" s="53"/>
      <c r="AC545" s="53"/>
      <c r="AD545" s="53"/>
      <c r="AE545" s="53"/>
      <c r="AF545" s="53"/>
      <c r="AG545" s="53"/>
      <c r="AH545" s="53"/>
      <c r="AI545" s="52"/>
      <c r="AJ545" s="52"/>
      <c r="AK545" s="796"/>
      <c r="AL545" s="796"/>
      <c r="AM545" s="796"/>
      <c r="AN545" s="799"/>
    </row>
    <row r="546" spans="1:42" s="18" customFormat="1" ht="25.5" customHeight="1" outlineLevel="1">
      <c r="A546" s="54" t="s">
        <v>133</v>
      </c>
      <c r="B546" s="801">
        <v>31</v>
      </c>
      <c r="C546" s="729"/>
      <c r="D546" s="54" t="s">
        <v>33</v>
      </c>
      <c r="E546" s="801" t="s">
        <v>60</v>
      </c>
      <c r="F546" s="729" t="s">
        <v>84</v>
      </c>
      <c r="G546" s="55" t="s">
        <v>49</v>
      </c>
      <c r="H546" s="56" t="s">
        <v>85</v>
      </c>
      <c r="I546" s="801" t="s">
        <v>299</v>
      </c>
      <c r="J546" s="801" t="s">
        <v>383</v>
      </c>
      <c r="K546" s="57">
        <v>27</v>
      </c>
      <c r="L546" s="54" t="s">
        <v>46</v>
      </c>
      <c r="M546" s="802" t="s">
        <v>40</v>
      </c>
      <c r="N546" s="812">
        <v>30071598</v>
      </c>
      <c r="O546" s="772"/>
      <c r="P546" s="196"/>
      <c r="Q546" s="802" t="s">
        <v>388</v>
      </c>
      <c r="R546" s="24"/>
      <c r="S546" s="804">
        <v>500494000</v>
      </c>
      <c r="T546" s="805">
        <v>0</v>
      </c>
      <c r="U546" s="805">
        <v>100000000</v>
      </c>
      <c r="V546" s="805">
        <f t="shared" si="273"/>
        <v>0</v>
      </c>
      <c r="W546" s="29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>
        <v>0</v>
      </c>
      <c r="AI546" s="805">
        <f t="shared" si="274"/>
        <v>100000000</v>
      </c>
      <c r="AJ546" s="805">
        <f>+S546-T546-V546-AI546</f>
        <v>400494000</v>
      </c>
      <c r="AK546" s="806" t="s">
        <v>43</v>
      </c>
      <c r="AL546" s="806" t="s">
        <v>759</v>
      </c>
      <c r="AM546" s="806" t="str">
        <f>HYPERLINK(CONCATENATE("DOCUMENTOS\ACTA-",N546,".PDF"))</f>
        <v>DOCUMENTOS\ACTA-30071598.PDF</v>
      </c>
      <c r="AN546" s="807"/>
      <c r="AO546" s="33" t="e">
        <f>VLOOKUP(N546,'CONVENIOS 2021'!A$1:A$53,1,FALSE)</f>
        <v>#N/A</v>
      </c>
      <c r="AP546" s="33" t="e">
        <f>VLOOKUP(N546,'CONVENIOS 2020'!A$2:A$72,1,FALSE)</f>
        <v>#N/A</v>
      </c>
    </row>
    <row r="547" spans="1:42" s="38" customFormat="1" ht="25.5" hidden="1" customHeight="1" outlineLevel="1">
      <c r="A547" s="35"/>
      <c r="B547" s="35"/>
      <c r="C547" s="35"/>
      <c r="D547" s="35"/>
      <c r="E547" s="35"/>
      <c r="F547" s="36"/>
      <c r="G547" s="36"/>
      <c r="H547" s="37"/>
      <c r="I547" s="36"/>
      <c r="J547" s="36"/>
      <c r="K547" s="36"/>
      <c r="L547" s="35"/>
      <c r="N547" s="39"/>
      <c r="O547" s="39"/>
      <c r="P547" s="39"/>
      <c r="Q547" s="139" t="s">
        <v>67</v>
      </c>
      <c r="R547" s="64"/>
      <c r="S547" s="140">
        <f t="shared" ref="S547:AJ547" si="287">SUBTOTAL(9,S546:S546)</f>
        <v>500494000</v>
      </c>
      <c r="T547" s="140">
        <f t="shared" ref="T547" si="288">SUBTOTAL(9,T546:T546)</f>
        <v>0</v>
      </c>
      <c r="U547" s="140">
        <f t="shared" si="287"/>
        <v>100000000</v>
      </c>
      <c r="V547" s="140">
        <f t="shared" si="287"/>
        <v>0</v>
      </c>
      <c r="W547" s="140">
        <f t="shared" si="287"/>
        <v>0</v>
      </c>
      <c r="X547" s="140">
        <f t="shared" si="287"/>
        <v>0</v>
      </c>
      <c r="Y547" s="140">
        <f t="shared" si="287"/>
        <v>0</v>
      </c>
      <c r="Z547" s="140">
        <f t="shared" si="287"/>
        <v>0</v>
      </c>
      <c r="AA547" s="140">
        <f t="shared" si="287"/>
        <v>0</v>
      </c>
      <c r="AB547" s="140">
        <f t="shared" si="287"/>
        <v>0</v>
      </c>
      <c r="AC547" s="140">
        <f t="shared" si="287"/>
        <v>0</v>
      </c>
      <c r="AD547" s="140">
        <f t="shared" si="287"/>
        <v>0</v>
      </c>
      <c r="AE547" s="140">
        <f t="shared" si="287"/>
        <v>0</v>
      </c>
      <c r="AF547" s="140">
        <f t="shared" si="287"/>
        <v>0</v>
      </c>
      <c r="AG547" s="140">
        <f t="shared" si="287"/>
        <v>0</v>
      </c>
      <c r="AH547" s="140">
        <v>0</v>
      </c>
      <c r="AI547" s="140">
        <f t="shared" si="287"/>
        <v>100000000</v>
      </c>
      <c r="AJ547" s="140">
        <f t="shared" si="287"/>
        <v>400494000</v>
      </c>
      <c r="AK547" s="796"/>
      <c r="AL547" s="796"/>
      <c r="AM547" s="796"/>
      <c r="AN547" s="799"/>
    </row>
    <row r="548" spans="1:42" s="38" customFormat="1" ht="25.5" hidden="1" customHeight="1" outlineLevel="1">
      <c r="A548" s="35"/>
      <c r="B548" s="35"/>
      <c r="C548" s="35"/>
      <c r="D548" s="35"/>
      <c r="E548" s="35"/>
      <c r="F548" s="36"/>
      <c r="G548" s="36"/>
      <c r="H548" s="37"/>
      <c r="I548" s="36"/>
      <c r="J548" s="36"/>
      <c r="K548" s="36"/>
      <c r="L548" s="35"/>
      <c r="N548" s="39"/>
      <c r="O548" s="39"/>
      <c r="P548" s="39"/>
      <c r="Q548" s="46"/>
      <c r="R548" s="42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796"/>
      <c r="AL548" s="796"/>
      <c r="AM548" s="796"/>
      <c r="AN548" s="799"/>
    </row>
    <row r="549" spans="1:42" s="18" customFormat="1" ht="25.5" hidden="1" customHeight="1" outlineLevel="1">
      <c r="A549" s="35"/>
      <c r="B549" s="35"/>
      <c r="C549" s="35"/>
      <c r="D549" s="35"/>
      <c r="E549" s="35"/>
      <c r="F549" s="36"/>
      <c r="G549" s="36"/>
      <c r="H549" s="37"/>
      <c r="I549" s="36"/>
      <c r="J549" s="36"/>
      <c r="K549" s="36"/>
      <c r="L549" s="35"/>
      <c r="M549" s="38"/>
      <c r="N549" s="39"/>
      <c r="O549" s="39"/>
      <c r="P549" s="39"/>
      <c r="Q549" s="17" t="s">
        <v>68</v>
      </c>
      <c r="R549" s="42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796"/>
      <c r="AL549" s="796"/>
      <c r="AM549" s="796"/>
      <c r="AN549" s="799"/>
    </row>
    <row r="550" spans="1:42" s="18" customFormat="1" ht="25.5" customHeight="1" outlineLevel="1">
      <c r="A550" s="66"/>
      <c r="B550" s="801">
        <v>31</v>
      </c>
      <c r="C550" s="730"/>
      <c r="D550" s="66" t="s">
        <v>33</v>
      </c>
      <c r="E550" s="801" t="s">
        <v>69</v>
      </c>
      <c r="F550" s="735"/>
      <c r="G550" s="167"/>
      <c r="H550" s="68" t="s">
        <v>37</v>
      </c>
      <c r="I550" s="801" t="s">
        <v>299</v>
      </c>
      <c r="J550" s="801" t="s">
        <v>383</v>
      </c>
      <c r="K550" s="168">
        <v>27</v>
      </c>
      <c r="L550" s="66" t="s">
        <v>46</v>
      </c>
      <c r="M550" s="802" t="s">
        <v>40</v>
      </c>
      <c r="N550" s="812">
        <v>40014315</v>
      </c>
      <c r="O550" s="771"/>
      <c r="P550" s="68"/>
      <c r="Q550" s="802" t="s">
        <v>389</v>
      </c>
      <c r="R550" s="118"/>
      <c r="S550" s="804">
        <v>600000000</v>
      </c>
      <c r="T550" s="805">
        <v>0</v>
      </c>
      <c r="U550" s="805">
        <v>150000000</v>
      </c>
      <c r="V550" s="805">
        <f t="shared" si="273"/>
        <v>0</v>
      </c>
      <c r="W550" s="119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28">
        <v>0</v>
      </c>
      <c r="AI550" s="805">
        <f t="shared" si="274"/>
        <v>150000000</v>
      </c>
      <c r="AJ550" s="805">
        <f>+S550-T550-V550-AI550</f>
        <v>450000000</v>
      </c>
      <c r="AK550" s="806" t="s">
        <v>48</v>
      </c>
      <c r="AL550" s="806" t="s">
        <v>771</v>
      </c>
      <c r="AM550" s="806"/>
      <c r="AN550" s="807"/>
      <c r="AO550" s="33" t="e">
        <f>VLOOKUP(N550,'CONVENIOS 2021'!A$1:A$53,1,FALSE)</f>
        <v>#N/A</v>
      </c>
      <c r="AP550" s="33" t="e">
        <f>VLOOKUP(N550,'CONVENIOS 2020'!A$2:A$72,1,FALSE)</f>
        <v>#N/A</v>
      </c>
    </row>
    <row r="551" spans="1:42" s="38" customFormat="1" ht="25.5" hidden="1" customHeight="1" outlineLevel="1">
      <c r="A551" s="66"/>
      <c r="B551" s="180">
        <v>29</v>
      </c>
      <c r="C551" s="66"/>
      <c r="D551" s="66" t="s">
        <v>92</v>
      </c>
      <c r="E551" s="180" t="s">
        <v>69</v>
      </c>
      <c r="F551" s="66"/>
      <c r="G551" s="66"/>
      <c r="H551" s="68" t="s">
        <v>61</v>
      </c>
      <c r="I551" s="180" t="s">
        <v>299</v>
      </c>
      <c r="J551" s="180" t="s">
        <v>383</v>
      </c>
      <c r="K551" s="168">
        <v>27</v>
      </c>
      <c r="L551" s="66" t="s">
        <v>131</v>
      </c>
      <c r="M551" s="184" t="s">
        <v>40</v>
      </c>
      <c r="N551" s="788">
        <v>40014311</v>
      </c>
      <c r="O551" s="197" t="s">
        <v>756</v>
      </c>
      <c r="P551" s="197"/>
      <c r="Q551" s="184" t="s">
        <v>390</v>
      </c>
      <c r="R551" s="25"/>
      <c r="S551" s="188">
        <v>291193000</v>
      </c>
      <c r="T551" s="189">
        <v>0</v>
      </c>
      <c r="U551" s="189">
        <v>291193000</v>
      </c>
      <c r="V551" s="300">
        <f t="shared" si="273"/>
        <v>0</v>
      </c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>
        <v>0</v>
      </c>
      <c r="AI551" s="189">
        <f t="shared" si="274"/>
        <v>291193000</v>
      </c>
      <c r="AJ551" s="189">
        <f>+S551-T551-V551-AI551</f>
        <v>0</v>
      </c>
      <c r="AK551" s="796" t="s">
        <v>48</v>
      </c>
      <c r="AL551" s="796"/>
      <c r="AM551" s="796"/>
      <c r="AN551" s="799"/>
    </row>
    <row r="552" spans="1:42" s="38" customFormat="1" ht="25.5" customHeight="1" outlineLevel="1">
      <c r="A552" s="66"/>
      <c r="B552" s="801">
        <v>31</v>
      </c>
      <c r="C552" s="730"/>
      <c r="D552" s="66" t="s">
        <v>33</v>
      </c>
      <c r="E552" s="801" t="s">
        <v>69</v>
      </c>
      <c r="F552" s="730"/>
      <c r="G552" s="67"/>
      <c r="H552" s="68" t="s">
        <v>85</v>
      </c>
      <c r="I552" s="801" t="s">
        <v>299</v>
      </c>
      <c r="J552" s="801" t="s">
        <v>383</v>
      </c>
      <c r="K552" s="168">
        <v>27</v>
      </c>
      <c r="L552" s="66" t="s">
        <v>46</v>
      </c>
      <c r="M552" s="802" t="s">
        <v>40</v>
      </c>
      <c r="N552" s="812">
        <v>40010066</v>
      </c>
      <c r="O552" s="771"/>
      <c r="P552" s="68"/>
      <c r="Q552" s="802" t="s">
        <v>391</v>
      </c>
      <c r="R552" s="24"/>
      <c r="S552" s="804">
        <v>167348000</v>
      </c>
      <c r="T552" s="805">
        <v>0</v>
      </c>
      <c r="U552" s="805">
        <v>50000000</v>
      </c>
      <c r="V552" s="805">
        <f t="shared" si="273"/>
        <v>0</v>
      </c>
      <c r="W552" s="29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>
        <v>0</v>
      </c>
      <c r="AI552" s="805">
        <f t="shared" si="274"/>
        <v>50000000</v>
      </c>
      <c r="AJ552" s="805">
        <f>+S552-T552-V552-AI552</f>
        <v>117348000</v>
      </c>
      <c r="AK552" s="806" t="s">
        <v>43</v>
      </c>
      <c r="AL552" s="806" t="s">
        <v>771</v>
      </c>
      <c r="AM552" s="806"/>
      <c r="AN552" s="807"/>
      <c r="AO552" s="33" t="e">
        <f>VLOOKUP(N552,'CONVENIOS 2021'!A$1:A$53,1,FALSE)</f>
        <v>#N/A</v>
      </c>
      <c r="AP552" s="33" t="e">
        <f>VLOOKUP(N552,'CONVENIOS 2020'!A$2:A$72,1,FALSE)</f>
        <v>#N/A</v>
      </c>
    </row>
    <row r="553" spans="1:42" s="18" customFormat="1" ht="25.5" hidden="1" customHeight="1" outlineLevel="1">
      <c r="A553" s="66"/>
      <c r="B553" s="180">
        <v>33</v>
      </c>
      <c r="C553" s="66"/>
      <c r="D553" s="66" t="s">
        <v>76</v>
      </c>
      <c r="E553" s="180" t="s">
        <v>69</v>
      </c>
      <c r="F553" s="66" t="s">
        <v>35</v>
      </c>
      <c r="G553" s="67" t="s">
        <v>49</v>
      </c>
      <c r="H553" s="68" t="s">
        <v>61</v>
      </c>
      <c r="I553" s="180" t="s">
        <v>299</v>
      </c>
      <c r="J553" s="180" t="s">
        <v>383</v>
      </c>
      <c r="K553" s="168">
        <v>27</v>
      </c>
      <c r="L553" s="66" t="s">
        <v>76</v>
      </c>
      <c r="M553" s="184" t="s">
        <v>40</v>
      </c>
      <c r="N553" s="182" t="s">
        <v>76</v>
      </c>
      <c r="O553" s="68"/>
      <c r="P553" s="68"/>
      <c r="Q553" s="184" t="s">
        <v>77</v>
      </c>
      <c r="R553" s="24"/>
      <c r="S553" s="188">
        <v>200000000</v>
      </c>
      <c r="T553" s="189">
        <v>0</v>
      </c>
      <c r="U553" s="189">
        <v>200000000</v>
      </c>
      <c r="V553" s="776">
        <f t="shared" si="273"/>
        <v>0</v>
      </c>
      <c r="W553" s="29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72"/>
      <c r="AI553" s="189">
        <f t="shared" si="274"/>
        <v>200000000</v>
      </c>
      <c r="AJ553" s="189">
        <f>+S553-T553-V553-AI553</f>
        <v>0</v>
      </c>
      <c r="AK553" s="796" t="s">
        <v>78</v>
      </c>
      <c r="AL553" s="796"/>
      <c r="AM553" s="796"/>
      <c r="AN553" s="799"/>
    </row>
    <row r="554" spans="1:42" s="38" customFormat="1" ht="25.5" hidden="1" customHeight="1" outlineLevel="1">
      <c r="A554" s="35"/>
      <c r="B554" s="35"/>
      <c r="C554" s="35"/>
      <c r="D554" s="35"/>
      <c r="E554" s="35"/>
      <c r="F554" s="36"/>
      <c r="G554" s="36"/>
      <c r="H554" s="37"/>
      <c r="I554" s="36"/>
      <c r="J554" s="36"/>
      <c r="K554" s="36"/>
      <c r="L554" s="35"/>
      <c r="N554" s="39"/>
      <c r="O554" s="39"/>
      <c r="P554" s="39"/>
      <c r="Q554" s="134" t="s">
        <v>80</v>
      </c>
      <c r="R554" s="42"/>
      <c r="S554" s="110">
        <f t="shared" ref="S554:U554" si="289">SUBTOTAL(9,S550:S553)</f>
        <v>767348000</v>
      </c>
      <c r="T554" s="110">
        <f t="shared" ref="T554" si="290">SUBTOTAL(9,T550:T553)</f>
        <v>0</v>
      </c>
      <c r="U554" s="110">
        <f t="shared" si="289"/>
        <v>200000000</v>
      </c>
      <c r="V554" s="110">
        <f t="shared" ref="V554:AJ554" si="291">SUBTOTAL(9,V550:V553)</f>
        <v>0</v>
      </c>
      <c r="W554" s="110">
        <f t="shared" si="291"/>
        <v>0</v>
      </c>
      <c r="X554" s="110">
        <f t="shared" si="291"/>
        <v>0</v>
      </c>
      <c r="Y554" s="110">
        <f t="shared" si="291"/>
        <v>0</v>
      </c>
      <c r="Z554" s="110">
        <f t="shared" si="291"/>
        <v>0</v>
      </c>
      <c r="AA554" s="110">
        <f t="shared" si="291"/>
        <v>0</v>
      </c>
      <c r="AB554" s="110">
        <f t="shared" si="291"/>
        <v>0</v>
      </c>
      <c r="AC554" s="110">
        <f t="shared" si="291"/>
        <v>0</v>
      </c>
      <c r="AD554" s="110">
        <f t="shared" si="291"/>
        <v>0</v>
      </c>
      <c r="AE554" s="110">
        <f t="shared" si="291"/>
        <v>0</v>
      </c>
      <c r="AF554" s="110">
        <f t="shared" si="291"/>
        <v>0</v>
      </c>
      <c r="AG554" s="110">
        <f t="shared" si="291"/>
        <v>0</v>
      </c>
      <c r="AH554" s="110">
        <v>0</v>
      </c>
      <c r="AI554" s="110">
        <f t="shared" si="291"/>
        <v>200000000</v>
      </c>
      <c r="AJ554" s="110">
        <f t="shared" si="291"/>
        <v>567348000</v>
      </c>
      <c r="AK554" s="796"/>
      <c r="AL554" s="796"/>
      <c r="AM554" s="796"/>
      <c r="AN554" s="799"/>
    </row>
    <row r="555" spans="1:42" s="90" customFormat="1" ht="24.75" hidden="1" customHeight="1" outlineLevel="1">
      <c r="A555" s="35"/>
      <c r="B555" s="35"/>
      <c r="C555" s="35"/>
      <c r="D555" s="35"/>
      <c r="E555" s="35"/>
      <c r="F555" s="36"/>
      <c r="G555" s="36"/>
      <c r="H555" s="37"/>
      <c r="I555" s="36"/>
      <c r="J555" s="36"/>
      <c r="K555" s="36"/>
      <c r="L555" s="35"/>
      <c r="M555" s="38"/>
      <c r="N555" s="39"/>
      <c r="O555" s="39"/>
      <c r="P555" s="39"/>
      <c r="Q555" s="46"/>
      <c r="R555" s="42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796"/>
      <c r="AL555" s="796"/>
      <c r="AM555" s="796"/>
      <c r="AN555" s="799"/>
    </row>
    <row r="556" spans="1:42" s="84" customFormat="1" ht="24.75" hidden="1" customHeight="1" outlineLevel="1">
      <c r="A556" s="36"/>
      <c r="B556" s="82"/>
      <c r="C556" s="82"/>
      <c r="D556" s="36"/>
      <c r="E556" s="36"/>
      <c r="F556" s="36"/>
      <c r="G556" s="36"/>
      <c r="H556" s="37"/>
      <c r="I556" s="36"/>
      <c r="J556" s="36"/>
      <c r="K556" s="36"/>
      <c r="L556" s="82"/>
      <c r="N556" s="83"/>
      <c r="O556" s="39"/>
      <c r="P556" s="39"/>
      <c r="Q556" s="85" t="s">
        <v>392</v>
      </c>
      <c r="R556" s="111"/>
      <c r="S556" s="88">
        <f t="shared" ref="S556:U556" si="292">S543+S547+S554</f>
        <v>1267842000</v>
      </c>
      <c r="T556" s="88">
        <f t="shared" ref="T556" si="293">T543+T547+T554</f>
        <v>0</v>
      </c>
      <c r="U556" s="88">
        <f t="shared" si="292"/>
        <v>300000000</v>
      </c>
      <c r="V556" s="88">
        <f t="shared" ref="V556:AJ556" si="294">V543+V547+V554</f>
        <v>0</v>
      </c>
      <c r="W556" s="88">
        <f t="shared" si="294"/>
        <v>0</v>
      </c>
      <c r="X556" s="88">
        <f t="shared" si="294"/>
        <v>0</v>
      </c>
      <c r="Y556" s="88">
        <f t="shared" si="294"/>
        <v>0</v>
      </c>
      <c r="Z556" s="88">
        <f t="shared" si="294"/>
        <v>0</v>
      </c>
      <c r="AA556" s="88">
        <f t="shared" si="294"/>
        <v>0</v>
      </c>
      <c r="AB556" s="88">
        <f t="shared" si="294"/>
        <v>0</v>
      </c>
      <c r="AC556" s="88">
        <f t="shared" si="294"/>
        <v>0</v>
      </c>
      <c r="AD556" s="88">
        <f t="shared" si="294"/>
        <v>0</v>
      </c>
      <c r="AE556" s="88">
        <f t="shared" si="294"/>
        <v>0</v>
      </c>
      <c r="AF556" s="88">
        <f t="shared" si="294"/>
        <v>0</v>
      </c>
      <c r="AG556" s="88">
        <f t="shared" si="294"/>
        <v>0</v>
      </c>
      <c r="AH556" s="88">
        <v>0</v>
      </c>
      <c r="AI556" s="88">
        <f t="shared" si="294"/>
        <v>300000000</v>
      </c>
      <c r="AJ556" s="88">
        <f t="shared" si="294"/>
        <v>967842000</v>
      </c>
      <c r="AK556" s="796"/>
      <c r="AL556" s="796"/>
      <c r="AM556" s="796"/>
      <c r="AN556" s="799"/>
    </row>
    <row r="557" spans="1:42" s="84" customFormat="1" ht="24.75" hidden="1" customHeight="1" outlineLevel="1">
      <c r="A557" s="36"/>
      <c r="B557" s="82"/>
      <c r="C557" s="82"/>
      <c r="D557" s="36"/>
      <c r="E557" s="36"/>
      <c r="F557" s="36"/>
      <c r="G557" s="36"/>
      <c r="H557" s="37"/>
      <c r="I557" s="36"/>
      <c r="J557" s="36"/>
      <c r="K557" s="36"/>
      <c r="L557" s="82"/>
      <c r="N557" s="83"/>
      <c r="O557" s="39"/>
      <c r="P557" s="39"/>
      <c r="Q557" s="91"/>
      <c r="R557" s="87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796"/>
      <c r="AL557" s="796"/>
      <c r="AM557" s="796"/>
      <c r="AN557" s="799"/>
    </row>
    <row r="558" spans="1:42" s="18" customFormat="1" ht="25.5" hidden="1" customHeight="1" outlineLevel="1">
      <c r="A558" s="36"/>
      <c r="B558" s="36"/>
      <c r="C558" s="36"/>
      <c r="D558" s="36"/>
      <c r="E558" s="36"/>
      <c r="F558" s="36"/>
      <c r="G558" s="36"/>
      <c r="H558" s="37"/>
      <c r="I558" s="36"/>
      <c r="J558" s="36"/>
      <c r="K558" s="36"/>
      <c r="L558" s="36"/>
      <c r="M558" s="95"/>
      <c r="N558" s="37"/>
      <c r="O558" s="39"/>
      <c r="P558" s="39"/>
      <c r="Q558" s="96" t="s">
        <v>393</v>
      </c>
      <c r="R558" s="50"/>
      <c r="S558" s="97"/>
      <c r="T558" s="97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796"/>
      <c r="AL558" s="796"/>
      <c r="AM558" s="796"/>
      <c r="AN558" s="799"/>
    </row>
    <row r="559" spans="1:42" s="18" customFormat="1" ht="25.5" hidden="1" customHeight="1" outlineLevel="1">
      <c r="A559" s="35"/>
      <c r="B559" s="35"/>
      <c r="C559" s="35"/>
      <c r="D559" s="35"/>
      <c r="E559" s="35"/>
      <c r="F559" s="36"/>
      <c r="G559" s="36"/>
      <c r="H559" s="37"/>
      <c r="I559" s="36"/>
      <c r="J559" s="36"/>
      <c r="K559" s="36"/>
      <c r="L559" s="35"/>
      <c r="M559" s="38"/>
      <c r="N559" s="39"/>
      <c r="O559" s="39"/>
      <c r="P559" s="39"/>
      <c r="Q559" s="17" t="s">
        <v>32</v>
      </c>
      <c r="R559" s="50"/>
      <c r="S559" s="51"/>
      <c r="T559" s="51"/>
      <c r="U559" s="52"/>
      <c r="V559" s="52"/>
      <c r="W559" s="52"/>
      <c r="X559" s="52"/>
      <c r="Y559" s="52"/>
      <c r="Z559" s="53"/>
      <c r="AA559" s="53"/>
      <c r="AB559" s="53"/>
      <c r="AC559" s="53"/>
      <c r="AD559" s="53"/>
      <c r="AE559" s="53"/>
      <c r="AF559" s="53"/>
      <c r="AG559" s="53"/>
      <c r="AH559" s="53"/>
      <c r="AI559" s="52"/>
      <c r="AJ559" s="52"/>
      <c r="AK559" s="796"/>
      <c r="AL559" s="796"/>
      <c r="AM559" s="796"/>
      <c r="AN559" s="799"/>
    </row>
    <row r="560" spans="1:42" s="18" customFormat="1" ht="25.5" hidden="1" customHeight="1" outlineLevel="1">
      <c r="A560" s="19" t="s">
        <v>133</v>
      </c>
      <c r="B560" s="19">
        <v>31</v>
      </c>
      <c r="C560" s="19"/>
      <c r="D560" s="19" t="s">
        <v>33</v>
      </c>
      <c r="E560" s="19" t="s">
        <v>34</v>
      </c>
      <c r="F560" s="19" t="s">
        <v>84</v>
      </c>
      <c r="G560" s="20" t="s">
        <v>49</v>
      </c>
      <c r="H560" s="21" t="s">
        <v>85</v>
      </c>
      <c r="I560" s="19" t="s">
        <v>299</v>
      </c>
      <c r="J560" s="19" t="s">
        <v>394</v>
      </c>
      <c r="K560" s="22">
        <v>28</v>
      </c>
      <c r="L560" s="19" t="s">
        <v>205</v>
      </c>
      <c r="M560" s="23" t="s">
        <v>40</v>
      </c>
      <c r="N560" s="21">
        <v>40013068</v>
      </c>
      <c r="O560" s="21" t="s">
        <v>756</v>
      </c>
      <c r="P560" s="21"/>
      <c r="Q560" s="23" t="s">
        <v>395</v>
      </c>
      <c r="R560" s="24"/>
      <c r="S560" s="26">
        <v>617342000</v>
      </c>
      <c r="T560" s="30">
        <v>730000</v>
      </c>
      <c r="U560" s="30">
        <v>496342000</v>
      </c>
      <c r="V560" s="285">
        <f t="shared" si="273"/>
        <v>0</v>
      </c>
      <c r="W560" s="29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>
        <v>0</v>
      </c>
      <c r="AI560" s="30">
        <f t="shared" si="274"/>
        <v>496342000</v>
      </c>
      <c r="AJ560" s="30">
        <f>+S560-T560-V560-AI560</f>
        <v>120270000</v>
      </c>
      <c r="AK560" s="796" t="s">
        <v>43</v>
      </c>
      <c r="AL560" s="796" t="s">
        <v>44</v>
      </c>
      <c r="AM560" s="796"/>
      <c r="AN560" s="799"/>
    </row>
    <row r="561" spans="1:42" s="38" customFormat="1" ht="25.5" hidden="1" customHeight="1" outlineLevel="1">
      <c r="A561" s="35"/>
      <c r="B561" s="35"/>
      <c r="C561" s="35"/>
      <c r="D561" s="35"/>
      <c r="E561" s="35"/>
      <c r="F561" s="36"/>
      <c r="G561" s="36"/>
      <c r="H561" s="37"/>
      <c r="I561" s="36"/>
      <c r="J561" s="36"/>
      <c r="K561" s="36"/>
      <c r="L561" s="35"/>
      <c r="N561" s="39"/>
      <c r="O561" s="39"/>
      <c r="P561" s="39"/>
      <c r="Q561" s="132" t="s">
        <v>58</v>
      </c>
      <c r="R561" s="41"/>
      <c r="S561" s="133">
        <f t="shared" ref="S561:AJ561" si="295">SUBTOTAL(9,S560:S560)</f>
        <v>0</v>
      </c>
      <c r="T561" s="133">
        <f t="shared" ref="T561" si="296">SUBTOTAL(9,T560:T560)</f>
        <v>0</v>
      </c>
      <c r="U561" s="133">
        <f t="shared" si="295"/>
        <v>0</v>
      </c>
      <c r="V561" s="133">
        <f t="shared" si="295"/>
        <v>0</v>
      </c>
      <c r="W561" s="133">
        <f t="shared" si="295"/>
        <v>0</v>
      </c>
      <c r="X561" s="133">
        <f t="shared" si="295"/>
        <v>0</v>
      </c>
      <c r="Y561" s="133">
        <f t="shared" si="295"/>
        <v>0</v>
      </c>
      <c r="Z561" s="133">
        <f t="shared" si="295"/>
        <v>0</v>
      </c>
      <c r="AA561" s="133">
        <f t="shared" si="295"/>
        <v>0</v>
      </c>
      <c r="AB561" s="133">
        <f t="shared" si="295"/>
        <v>0</v>
      </c>
      <c r="AC561" s="133">
        <f t="shared" si="295"/>
        <v>0</v>
      </c>
      <c r="AD561" s="133">
        <f t="shared" si="295"/>
        <v>0</v>
      </c>
      <c r="AE561" s="133">
        <f t="shared" si="295"/>
        <v>0</v>
      </c>
      <c r="AF561" s="133">
        <f t="shared" si="295"/>
        <v>0</v>
      </c>
      <c r="AG561" s="133">
        <f t="shared" si="295"/>
        <v>0</v>
      </c>
      <c r="AH561" s="133">
        <v>0</v>
      </c>
      <c r="AI561" s="133">
        <f t="shared" si="295"/>
        <v>0</v>
      </c>
      <c r="AJ561" s="133">
        <f t="shared" si="295"/>
        <v>0</v>
      </c>
      <c r="AK561" s="796"/>
      <c r="AL561" s="796"/>
      <c r="AM561" s="796"/>
      <c r="AN561" s="799"/>
    </row>
    <row r="562" spans="1:42" s="18" customFormat="1" ht="25.5" hidden="1" customHeight="1" outlineLevel="1">
      <c r="A562" s="35"/>
      <c r="B562" s="35"/>
      <c r="C562" s="35"/>
      <c r="D562" s="35"/>
      <c r="E562" s="35"/>
      <c r="F562" s="36"/>
      <c r="G562" s="36"/>
      <c r="H562" s="37"/>
      <c r="I562" s="36"/>
      <c r="J562" s="36"/>
      <c r="K562" s="36"/>
      <c r="L562" s="35"/>
      <c r="M562" s="38"/>
      <c r="N562" s="39"/>
      <c r="O562" s="39"/>
      <c r="P562" s="39"/>
      <c r="Q562" s="46"/>
      <c r="R562" s="42"/>
      <c r="S562" s="47"/>
      <c r="T562" s="47"/>
      <c r="U562" s="47"/>
      <c r="V562" s="47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7"/>
      <c r="AJ562" s="47"/>
      <c r="AK562" s="796"/>
      <c r="AL562" s="796"/>
      <c r="AM562" s="796"/>
      <c r="AN562" s="799"/>
    </row>
    <row r="563" spans="1:42" s="33" customFormat="1" ht="25.5" hidden="1" customHeight="1" outlineLevel="1">
      <c r="A563" s="35"/>
      <c r="B563" s="35"/>
      <c r="C563" s="35"/>
      <c r="D563" s="35"/>
      <c r="E563" s="35"/>
      <c r="F563" s="36"/>
      <c r="G563" s="36"/>
      <c r="H563" s="37"/>
      <c r="I563" s="36"/>
      <c r="J563" s="36"/>
      <c r="K563" s="36"/>
      <c r="L563" s="35"/>
      <c r="M563" s="38"/>
      <c r="N563" s="39"/>
      <c r="O563" s="39"/>
      <c r="P563" s="39"/>
      <c r="Q563" s="17" t="s">
        <v>59</v>
      </c>
      <c r="R563" s="50"/>
      <c r="S563" s="51"/>
      <c r="T563" s="51"/>
      <c r="U563" s="52"/>
      <c r="V563" s="52"/>
      <c r="W563" s="52"/>
      <c r="X563" s="52"/>
      <c r="Y563" s="52"/>
      <c r="Z563" s="53"/>
      <c r="AA563" s="53"/>
      <c r="AB563" s="53"/>
      <c r="AC563" s="53"/>
      <c r="AD563" s="53"/>
      <c r="AE563" s="53"/>
      <c r="AF563" s="53"/>
      <c r="AG563" s="53"/>
      <c r="AH563" s="53"/>
      <c r="AI563" s="52"/>
      <c r="AJ563" s="52"/>
      <c r="AK563" s="796"/>
      <c r="AL563" s="796"/>
      <c r="AM563" s="796"/>
      <c r="AN563" s="799"/>
    </row>
    <row r="564" spans="1:42" s="18" customFormat="1" ht="25.5" customHeight="1" outlineLevel="1">
      <c r="A564" s="54"/>
      <c r="B564" s="801">
        <v>31</v>
      </c>
      <c r="C564" s="729"/>
      <c r="D564" s="54" t="s">
        <v>33</v>
      </c>
      <c r="E564" s="801" t="s">
        <v>60</v>
      </c>
      <c r="F564" s="729" t="s">
        <v>35</v>
      </c>
      <c r="G564" s="55" t="s">
        <v>49</v>
      </c>
      <c r="H564" s="56" t="s">
        <v>64</v>
      </c>
      <c r="I564" s="801" t="s">
        <v>299</v>
      </c>
      <c r="J564" s="801" t="s">
        <v>394</v>
      </c>
      <c r="K564" s="57">
        <v>28</v>
      </c>
      <c r="L564" s="54" t="s">
        <v>46</v>
      </c>
      <c r="M564" s="802" t="s">
        <v>40</v>
      </c>
      <c r="N564" s="803">
        <v>40008054</v>
      </c>
      <c r="O564" s="770" t="s">
        <v>756</v>
      </c>
      <c r="P564" s="56"/>
      <c r="Q564" s="802" t="s">
        <v>396</v>
      </c>
      <c r="R564" s="24"/>
      <c r="S564" s="804">
        <v>367393000</v>
      </c>
      <c r="T564" s="805">
        <v>0</v>
      </c>
      <c r="U564" s="805">
        <v>200000000</v>
      </c>
      <c r="V564" s="805">
        <f t="shared" si="273"/>
        <v>0</v>
      </c>
      <c r="W564" s="29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>
        <v>0</v>
      </c>
      <c r="AI564" s="805">
        <f t="shared" si="274"/>
        <v>200000000</v>
      </c>
      <c r="AJ564" s="805">
        <f>+S564-T564-V564-AI564</f>
        <v>167393000</v>
      </c>
      <c r="AK564" s="806" t="s">
        <v>48</v>
      </c>
      <c r="AL564" s="806" t="s">
        <v>759</v>
      </c>
      <c r="AM564" s="806" t="str">
        <f>HYPERLINK(CONCATENATE("DOCUMENTOS\ACTA-",N564,".PDF"))</f>
        <v>DOCUMENTOS\ACTA-40008054.PDF</v>
      </c>
      <c r="AN564" s="807"/>
      <c r="AO564" s="33" t="e">
        <f>VLOOKUP(N564,'CONVENIOS 2021'!A$1:A$53,1,FALSE)</f>
        <v>#N/A</v>
      </c>
      <c r="AP564" s="33" t="e">
        <f>VLOOKUP(N564,'CONVENIOS 2020'!A$2:A$72,1,FALSE)</f>
        <v>#N/A</v>
      </c>
    </row>
    <row r="565" spans="1:42" s="38" customFormat="1" ht="25.5" hidden="1" customHeight="1" outlineLevel="1">
      <c r="A565" s="35"/>
      <c r="B565" s="35"/>
      <c r="C565" s="35"/>
      <c r="D565" s="35"/>
      <c r="E565" s="35"/>
      <c r="F565" s="36"/>
      <c r="G565" s="36"/>
      <c r="H565" s="37"/>
      <c r="I565" s="36"/>
      <c r="J565" s="36"/>
      <c r="K565" s="36"/>
      <c r="L565" s="35"/>
      <c r="N565" s="39"/>
      <c r="O565" s="39"/>
      <c r="P565" s="39"/>
      <c r="Q565" s="139" t="s">
        <v>67</v>
      </c>
      <c r="R565" s="64"/>
      <c r="S565" s="140">
        <f t="shared" ref="S565:AJ565" si="297">SUBTOTAL(9,S564:S564)</f>
        <v>367393000</v>
      </c>
      <c r="T565" s="140">
        <f t="shared" ref="T565" si="298">SUBTOTAL(9,T564:T564)</f>
        <v>0</v>
      </c>
      <c r="U565" s="140">
        <f t="shared" si="297"/>
        <v>200000000</v>
      </c>
      <c r="V565" s="140">
        <f t="shared" si="297"/>
        <v>0</v>
      </c>
      <c r="W565" s="140">
        <f t="shared" si="297"/>
        <v>0</v>
      </c>
      <c r="X565" s="140">
        <f t="shared" si="297"/>
        <v>0</v>
      </c>
      <c r="Y565" s="140">
        <f t="shared" si="297"/>
        <v>0</v>
      </c>
      <c r="Z565" s="140">
        <f t="shared" si="297"/>
        <v>0</v>
      </c>
      <c r="AA565" s="140">
        <f t="shared" si="297"/>
        <v>0</v>
      </c>
      <c r="AB565" s="140">
        <f t="shared" si="297"/>
        <v>0</v>
      </c>
      <c r="AC565" s="140">
        <f t="shared" si="297"/>
        <v>0</v>
      </c>
      <c r="AD565" s="140">
        <f t="shared" si="297"/>
        <v>0</v>
      </c>
      <c r="AE565" s="140">
        <f t="shared" si="297"/>
        <v>0</v>
      </c>
      <c r="AF565" s="140">
        <f t="shared" si="297"/>
        <v>0</v>
      </c>
      <c r="AG565" s="140">
        <f t="shared" si="297"/>
        <v>0</v>
      </c>
      <c r="AH565" s="140">
        <v>0</v>
      </c>
      <c r="AI565" s="140">
        <f t="shared" si="297"/>
        <v>200000000</v>
      </c>
      <c r="AJ565" s="140">
        <f t="shared" si="297"/>
        <v>167393000</v>
      </c>
      <c r="AK565" s="796"/>
      <c r="AL565" s="796"/>
      <c r="AM565" s="796"/>
      <c r="AN565" s="799"/>
    </row>
    <row r="566" spans="1:42" s="38" customFormat="1" ht="25.5" hidden="1" customHeight="1" outlineLevel="1">
      <c r="A566" s="35"/>
      <c r="B566" s="35"/>
      <c r="C566" s="35"/>
      <c r="D566" s="35"/>
      <c r="E566" s="35"/>
      <c r="F566" s="36"/>
      <c r="G566" s="36"/>
      <c r="H566" s="37"/>
      <c r="I566" s="36"/>
      <c r="J566" s="36"/>
      <c r="K566" s="36"/>
      <c r="L566" s="35"/>
      <c r="N566" s="39"/>
      <c r="O566" s="39"/>
      <c r="P566" s="39"/>
      <c r="Q566" s="46"/>
      <c r="R566" s="42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796"/>
      <c r="AL566" s="796"/>
      <c r="AM566" s="796"/>
      <c r="AN566" s="799"/>
    </row>
    <row r="567" spans="1:42" s="18" customFormat="1" ht="25.5" hidden="1" customHeight="1" outlineLevel="1">
      <c r="A567" s="35"/>
      <c r="B567" s="35"/>
      <c r="C567" s="35"/>
      <c r="D567" s="35"/>
      <c r="E567" s="35"/>
      <c r="F567" s="36"/>
      <c r="G567" s="36"/>
      <c r="H567" s="37"/>
      <c r="I567" s="36"/>
      <c r="J567" s="36"/>
      <c r="K567" s="36"/>
      <c r="L567" s="35"/>
      <c r="M567" s="38"/>
      <c r="N567" s="39"/>
      <c r="O567" s="39"/>
      <c r="P567" s="39"/>
      <c r="Q567" s="17" t="s">
        <v>68</v>
      </c>
      <c r="R567" s="42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796"/>
      <c r="AL567" s="796"/>
      <c r="AM567" s="796"/>
      <c r="AN567" s="799"/>
    </row>
    <row r="568" spans="1:42" s="38" customFormat="1" ht="25.5" customHeight="1" outlineLevel="1">
      <c r="A568" s="66"/>
      <c r="B568" s="801">
        <v>31</v>
      </c>
      <c r="C568" s="730"/>
      <c r="D568" s="66" t="s">
        <v>33</v>
      </c>
      <c r="E568" s="801" t="s">
        <v>69</v>
      </c>
      <c r="F568" s="730" t="s">
        <v>84</v>
      </c>
      <c r="G568" s="67" t="s">
        <v>49</v>
      </c>
      <c r="H568" s="68" t="s">
        <v>37</v>
      </c>
      <c r="I568" s="801" t="s">
        <v>299</v>
      </c>
      <c r="J568" s="801" t="s">
        <v>394</v>
      </c>
      <c r="K568" s="69">
        <v>28</v>
      </c>
      <c r="L568" s="66" t="s">
        <v>46</v>
      </c>
      <c r="M568" s="802" t="s">
        <v>40</v>
      </c>
      <c r="N568" s="803">
        <v>40015676</v>
      </c>
      <c r="O568" s="771"/>
      <c r="P568" s="68"/>
      <c r="Q568" s="802" t="s">
        <v>397</v>
      </c>
      <c r="R568" s="118"/>
      <c r="S568" s="804">
        <v>155000000</v>
      </c>
      <c r="T568" s="805">
        <v>0</v>
      </c>
      <c r="U568" s="805">
        <v>7750000</v>
      </c>
      <c r="V568" s="805">
        <f t="shared" si="273"/>
        <v>0</v>
      </c>
      <c r="W568" s="119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28">
        <v>0</v>
      </c>
      <c r="AI568" s="805">
        <f t="shared" si="274"/>
        <v>7750000</v>
      </c>
      <c r="AJ568" s="805">
        <f>+S568-T568-V568-AI568</f>
        <v>147250000</v>
      </c>
      <c r="AK568" s="806" t="s">
        <v>43</v>
      </c>
      <c r="AL568" s="806" t="s">
        <v>759</v>
      </c>
      <c r="AM568" s="806" t="str">
        <f>HYPERLINK(CONCATENATE("DOCUMENTOS\ACTA-",N568,".PDF"))</f>
        <v>DOCUMENTOS\ACTA-40015676.PDF</v>
      </c>
      <c r="AN568" s="807"/>
      <c r="AO568" s="33" t="e">
        <f>VLOOKUP(N568,'CONVENIOS 2021'!A$1:A$53,1,FALSE)</f>
        <v>#N/A</v>
      </c>
      <c r="AP568" s="33" t="e">
        <f>VLOOKUP(N568,'CONVENIOS 2020'!A$2:A$72,1,FALSE)</f>
        <v>#N/A</v>
      </c>
    </row>
    <row r="569" spans="1:42" s="18" customFormat="1" ht="25.5" hidden="1" customHeight="1" outlineLevel="1">
      <c r="A569" s="66"/>
      <c r="B569" s="180">
        <v>33</v>
      </c>
      <c r="C569" s="66"/>
      <c r="D569" s="66" t="s">
        <v>76</v>
      </c>
      <c r="E569" s="180" t="s">
        <v>69</v>
      </c>
      <c r="F569" s="66" t="s">
        <v>35</v>
      </c>
      <c r="G569" s="67" t="s">
        <v>49</v>
      </c>
      <c r="H569" s="68" t="s">
        <v>61</v>
      </c>
      <c r="I569" s="180" t="s">
        <v>299</v>
      </c>
      <c r="J569" s="180" t="s">
        <v>394</v>
      </c>
      <c r="K569" s="69">
        <v>28</v>
      </c>
      <c r="L569" s="66" t="s">
        <v>76</v>
      </c>
      <c r="M569" s="184" t="s">
        <v>40</v>
      </c>
      <c r="N569" s="182" t="s">
        <v>76</v>
      </c>
      <c r="O569" s="68"/>
      <c r="P569" s="68"/>
      <c r="Q569" s="184" t="s">
        <v>77</v>
      </c>
      <c r="R569" s="24"/>
      <c r="S569" s="188">
        <v>200000000</v>
      </c>
      <c r="T569" s="189">
        <v>0</v>
      </c>
      <c r="U569" s="189">
        <v>200000000</v>
      </c>
      <c r="V569" s="776">
        <f t="shared" si="273"/>
        <v>7074985</v>
      </c>
      <c r="W569" s="29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72">
        <v>7074985</v>
      </c>
      <c r="AI569" s="189">
        <f t="shared" si="274"/>
        <v>192925015</v>
      </c>
      <c r="AJ569" s="189">
        <f>+S569-T569-V569-AI569</f>
        <v>0</v>
      </c>
      <c r="AK569" s="796" t="s">
        <v>78</v>
      </c>
      <c r="AL569" s="796"/>
      <c r="AM569" s="796"/>
      <c r="AN569" s="799"/>
    </row>
    <row r="570" spans="1:42" s="38" customFormat="1" ht="25.5" hidden="1" customHeight="1" outlineLevel="1">
      <c r="A570" s="35"/>
      <c r="B570" s="35"/>
      <c r="C570" s="35"/>
      <c r="D570" s="35"/>
      <c r="E570" s="35"/>
      <c r="F570" s="36"/>
      <c r="G570" s="36"/>
      <c r="H570" s="37"/>
      <c r="I570" s="36"/>
      <c r="J570" s="36"/>
      <c r="K570" s="36"/>
      <c r="L570" s="35"/>
      <c r="N570" s="39"/>
      <c r="O570" s="39"/>
      <c r="P570" s="39"/>
      <c r="Q570" s="134" t="s">
        <v>80</v>
      </c>
      <c r="R570" s="42"/>
      <c r="S570" s="110">
        <f t="shared" ref="S570:U570" si="299">SUBTOTAL(9,S568:S569)</f>
        <v>155000000</v>
      </c>
      <c r="T570" s="110">
        <f t="shared" ref="T570" si="300">SUBTOTAL(9,T568:T569)</f>
        <v>0</v>
      </c>
      <c r="U570" s="110">
        <f t="shared" si="299"/>
        <v>7750000</v>
      </c>
      <c r="V570" s="110">
        <f t="shared" ref="V570:AJ570" si="301">SUBTOTAL(9,V568:V569)</f>
        <v>0</v>
      </c>
      <c r="W570" s="110">
        <f t="shared" si="301"/>
        <v>0</v>
      </c>
      <c r="X570" s="110">
        <f t="shared" si="301"/>
        <v>0</v>
      </c>
      <c r="Y570" s="110">
        <f t="shared" si="301"/>
        <v>0</v>
      </c>
      <c r="Z570" s="110">
        <f t="shared" si="301"/>
        <v>0</v>
      </c>
      <c r="AA570" s="110">
        <f t="shared" si="301"/>
        <v>0</v>
      </c>
      <c r="AB570" s="110">
        <f t="shared" si="301"/>
        <v>0</v>
      </c>
      <c r="AC570" s="110">
        <f t="shared" si="301"/>
        <v>0</v>
      </c>
      <c r="AD570" s="110">
        <f t="shared" si="301"/>
        <v>0</v>
      </c>
      <c r="AE570" s="110">
        <f t="shared" si="301"/>
        <v>0</v>
      </c>
      <c r="AF570" s="110">
        <f t="shared" si="301"/>
        <v>0</v>
      </c>
      <c r="AG570" s="110">
        <f t="shared" si="301"/>
        <v>0</v>
      </c>
      <c r="AH570" s="110">
        <v>7074985</v>
      </c>
      <c r="AI570" s="110">
        <f t="shared" si="301"/>
        <v>7750000</v>
      </c>
      <c r="AJ570" s="110">
        <f t="shared" si="301"/>
        <v>147250000</v>
      </c>
      <c r="AK570" s="796"/>
      <c r="AL570" s="796"/>
      <c r="AM570" s="796"/>
      <c r="AN570" s="799"/>
    </row>
    <row r="571" spans="1:42" s="90" customFormat="1" ht="24.75" hidden="1" customHeight="1" outlineLevel="1">
      <c r="A571" s="35"/>
      <c r="B571" s="35"/>
      <c r="C571" s="35"/>
      <c r="D571" s="35"/>
      <c r="E571" s="35"/>
      <c r="F571" s="36"/>
      <c r="G571" s="36"/>
      <c r="H571" s="37"/>
      <c r="I571" s="36"/>
      <c r="J571" s="36"/>
      <c r="K571" s="36"/>
      <c r="L571" s="35"/>
      <c r="M571" s="38"/>
      <c r="N571" s="39"/>
      <c r="O571" s="39"/>
      <c r="P571" s="39"/>
      <c r="Q571" s="46"/>
      <c r="R571" s="42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796"/>
      <c r="AL571" s="796"/>
      <c r="AM571" s="796"/>
      <c r="AN571" s="799"/>
    </row>
    <row r="572" spans="1:42" s="84" customFormat="1" ht="24.75" hidden="1" customHeight="1" outlineLevel="1">
      <c r="A572" s="36"/>
      <c r="B572" s="82"/>
      <c r="C572" s="82"/>
      <c r="D572" s="36"/>
      <c r="E572" s="36"/>
      <c r="F572" s="36"/>
      <c r="G572" s="36"/>
      <c r="H572" s="37"/>
      <c r="I572" s="36"/>
      <c r="J572" s="36"/>
      <c r="K572" s="36"/>
      <c r="L572" s="82"/>
      <c r="N572" s="83"/>
      <c r="O572" s="39"/>
      <c r="P572" s="39"/>
      <c r="Q572" s="85" t="s">
        <v>398</v>
      </c>
      <c r="R572" s="111"/>
      <c r="S572" s="88">
        <f t="shared" ref="S572:U572" si="302">S561+S565+S570</f>
        <v>522393000</v>
      </c>
      <c r="T572" s="88">
        <f t="shared" ref="T572" si="303">T561+T565+T570</f>
        <v>0</v>
      </c>
      <c r="U572" s="88">
        <f t="shared" si="302"/>
        <v>207750000</v>
      </c>
      <c r="V572" s="88">
        <f t="shared" ref="V572:AJ572" si="304">V561+V565+V570</f>
        <v>0</v>
      </c>
      <c r="W572" s="88">
        <f t="shared" si="304"/>
        <v>0</v>
      </c>
      <c r="X572" s="88">
        <f t="shared" si="304"/>
        <v>0</v>
      </c>
      <c r="Y572" s="88">
        <f t="shared" si="304"/>
        <v>0</v>
      </c>
      <c r="Z572" s="88">
        <f t="shared" si="304"/>
        <v>0</v>
      </c>
      <c r="AA572" s="88">
        <f t="shared" si="304"/>
        <v>0</v>
      </c>
      <c r="AB572" s="88">
        <f t="shared" si="304"/>
        <v>0</v>
      </c>
      <c r="AC572" s="88">
        <f t="shared" si="304"/>
        <v>0</v>
      </c>
      <c r="AD572" s="88">
        <f t="shared" si="304"/>
        <v>0</v>
      </c>
      <c r="AE572" s="88">
        <f t="shared" si="304"/>
        <v>0</v>
      </c>
      <c r="AF572" s="88">
        <f t="shared" si="304"/>
        <v>0</v>
      </c>
      <c r="AG572" s="88">
        <f t="shared" si="304"/>
        <v>0</v>
      </c>
      <c r="AH572" s="88">
        <v>7074985</v>
      </c>
      <c r="AI572" s="88">
        <f t="shared" si="304"/>
        <v>207750000</v>
      </c>
      <c r="AJ572" s="88">
        <f t="shared" si="304"/>
        <v>314643000</v>
      </c>
      <c r="AK572" s="796"/>
      <c r="AL572" s="796"/>
      <c r="AM572" s="796"/>
      <c r="AN572" s="799"/>
    </row>
    <row r="573" spans="1:42" s="84" customFormat="1" ht="24.75" hidden="1" customHeight="1" outlineLevel="1">
      <c r="A573" s="36"/>
      <c r="B573" s="82"/>
      <c r="C573" s="82"/>
      <c r="D573" s="36"/>
      <c r="E573" s="36"/>
      <c r="F573" s="36"/>
      <c r="G573" s="36"/>
      <c r="H573" s="37"/>
      <c r="I573" s="36"/>
      <c r="J573" s="36"/>
      <c r="K573" s="36"/>
      <c r="L573" s="82"/>
      <c r="N573" s="83"/>
      <c r="O573" s="39"/>
      <c r="P573" s="39"/>
      <c r="Q573" s="596"/>
      <c r="R573" s="87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796"/>
      <c r="AL573" s="796"/>
      <c r="AM573" s="796"/>
      <c r="AN573" s="799"/>
    </row>
    <row r="574" spans="1:42" s="18" customFormat="1" ht="25.5" hidden="1" customHeight="1" outlineLevel="1">
      <c r="A574" s="36"/>
      <c r="B574" s="36"/>
      <c r="C574" s="36"/>
      <c r="D574" s="36"/>
      <c r="E574" s="36"/>
      <c r="F574" s="36"/>
      <c r="G574" s="36"/>
      <c r="H574" s="37"/>
      <c r="I574" s="36"/>
      <c r="J574" s="36"/>
      <c r="K574" s="36"/>
      <c r="L574" s="36"/>
      <c r="M574" s="95"/>
      <c r="N574" s="37"/>
      <c r="O574" s="39"/>
      <c r="P574" s="39"/>
      <c r="Q574" s="204" t="s">
        <v>150</v>
      </c>
      <c r="R574" s="50"/>
      <c r="S574" s="97"/>
      <c r="T574" s="97"/>
      <c r="U574" s="53"/>
      <c r="V574" s="53">
        <f t="shared" ref="V574:V630" si="305">+SUM(W574:AH574)</f>
        <v>0</v>
      </c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>
        <f t="shared" ref="AI574:AI630" si="306">+U574-V574</f>
        <v>0</v>
      </c>
      <c r="AJ574" s="53">
        <f>+S574-T574-V574-AI574</f>
        <v>0</v>
      </c>
      <c r="AK574" s="796"/>
      <c r="AL574" s="796"/>
      <c r="AM574" s="796"/>
      <c r="AN574" s="799"/>
    </row>
    <row r="575" spans="1:42" s="33" customFormat="1" ht="25.5" hidden="1" customHeight="1" outlineLevel="2">
      <c r="A575" s="35"/>
      <c r="B575" s="35"/>
      <c r="C575" s="35"/>
      <c r="D575" s="35"/>
      <c r="E575" s="35"/>
      <c r="F575" s="36"/>
      <c r="G575" s="36"/>
      <c r="H575" s="37"/>
      <c r="I575" s="36"/>
      <c r="J575" s="36"/>
      <c r="K575" s="36"/>
      <c r="L575" s="35"/>
      <c r="M575" s="38"/>
      <c r="N575" s="39"/>
      <c r="O575" s="39"/>
      <c r="P575" s="39"/>
      <c r="Q575" s="17" t="s">
        <v>32</v>
      </c>
      <c r="R575" s="50"/>
      <c r="S575" s="51"/>
      <c r="T575" s="51"/>
      <c r="U575" s="52"/>
      <c r="V575" s="52"/>
      <c r="W575" s="52"/>
      <c r="X575" s="52"/>
      <c r="Y575" s="52"/>
      <c r="Z575" s="53"/>
      <c r="AA575" s="53"/>
      <c r="AB575" s="53"/>
      <c r="AC575" s="53"/>
      <c r="AD575" s="53"/>
      <c r="AE575" s="53"/>
      <c r="AF575" s="53"/>
      <c r="AG575" s="53"/>
      <c r="AH575" s="53"/>
      <c r="AI575" s="52"/>
      <c r="AJ575" s="52"/>
      <c r="AK575" s="796"/>
      <c r="AL575" s="796"/>
      <c r="AM575" s="796"/>
      <c r="AN575" s="799"/>
    </row>
    <row r="576" spans="1:42" s="33" customFormat="1" ht="25.5" hidden="1" customHeight="1" outlineLevel="2">
      <c r="A576" s="19"/>
      <c r="B576" s="19">
        <v>31</v>
      </c>
      <c r="C576" s="19"/>
      <c r="D576" s="19" t="s">
        <v>33</v>
      </c>
      <c r="E576" s="19" t="s">
        <v>34</v>
      </c>
      <c r="F576" s="19" t="s">
        <v>84</v>
      </c>
      <c r="G576" s="20" t="s">
        <v>49</v>
      </c>
      <c r="H576" s="21" t="s">
        <v>53</v>
      </c>
      <c r="I576" s="19" t="s">
        <v>299</v>
      </c>
      <c r="J576" s="19" t="s">
        <v>399</v>
      </c>
      <c r="K576" s="22">
        <v>29</v>
      </c>
      <c r="L576" s="19" t="s">
        <v>46</v>
      </c>
      <c r="M576" s="23" t="s">
        <v>40</v>
      </c>
      <c r="N576" s="21">
        <v>30381175</v>
      </c>
      <c r="O576" s="21" t="s">
        <v>757</v>
      </c>
      <c r="P576" s="21"/>
      <c r="Q576" s="23" t="s">
        <v>400</v>
      </c>
      <c r="R576" s="24"/>
      <c r="S576" s="26">
        <v>1528367000</v>
      </c>
      <c r="T576" s="30">
        <v>527224353</v>
      </c>
      <c r="U576" s="30">
        <v>550000000</v>
      </c>
      <c r="V576" s="285">
        <f t="shared" si="305"/>
        <v>12960778</v>
      </c>
      <c r="W576" s="29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>
        <v>12960778</v>
      </c>
      <c r="AI576" s="30">
        <f t="shared" si="306"/>
        <v>537039222</v>
      </c>
      <c r="AJ576" s="30">
        <f>+S576-T576-V576-AI576</f>
        <v>451142647</v>
      </c>
      <c r="AK576" s="796" t="s">
        <v>43</v>
      </c>
      <c r="AL576" s="796" t="s">
        <v>44</v>
      </c>
      <c r="AM576" s="796"/>
      <c r="AN576" s="799"/>
    </row>
    <row r="577" spans="1:42" s="33" customFormat="1" ht="25.5" hidden="1" customHeight="1" outlineLevel="2">
      <c r="A577" s="19" t="s">
        <v>133</v>
      </c>
      <c r="B577" s="19">
        <v>31</v>
      </c>
      <c r="C577" s="19"/>
      <c r="D577" s="19" t="s">
        <v>33</v>
      </c>
      <c r="E577" s="19" t="s">
        <v>34</v>
      </c>
      <c r="F577" s="19" t="s">
        <v>84</v>
      </c>
      <c r="G577" s="20" t="s">
        <v>49</v>
      </c>
      <c r="H577" s="21" t="s">
        <v>85</v>
      </c>
      <c r="I577" s="19" t="s">
        <v>299</v>
      </c>
      <c r="J577" s="19" t="s">
        <v>399</v>
      </c>
      <c r="K577" s="22">
        <v>29</v>
      </c>
      <c r="L577" s="19" t="s">
        <v>46</v>
      </c>
      <c r="M577" s="23" t="s">
        <v>40</v>
      </c>
      <c r="N577" s="21">
        <v>30083335</v>
      </c>
      <c r="O577" s="21" t="s">
        <v>756</v>
      </c>
      <c r="P577" s="21"/>
      <c r="Q577" s="23" t="s">
        <v>401</v>
      </c>
      <c r="R577" s="24"/>
      <c r="S577" s="26">
        <v>2016128000</v>
      </c>
      <c r="T577" s="30">
        <v>82700000</v>
      </c>
      <c r="U577" s="30">
        <v>600347000</v>
      </c>
      <c r="V577" s="285">
        <f t="shared" si="305"/>
        <v>0</v>
      </c>
      <c r="W577" s="29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>
        <v>0</v>
      </c>
      <c r="AI577" s="30">
        <f t="shared" si="306"/>
        <v>600347000</v>
      </c>
      <c r="AJ577" s="30">
        <f>+S577-T577-V577-AI577</f>
        <v>1333081000</v>
      </c>
      <c r="AK577" s="796" t="s">
        <v>43</v>
      </c>
      <c r="AL577" s="796" t="s">
        <v>44</v>
      </c>
      <c r="AM577" s="796"/>
      <c r="AN577" s="799"/>
    </row>
    <row r="578" spans="1:42" s="18" customFormat="1" ht="25.5" hidden="1" customHeight="1" outlineLevel="1">
      <c r="A578" s="19"/>
      <c r="B578" s="19">
        <v>31</v>
      </c>
      <c r="C578" s="19"/>
      <c r="D578" s="19" t="s">
        <v>33</v>
      </c>
      <c r="E578" s="19" t="s">
        <v>34</v>
      </c>
      <c r="F578" s="19" t="s">
        <v>84</v>
      </c>
      <c r="G578" s="20" t="s">
        <v>36</v>
      </c>
      <c r="H578" s="21" t="s">
        <v>37</v>
      </c>
      <c r="I578" s="19" t="s">
        <v>299</v>
      </c>
      <c r="J578" s="19" t="s">
        <v>399</v>
      </c>
      <c r="K578" s="22">
        <v>29</v>
      </c>
      <c r="L578" s="19" t="s">
        <v>46</v>
      </c>
      <c r="M578" s="23" t="s">
        <v>40</v>
      </c>
      <c r="N578" s="21">
        <v>30453827</v>
      </c>
      <c r="O578" s="21" t="s">
        <v>757</v>
      </c>
      <c r="P578" s="21" t="s">
        <v>752</v>
      </c>
      <c r="Q578" s="23" t="s">
        <v>402</v>
      </c>
      <c r="R578" s="24"/>
      <c r="S578" s="26">
        <v>1298249800</v>
      </c>
      <c r="T578" s="30">
        <v>798004491</v>
      </c>
      <c r="U578" s="30">
        <f>305870623+3870223</f>
        <v>309740846</v>
      </c>
      <c r="V578" s="285">
        <f t="shared" si="305"/>
        <v>0</v>
      </c>
      <c r="W578" s="29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>
        <v>0</v>
      </c>
      <c r="AI578" s="30">
        <f t="shared" si="306"/>
        <v>309740846</v>
      </c>
      <c r="AJ578" s="30">
        <f>+S578-T578-V578-AI578</f>
        <v>190504463</v>
      </c>
      <c r="AK578" s="796" t="s">
        <v>48</v>
      </c>
      <c r="AL578" s="796" t="s">
        <v>44</v>
      </c>
      <c r="AM578" s="796"/>
      <c r="AN578" s="799"/>
    </row>
    <row r="579" spans="1:42" s="38" customFormat="1" ht="25.5" hidden="1" customHeight="1" outlineLevel="1">
      <c r="A579" s="35"/>
      <c r="B579" s="35"/>
      <c r="C579" s="35"/>
      <c r="D579" s="35"/>
      <c r="E579" s="35"/>
      <c r="F579" s="36"/>
      <c r="G579" s="36"/>
      <c r="H579" s="37"/>
      <c r="I579" s="36"/>
      <c r="J579" s="36"/>
      <c r="K579" s="36"/>
      <c r="L579" s="35"/>
      <c r="N579" s="39"/>
      <c r="O579" s="39"/>
      <c r="P579" s="39"/>
      <c r="Q579" s="132" t="s">
        <v>58</v>
      </c>
      <c r="R579" s="43"/>
      <c r="S579" s="133">
        <f t="shared" ref="S579:AJ579" si="307">SUBTOTAL(9,S576:S578)</f>
        <v>0</v>
      </c>
      <c r="T579" s="133">
        <f t="shared" ref="T579" si="308">SUBTOTAL(9,T576:T578)</f>
        <v>0</v>
      </c>
      <c r="U579" s="133">
        <f t="shared" si="307"/>
        <v>0</v>
      </c>
      <c r="V579" s="133">
        <f t="shared" si="307"/>
        <v>0</v>
      </c>
      <c r="W579" s="133">
        <f t="shared" si="307"/>
        <v>0</v>
      </c>
      <c r="X579" s="133">
        <f t="shared" si="307"/>
        <v>0</v>
      </c>
      <c r="Y579" s="133">
        <f t="shared" si="307"/>
        <v>0</v>
      </c>
      <c r="Z579" s="133">
        <f t="shared" si="307"/>
        <v>0</v>
      </c>
      <c r="AA579" s="133">
        <f t="shared" si="307"/>
        <v>0</v>
      </c>
      <c r="AB579" s="133">
        <f t="shared" si="307"/>
        <v>0</v>
      </c>
      <c r="AC579" s="133">
        <f t="shared" si="307"/>
        <v>0</v>
      </c>
      <c r="AD579" s="133">
        <f t="shared" si="307"/>
        <v>0</v>
      </c>
      <c r="AE579" s="133">
        <f t="shared" si="307"/>
        <v>0</v>
      </c>
      <c r="AF579" s="133">
        <f t="shared" si="307"/>
        <v>0</v>
      </c>
      <c r="AG579" s="133">
        <f t="shared" si="307"/>
        <v>0</v>
      </c>
      <c r="AH579" s="133">
        <v>12960778</v>
      </c>
      <c r="AI579" s="133">
        <f t="shared" si="307"/>
        <v>0</v>
      </c>
      <c r="AJ579" s="133">
        <f t="shared" si="307"/>
        <v>0</v>
      </c>
      <c r="AK579" s="796"/>
      <c r="AL579" s="796"/>
      <c r="AM579" s="796"/>
      <c r="AN579" s="799"/>
    </row>
    <row r="580" spans="1:42" s="18" customFormat="1" ht="25.5" hidden="1" customHeight="1" outlineLevel="1">
      <c r="A580" s="35"/>
      <c r="B580" s="35"/>
      <c r="C580" s="35"/>
      <c r="D580" s="35"/>
      <c r="E580" s="35"/>
      <c r="F580" s="36"/>
      <c r="G580" s="36"/>
      <c r="H580" s="37"/>
      <c r="I580" s="36"/>
      <c r="J580" s="36"/>
      <c r="K580" s="36"/>
      <c r="L580" s="35"/>
      <c r="M580" s="38"/>
      <c r="N580" s="39"/>
      <c r="O580" s="39"/>
      <c r="P580" s="39"/>
      <c r="Q580" s="46"/>
      <c r="R580" s="42"/>
      <c r="S580" s="47"/>
      <c r="T580" s="47"/>
      <c r="U580" s="47"/>
      <c r="V580" s="47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7"/>
      <c r="AJ580" s="47"/>
      <c r="AK580" s="796"/>
      <c r="AL580" s="796"/>
      <c r="AM580" s="796"/>
      <c r="AN580" s="799"/>
    </row>
    <row r="581" spans="1:42" s="33" customFormat="1" ht="25.5" hidden="1" customHeight="1" outlineLevel="2">
      <c r="A581" s="35"/>
      <c r="B581" s="35"/>
      <c r="C581" s="35"/>
      <c r="D581" s="35"/>
      <c r="E581" s="35"/>
      <c r="F581" s="36"/>
      <c r="G581" s="36"/>
      <c r="H581" s="37"/>
      <c r="I581" s="36"/>
      <c r="J581" s="36"/>
      <c r="K581" s="36"/>
      <c r="L581" s="35"/>
      <c r="M581" s="38"/>
      <c r="N581" s="39"/>
      <c r="O581" s="39"/>
      <c r="P581" s="39"/>
      <c r="Q581" s="17" t="s">
        <v>59</v>
      </c>
      <c r="R581" s="50"/>
      <c r="S581" s="51"/>
      <c r="T581" s="51"/>
      <c r="U581" s="52"/>
      <c r="V581" s="52"/>
      <c r="W581" s="52"/>
      <c r="X581" s="52"/>
      <c r="Y581" s="52"/>
      <c r="Z581" s="53"/>
      <c r="AA581" s="53"/>
      <c r="AB581" s="53"/>
      <c r="AC581" s="53"/>
      <c r="AD581" s="53"/>
      <c r="AE581" s="53"/>
      <c r="AF581" s="53"/>
      <c r="AG581" s="53"/>
      <c r="AH581" s="53"/>
      <c r="AI581" s="52"/>
      <c r="AJ581" s="52"/>
      <c r="AK581" s="796"/>
      <c r="AL581" s="796"/>
      <c r="AM581" s="796"/>
      <c r="AN581" s="799"/>
    </row>
    <row r="582" spans="1:42" s="18" customFormat="1" ht="25.5" customHeight="1" outlineLevel="1" collapsed="1">
      <c r="A582" s="54" t="s">
        <v>133</v>
      </c>
      <c r="B582" s="801">
        <v>31</v>
      </c>
      <c r="C582" s="729"/>
      <c r="D582" s="54" t="s">
        <v>33</v>
      </c>
      <c r="E582" s="801" t="s">
        <v>60</v>
      </c>
      <c r="F582" s="729" t="s">
        <v>84</v>
      </c>
      <c r="G582" s="55" t="s">
        <v>49</v>
      </c>
      <c r="H582" s="56" t="s">
        <v>85</v>
      </c>
      <c r="I582" s="801" t="s">
        <v>299</v>
      </c>
      <c r="J582" s="801" t="s">
        <v>399</v>
      </c>
      <c r="K582" s="22">
        <v>29</v>
      </c>
      <c r="L582" s="54" t="s">
        <v>46</v>
      </c>
      <c r="M582" s="802" t="s">
        <v>40</v>
      </c>
      <c r="N582" s="803">
        <v>30083300</v>
      </c>
      <c r="O582" s="770" t="s">
        <v>756</v>
      </c>
      <c r="P582" s="56"/>
      <c r="Q582" s="802" t="s">
        <v>403</v>
      </c>
      <c r="R582" s="24"/>
      <c r="S582" s="804">
        <v>4454843000</v>
      </c>
      <c r="T582" s="805">
        <v>0</v>
      </c>
      <c r="U582" s="805">
        <f>400299795+150076113.666702</f>
        <v>550375908.66670203</v>
      </c>
      <c r="V582" s="805">
        <f t="shared" si="305"/>
        <v>0</v>
      </c>
      <c r="W582" s="29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>
        <v>0</v>
      </c>
      <c r="AI582" s="805">
        <f t="shared" si="306"/>
        <v>550375908.66670203</v>
      </c>
      <c r="AJ582" s="805">
        <f>+S582-T582-V582-AI582</f>
        <v>3904467091.3332977</v>
      </c>
      <c r="AK582" s="806" t="s">
        <v>43</v>
      </c>
      <c r="AL582" s="806" t="s">
        <v>767</v>
      </c>
      <c r="AM582" s="806"/>
      <c r="AN582" s="807">
        <v>44027</v>
      </c>
      <c r="AO582" s="33" t="e">
        <f>VLOOKUP(N582,'CONVENIOS 2021'!A$1:A$53,1,FALSE)</f>
        <v>#N/A</v>
      </c>
      <c r="AP582" s="33" t="e">
        <f>VLOOKUP(N582,'CONVENIOS 2020'!A$2:A$72,1,FALSE)</f>
        <v>#N/A</v>
      </c>
    </row>
    <row r="583" spans="1:42" s="38" customFormat="1" ht="25.5" hidden="1" customHeight="1" outlineLevel="1">
      <c r="A583" s="35"/>
      <c r="B583" s="35"/>
      <c r="C583" s="35"/>
      <c r="D583" s="35"/>
      <c r="E583" s="35"/>
      <c r="F583" s="36"/>
      <c r="G583" s="36"/>
      <c r="H583" s="37"/>
      <c r="I583" s="36"/>
      <c r="J583" s="36"/>
      <c r="K583" s="36"/>
      <c r="L583" s="35"/>
      <c r="N583" s="39"/>
      <c r="O583" s="39"/>
      <c r="P583" s="39"/>
      <c r="Q583" s="139" t="s">
        <v>67</v>
      </c>
      <c r="R583" s="64"/>
      <c r="S583" s="140">
        <f t="shared" ref="S583:U583" si="309">SUBTOTAL(9,S582:S582)</f>
        <v>4454843000</v>
      </c>
      <c r="T583" s="140">
        <f t="shared" ref="T583" si="310">SUBTOTAL(9,T582:T582)</f>
        <v>0</v>
      </c>
      <c r="U583" s="140">
        <f t="shared" si="309"/>
        <v>550375908.66670203</v>
      </c>
      <c r="V583" s="140">
        <f t="shared" ref="V583:AJ583" si="311">SUBTOTAL(9,V582:V582)</f>
        <v>0</v>
      </c>
      <c r="W583" s="140">
        <f t="shared" si="311"/>
        <v>0</v>
      </c>
      <c r="X583" s="140">
        <f t="shared" si="311"/>
        <v>0</v>
      </c>
      <c r="Y583" s="140">
        <f t="shared" si="311"/>
        <v>0</v>
      </c>
      <c r="Z583" s="140">
        <f t="shared" si="311"/>
        <v>0</v>
      </c>
      <c r="AA583" s="140">
        <f t="shared" si="311"/>
        <v>0</v>
      </c>
      <c r="AB583" s="140">
        <f t="shared" si="311"/>
        <v>0</v>
      </c>
      <c r="AC583" s="140">
        <f t="shared" si="311"/>
        <v>0</v>
      </c>
      <c r="AD583" s="140">
        <f t="shared" si="311"/>
        <v>0</v>
      </c>
      <c r="AE583" s="140">
        <f t="shared" si="311"/>
        <v>0</v>
      </c>
      <c r="AF583" s="140">
        <f t="shared" si="311"/>
        <v>0</v>
      </c>
      <c r="AG583" s="140">
        <f t="shared" si="311"/>
        <v>0</v>
      </c>
      <c r="AH583" s="140">
        <v>0</v>
      </c>
      <c r="AI583" s="140">
        <f t="shared" si="311"/>
        <v>550375908.66670203</v>
      </c>
      <c r="AJ583" s="140">
        <f t="shared" si="311"/>
        <v>3904467091.3332977</v>
      </c>
      <c r="AK583" s="796"/>
      <c r="AL583" s="796"/>
      <c r="AM583" s="796"/>
      <c r="AN583" s="799"/>
    </row>
    <row r="584" spans="1:42" s="90" customFormat="1" ht="24.75" hidden="1" customHeight="1" outlineLevel="1">
      <c r="A584" s="35"/>
      <c r="B584" s="35"/>
      <c r="C584" s="35"/>
      <c r="D584" s="35"/>
      <c r="E584" s="35"/>
      <c r="F584" s="36"/>
      <c r="G584" s="36"/>
      <c r="H584" s="37"/>
      <c r="I584" s="36"/>
      <c r="J584" s="36"/>
      <c r="K584" s="36"/>
      <c r="L584" s="35"/>
      <c r="M584" s="38"/>
      <c r="N584" s="39"/>
      <c r="O584" s="39"/>
      <c r="P584" s="39"/>
      <c r="Q584" s="46"/>
      <c r="R584" s="42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796"/>
      <c r="AL584" s="796"/>
      <c r="AM584" s="796"/>
      <c r="AN584" s="799"/>
    </row>
    <row r="585" spans="1:42" s="84" customFormat="1" ht="24.75" hidden="1" customHeight="1" outlineLevel="1">
      <c r="A585" s="36"/>
      <c r="B585" s="82"/>
      <c r="C585" s="82"/>
      <c r="D585" s="36"/>
      <c r="E585" s="36"/>
      <c r="F585" s="36"/>
      <c r="G585" s="36"/>
      <c r="H585" s="37"/>
      <c r="I585" s="36"/>
      <c r="J585" s="36"/>
      <c r="K585" s="36"/>
      <c r="L585" s="82"/>
      <c r="N585" s="83"/>
      <c r="O585" s="39"/>
      <c r="P585" s="39"/>
      <c r="Q585" s="85" t="s">
        <v>404</v>
      </c>
      <c r="R585" s="86"/>
      <c r="S585" s="88">
        <f t="shared" ref="S585:U585" si="312">S579+S583</f>
        <v>4454843000</v>
      </c>
      <c r="T585" s="88">
        <f t="shared" ref="T585" si="313">T579+T583</f>
        <v>0</v>
      </c>
      <c r="U585" s="88">
        <f t="shared" si="312"/>
        <v>550375908.66670203</v>
      </c>
      <c r="V585" s="88">
        <f t="shared" ref="V585:AJ585" si="314">V579+V583</f>
        <v>0</v>
      </c>
      <c r="W585" s="88">
        <f t="shared" si="314"/>
        <v>0</v>
      </c>
      <c r="X585" s="88">
        <f t="shared" si="314"/>
        <v>0</v>
      </c>
      <c r="Y585" s="88">
        <f t="shared" si="314"/>
        <v>0</v>
      </c>
      <c r="Z585" s="88">
        <f t="shared" si="314"/>
        <v>0</v>
      </c>
      <c r="AA585" s="88">
        <f t="shared" si="314"/>
        <v>0</v>
      </c>
      <c r="AB585" s="88">
        <f t="shared" si="314"/>
        <v>0</v>
      </c>
      <c r="AC585" s="88">
        <f t="shared" si="314"/>
        <v>0</v>
      </c>
      <c r="AD585" s="88">
        <f t="shared" si="314"/>
        <v>0</v>
      </c>
      <c r="AE585" s="88">
        <f t="shared" si="314"/>
        <v>0</v>
      </c>
      <c r="AF585" s="88">
        <f t="shared" si="314"/>
        <v>0</v>
      </c>
      <c r="AG585" s="88">
        <f t="shared" si="314"/>
        <v>0</v>
      </c>
      <c r="AH585" s="88">
        <v>12960778</v>
      </c>
      <c r="AI585" s="88">
        <f t="shared" si="314"/>
        <v>550375908.66670203</v>
      </c>
      <c r="AJ585" s="88">
        <f t="shared" si="314"/>
        <v>3904467091.3332977</v>
      </c>
      <c r="AK585" s="796"/>
      <c r="AL585" s="796"/>
      <c r="AM585" s="796"/>
      <c r="AN585" s="799"/>
    </row>
    <row r="586" spans="1:42" s="90" customFormat="1" ht="24.75" hidden="1" customHeight="1" outlineLevel="1">
      <c r="A586" s="36"/>
      <c r="B586" s="82"/>
      <c r="C586" s="82"/>
      <c r="D586" s="36"/>
      <c r="E586" s="36"/>
      <c r="F586" s="36"/>
      <c r="G586" s="36"/>
      <c r="H586" s="37"/>
      <c r="I586" s="36"/>
      <c r="J586" s="36"/>
      <c r="K586" s="36"/>
      <c r="L586" s="82"/>
      <c r="M586" s="84"/>
      <c r="N586" s="83"/>
      <c r="O586" s="39"/>
      <c r="P586" s="39"/>
      <c r="Q586" s="91"/>
      <c r="R586" s="87"/>
      <c r="S586" s="92"/>
      <c r="T586" s="92"/>
      <c r="U586" s="92"/>
      <c r="V586" s="92"/>
      <c r="W586" s="205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92"/>
      <c r="AJ586" s="92"/>
      <c r="AK586" s="796"/>
      <c r="AL586" s="796"/>
      <c r="AM586" s="796"/>
      <c r="AN586" s="799"/>
    </row>
    <row r="587" spans="1:42" s="84" customFormat="1" ht="24.75" hidden="1" customHeight="1" outlineLevel="1">
      <c r="A587" s="36"/>
      <c r="B587" s="82"/>
      <c r="C587" s="82"/>
      <c r="D587" s="36"/>
      <c r="E587" s="36"/>
      <c r="F587" s="36"/>
      <c r="G587" s="36"/>
      <c r="H587" s="37"/>
      <c r="I587" s="36"/>
      <c r="J587" s="36"/>
      <c r="K587" s="36"/>
      <c r="L587" s="82"/>
      <c r="N587" s="83"/>
      <c r="O587" s="39"/>
      <c r="P587" s="39"/>
      <c r="Q587" s="85" t="s">
        <v>405</v>
      </c>
      <c r="R587" s="111"/>
      <c r="S587" s="88">
        <f t="shared" ref="S587:AJ587" si="315">S585+S572+S556+S535+S512+S498+S485+S464+S448+S430+S410</f>
        <v>11678372000</v>
      </c>
      <c r="T587" s="88">
        <f t="shared" si="315"/>
        <v>0</v>
      </c>
      <c r="U587" s="88">
        <f t="shared" si="315"/>
        <v>3071477878.6667023</v>
      </c>
      <c r="V587" s="88">
        <f t="shared" si="315"/>
        <v>0</v>
      </c>
      <c r="W587" s="88">
        <f t="shared" si="315"/>
        <v>0</v>
      </c>
      <c r="X587" s="88">
        <f t="shared" si="315"/>
        <v>0</v>
      </c>
      <c r="Y587" s="88">
        <f t="shared" si="315"/>
        <v>0</v>
      </c>
      <c r="Z587" s="88">
        <f t="shared" si="315"/>
        <v>0</v>
      </c>
      <c r="AA587" s="88">
        <f t="shared" si="315"/>
        <v>0</v>
      </c>
      <c r="AB587" s="88">
        <f t="shared" si="315"/>
        <v>0</v>
      </c>
      <c r="AC587" s="88">
        <f t="shared" si="315"/>
        <v>0</v>
      </c>
      <c r="AD587" s="88">
        <f t="shared" si="315"/>
        <v>0</v>
      </c>
      <c r="AE587" s="88">
        <f t="shared" si="315"/>
        <v>0</v>
      </c>
      <c r="AF587" s="88">
        <f t="shared" si="315"/>
        <v>0</v>
      </c>
      <c r="AG587" s="88">
        <f t="shared" si="315"/>
        <v>0</v>
      </c>
      <c r="AH587" s="88">
        <v>678320859</v>
      </c>
      <c r="AI587" s="88">
        <f t="shared" si="315"/>
        <v>3071477878.6667023</v>
      </c>
      <c r="AJ587" s="88">
        <f t="shared" si="315"/>
        <v>8606894121.3332977</v>
      </c>
      <c r="AK587" s="796"/>
      <c r="AL587" s="796"/>
      <c r="AM587" s="796"/>
      <c r="AN587" s="799"/>
    </row>
    <row r="588" spans="1:42" s="84" customFormat="1" ht="24.75" hidden="1" customHeight="1" outlineLevel="1">
      <c r="A588" s="36"/>
      <c r="B588" s="82"/>
      <c r="C588" s="82"/>
      <c r="D588" s="36"/>
      <c r="E588" s="36"/>
      <c r="F588" s="36"/>
      <c r="G588" s="36"/>
      <c r="H588" s="37"/>
      <c r="I588" s="36"/>
      <c r="J588" s="36"/>
      <c r="K588" s="36"/>
      <c r="L588" s="82"/>
      <c r="N588" s="83"/>
      <c r="O588" s="39"/>
      <c r="P588" s="39"/>
      <c r="Q588" s="91"/>
      <c r="R588" s="87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796"/>
      <c r="AL588" s="796"/>
      <c r="AM588" s="796"/>
      <c r="AN588" s="799"/>
    </row>
    <row r="589" spans="1:42" s="18" customFormat="1" ht="25.5" hidden="1" customHeight="1" outlineLevel="1">
      <c r="A589" s="36"/>
      <c r="B589" s="36"/>
      <c r="C589" s="36"/>
      <c r="D589" s="36"/>
      <c r="E589" s="36"/>
      <c r="F589" s="36"/>
      <c r="G589" s="36"/>
      <c r="H589" s="37"/>
      <c r="I589" s="36"/>
      <c r="J589" s="36"/>
      <c r="K589" s="36"/>
      <c r="L589" s="36"/>
      <c r="M589" s="95"/>
      <c r="N589" s="37"/>
      <c r="O589" s="39"/>
      <c r="P589" s="39"/>
      <c r="Q589" s="96" t="s">
        <v>406</v>
      </c>
      <c r="R589" s="50"/>
      <c r="S589" s="97"/>
      <c r="T589" s="97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796"/>
      <c r="AL589" s="796"/>
      <c r="AM589" s="796"/>
      <c r="AN589" s="799"/>
    </row>
    <row r="590" spans="1:42" s="33" customFormat="1" ht="25.5" hidden="1" customHeight="1" outlineLevel="2">
      <c r="A590" s="35"/>
      <c r="B590" s="35"/>
      <c r="C590" s="35"/>
      <c r="D590" s="35"/>
      <c r="E590" s="35"/>
      <c r="F590" s="36"/>
      <c r="G590" s="36"/>
      <c r="H590" s="37"/>
      <c r="I590" s="36"/>
      <c r="J590" s="36"/>
      <c r="K590" s="36"/>
      <c r="L590" s="35"/>
      <c r="M590" s="38"/>
      <c r="N590" s="39"/>
      <c r="O590" s="39"/>
      <c r="P590" s="39"/>
      <c r="Q590" s="17" t="s">
        <v>32</v>
      </c>
      <c r="R590" s="50"/>
      <c r="S590" s="51"/>
      <c r="T590" s="51"/>
      <c r="U590" s="52"/>
      <c r="V590" s="52"/>
      <c r="W590" s="52"/>
      <c r="X590" s="52"/>
      <c r="Y590" s="52"/>
      <c r="Z590" s="53"/>
      <c r="AA590" s="53"/>
      <c r="AB590" s="53"/>
      <c r="AC590" s="53"/>
      <c r="AD590" s="53"/>
      <c r="AE590" s="53"/>
      <c r="AF590" s="53"/>
      <c r="AG590" s="53"/>
      <c r="AH590" s="53"/>
      <c r="AI590" s="52"/>
      <c r="AJ590" s="52"/>
      <c r="AK590" s="796"/>
      <c r="AL590" s="796"/>
      <c r="AM590" s="796"/>
      <c r="AN590" s="799"/>
    </row>
    <row r="591" spans="1:42" s="18" customFormat="1" ht="25.5" hidden="1" customHeight="1" outlineLevel="1">
      <c r="A591" s="19"/>
      <c r="B591" s="19">
        <v>31</v>
      </c>
      <c r="C591" s="19"/>
      <c r="D591" s="19" t="s">
        <v>33</v>
      </c>
      <c r="E591" s="19" t="s">
        <v>34</v>
      </c>
      <c r="F591" s="19" t="s">
        <v>35</v>
      </c>
      <c r="G591" s="20" t="s">
        <v>49</v>
      </c>
      <c r="H591" s="21" t="s">
        <v>61</v>
      </c>
      <c r="I591" s="19" t="s">
        <v>407</v>
      </c>
      <c r="J591" s="19" t="s">
        <v>408</v>
      </c>
      <c r="K591" s="22">
        <v>30</v>
      </c>
      <c r="L591" s="19" t="s">
        <v>46</v>
      </c>
      <c r="M591" s="23" t="s">
        <v>56</v>
      </c>
      <c r="N591" s="21">
        <v>30103541</v>
      </c>
      <c r="O591" s="21" t="s">
        <v>758</v>
      </c>
      <c r="P591" s="21"/>
      <c r="Q591" s="23" t="s">
        <v>409</v>
      </c>
      <c r="R591" s="24"/>
      <c r="S591" s="26">
        <v>137807000</v>
      </c>
      <c r="T591" s="30">
        <v>72307000</v>
      </c>
      <c r="U591" s="30">
        <v>22820000</v>
      </c>
      <c r="V591" s="285">
        <f t="shared" si="305"/>
        <v>0</v>
      </c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>
        <v>0</v>
      </c>
      <c r="AI591" s="30">
        <f t="shared" si="306"/>
        <v>22820000</v>
      </c>
      <c r="AJ591" s="30">
        <f>+S591-T591-V591-AI591</f>
        <v>42680000</v>
      </c>
      <c r="AK591" s="796" t="s">
        <v>43</v>
      </c>
      <c r="AL591" s="796" t="s">
        <v>44</v>
      </c>
      <c r="AM591" s="796"/>
      <c r="AN591" s="799"/>
    </row>
    <row r="592" spans="1:42" s="38" customFormat="1" ht="25.5" hidden="1" customHeight="1" outlineLevel="1">
      <c r="A592" s="35"/>
      <c r="B592" s="35"/>
      <c r="C592" s="35"/>
      <c r="D592" s="35"/>
      <c r="E592" s="35"/>
      <c r="F592" s="36"/>
      <c r="G592" s="36"/>
      <c r="H592" s="37"/>
      <c r="I592" s="36"/>
      <c r="J592" s="36"/>
      <c r="K592" s="36"/>
      <c r="L592" s="35"/>
      <c r="N592" s="39"/>
      <c r="O592" s="39"/>
      <c r="P592" s="39"/>
      <c r="Q592" s="132" t="s">
        <v>58</v>
      </c>
      <c r="R592" s="116"/>
      <c r="S592" s="133">
        <f t="shared" ref="S592:AJ592" si="316">SUBTOTAL(9,S591:S591)</f>
        <v>0</v>
      </c>
      <c r="T592" s="133">
        <f t="shared" ref="T592" si="317">SUBTOTAL(9,T591:T591)</f>
        <v>0</v>
      </c>
      <c r="U592" s="133">
        <f t="shared" si="316"/>
        <v>0</v>
      </c>
      <c r="V592" s="133">
        <f t="shared" si="316"/>
        <v>0</v>
      </c>
      <c r="W592" s="133">
        <f t="shared" si="316"/>
        <v>0</v>
      </c>
      <c r="X592" s="133">
        <f t="shared" si="316"/>
        <v>0</v>
      </c>
      <c r="Y592" s="133">
        <f t="shared" si="316"/>
        <v>0</v>
      </c>
      <c r="Z592" s="133">
        <f t="shared" si="316"/>
        <v>0</v>
      </c>
      <c r="AA592" s="133">
        <f t="shared" si="316"/>
        <v>0</v>
      </c>
      <c r="AB592" s="133">
        <f t="shared" si="316"/>
        <v>0</v>
      </c>
      <c r="AC592" s="133">
        <f t="shared" si="316"/>
        <v>0</v>
      </c>
      <c r="AD592" s="133">
        <f t="shared" si="316"/>
        <v>0</v>
      </c>
      <c r="AE592" s="133">
        <f t="shared" si="316"/>
        <v>0</v>
      </c>
      <c r="AF592" s="133">
        <f t="shared" si="316"/>
        <v>0</v>
      </c>
      <c r="AG592" s="133">
        <f t="shared" si="316"/>
        <v>0</v>
      </c>
      <c r="AH592" s="133">
        <v>0</v>
      </c>
      <c r="AI592" s="133">
        <f t="shared" si="316"/>
        <v>0</v>
      </c>
      <c r="AJ592" s="133">
        <f t="shared" si="316"/>
        <v>0</v>
      </c>
      <c r="AK592" s="796"/>
      <c r="AL592" s="796" t="s">
        <v>75</v>
      </c>
      <c r="AM592" s="796"/>
      <c r="AN592" s="799"/>
    </row>
    <row r="593" spans="1:40" s="18" customFormat="1" ht="25.5" hidden="1" customHeight="1" outlineLevel="1">
      <c r="A593" s="35"/>
      <c r="B593" s="35"/>
      <c r="C593" s="35"/>
      <c r="D593" s="35"/>
      <c r="E593" s="35"/>
      <c r="F593" s="36"/>
      <c r="G593" s="36"/>
      <c r="H593" s="37"/>
      <c r="I593" s="36"/>
      <c r="J593" s="36"/>
      <c r="K593" s="36"/>
      <c r="L593" s="35"/>
      <c r="M593" s="38"/>
      <c r="N593" s="39"/>
      <c r="O593" s="39"/>
      <c r="P593" s="39"/>
      <c r="Q593" s="46"/>
      <c r="R593" s="42"/>
      <c r="S593" s="47"/>
      <c r="T593" s="47"/>
      <c r="U593" s="47"/>
      <c r="V593" s="47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7"/>
      <c r="AJ593" s="47"/>
      <c r="AK593" s="796"/>
      <c r="AL593" s="796"/>
      <c r="AM593" s="796"/>
      <c r="AN593" s="799"/>
    </row>
    <row r="594" spans="1:40" s="33" customFormat="1" ht="25.5" hidden="1" customHeight="1" outlineLevel="2">
      <c r="A594" s="35"/>
      <c r="B594" s="35"/>
      <c r="C594" s="35"/>
      <c r="D594" s="35"/>
      <c r="E594" s="35"/>
      <c r="F594" s="36"/>
      <c r="G594" s="36"/>
      <c r="H594" s="37"/>
      <c r="I594" s="36"/>
      <c r="J594" s="36"/>
      <c r="K594" s="36"/>
      <c r="L594" s="35"/>
      <c r="M594" s="38"/>
      <c r="N594" s="39"/>
      <c r="O594" s="39"/>
      <c r="P594" s="39"/>
      <c r="Q594" s="17" t="s">
        <v>59</v>
      </c>
      <c r="R594" s="50"/>
      <c r="S594" s="51"/>
      <c r="T594" s="51"/>
      <c r="U594" s="52"/>
      <c r="V594" s="52"/>
      <c r="W594" s="52"/>
      <c r="X594" s="52"/>
      <c r="Y594" s="52"/>
      <c r="Z594" s="53"/>
      <c r="AA594" s="53"/>
      <c r="AB594" s="53"/>
      <c r="AC594" s="53"/>
      <c r="AD594" s="53"/>
      <c r="AE594" s="53"/>
      <c r="AF594" s="53"/>
      <c r="AG594" s="53"/>
      <c r="AH594" s="53"/>
      <c r="AI594" s="52"/>
      <c r="AJ594" s="52"/>
      <c r="AK594" s="796"/>
      <c r="AL594" s="796"/>
      <c r="AM594" s="796"/>
      <c r="AN594" s="799"/>
    </row>
    <row r="595" spans="1:40" s="18" customFormat="1" ht="25.5" hidden="1" customHeight="1" outlineLevel="1">
      <c r="A595" s="54"/>
      <c r="B595" s="54">
        <v>31</v>
      </c>
      <c r="C595" s="54"/>
      <c r="D595" s="54" t="s">
        <v>33</v>
      </c>
      <c r="E595" s="54" t="s">
        <v>60</v>
      </c>
      <c r="F595" s="54" t="s">
        <v>35</v>
      </c>
      <c r="G595" s="55" t="s">
        <v>36</v>
      </c>
      <c r="H595" s="56" t="s">
        <v>37</v>
      </c>
      <c r="I595" s="54" t="s">
        <v>407</v>
      </c>
      <c r="J595" s="54" t="s">
        <v>408</v>
      </c>
      <c r="K595" s="57">
        <v>30</v>
      </c>
      <c r="L595" s="54" t="s">
        <v>46</v>
      </c>
      <c r="M595" s="58" t="s">
        <v>159</v>
      </c>
      <c r="N595" s="56">
        <v>30186523</v>
      </c>
      <c r="O595" s="56" t="s">
        <v>758</v>
      </c>
      <c r="P595" s="56"/>
      <c r="Q595" s="58" t="s">
        <v>411</v>
      </c>
      <c r="R595" s="118"/>
      <c r="S595" s="59">
        <v>491402000</v>
      </c>
      <c r="T595" s="60">
        <v>23100000</v>
      </c>
      <c r="U595" s="60">
        <v>96264227</v>
      </c>
      <c r="V595" s="292">
        <f t="shared" si="305"/>
        <v>0</v>
      </c>
      <c r="W595" s="119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28">
        <v>0</v>
      </c>
      <c r="AI595" s="60">
        <f t="shared" si="306"/>
        <v>96264227</v>
      </c>
      <c r="AJ595" s="60">
        <f>+S595-T595-V595-AI595</f>
        <v>372037773</v>
      </c>
      <c r="AK595" s="796" t="s">
        <v>43</v>
      </c>
      <c r="AL595" s="796" t="s">
        <v>410</v>
      </c>
      <c r="AM595" s="796"/>
      <c r="AN595" s="799"/>
    </row>
    <row r="596" spans="1:40" s="18" customFormat="1" ht="25.5" hidden="1" customHeight="1" outlineLevel="1">
      <c r="A596" s="35"/>
      <c r="B596" s="35"/>
      <c r="C596" s="35"/>
      <c r="D596" s="35"/>
      <c r="E596" s="35"/>
      <c r="F596" s="36"/>
      <c r="G596" s="36"/>
      <c r="H596" s="37"/>
      <c r="I596" s="36"/>
      <c r="J596" s="36"/>
      <c r="K596" s="36"/>
      <c r="L596" s="35"/>
      <c r="M596" s="38"/>
      <c r="N596" s="39"/>
      <c r="O596" s="39"/>
      <c r="P596" s="39"/>
      <c r="Q596" s="139" t="s">
        <v>67</v>
      </c>
      <c r="R596" s="64"/>
      <c r="S596" s="140">
        <f t="shared" ref="S596:AJ596" si="318">SUBTOTAL(9,S595:S595)</f>
        <v>0</v>
      </c>
      <c r="T596" s="140">
        <f t="shared" ref="T596" si="319">SUBTOTAL(9,T595:T595)</f>
        <v>0</v>
      </c>
      <c r="U596" s="140">
        <f t="shared" si="318"/>
        <v>0</v>
      </c>
      <c r="V596" s="140">
        <f t="shared" si="318"/>
        <v>0</v>
      </c>
      <c r="W596" s="140">
        <f t="shared" si="318"/>
        <v>0</v>
      </c>
      <c r="X596" s="140">
        <f t="shared" si="318"/>
        <v>0</v>
      </c>
      <c r="Y596" s="140">
        <f t="shared" si="318"/>
        <v>0</v>
      </c>
      <c r="Z596" s="140">
        <f t="shared" si="318"/>
        <v>0</v>
      </c>
      <c r="AA596" s="140">
        <f t="shared" si="318"/>
        <v>0</v>
      </c>
      <c r="AB596" s="140">
        <f t="shared" si="318"/>
        <v>0</v>
      </c>
      <c r="AC596" s="140">
        <f t="shared" si="318"/>
        <v>0</v>
      </c>
      <c r="AD596" s="140">
        <f t="shared" si="318"/>
        <v>0</v>
      </c>
      <c r="AE596" s="140">
        <f t="shared" si="318"/>
        <v>0</v>
      </c>
      <c r="AF596" s="140">
        <f t="shared" si="318"/>
        <v>0</v>
      </c>
      <c r="AG596" s="140">
        <f t="shared" si="318"/>
        <v>0</v>
      </c>
      <c r="AH596" s="140">
        <v>0</v>
      </c>
      <c r="AI596" s="140">
        <f t="shared" si="318"/>
        <v>0</v>
      </c>
      <c r="AJ596" s="140">
        <f t="shared" si="318"/>
        <v>0</v>
      </c>
      <c r="AK596" s="796"/>
      <c r="AL596" s="796"/>
      <c r="AM596" s="796"/>
      <c r="AN596" s="799"/>
    </row>
    <row r="597" spans="1:40" s="90" customFormat="1" ht="24.75" hidden="1" customHeight="1" outlineLevel="1">
      <c r="A597" s="35"/>
      <c r="B597" s="35"/>
      <c r="C597" s="35"/>
      <c r="D597" s="35"/>
      <c r="E597" s="35"/>
      <c r="F597" s="36"/>
      <c r="G597" s="36"/>
      <c r="H597" s="37"/>
      <c r="I597" s="36"/>
      <c r="J597" s="36"/>
      <c r="K597" s="36"/>
      <c r="L597" s="35"/>
      <c r="M597" s="38"/>
      <c r="N597" s="39"/>
      <c r="O597" s="39"/>
      <c r="P597" s="39"/>
      <c r="Q597" s="46"/>
      <c r="R597" s="42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796"/>
      <c r="AL597" s="796"/>
      <c r="AM597" s="796"/>
      <c r="AN597" s="799"/>
    </row>
    <row r="598" spans="1:40" s="90" customFormat="1" ht="24.75" hidden="1" customHeight="1" outlineLevel="1">
      <c r="A598" s="35"/>
      <c r="B598" s="35"/>
      <c r="C598" s="35"/>
      <c r="D598" s="35"/>
      <c r="E598" s="35"/>
      <c r="F598" s="36"/>
      <c r="G598" s="36"/>
      <c r="H598" s="37"/>
      <c r="I598" s="36"/>
      <c r="J598" s="36"/>
      <c r="K598" s="36"/>
      <c r="L598" s="35"/>
      <c r="M598" s="38"/>
      <c r="N598" s="39"/>
      <c r="O598" s="39"/>
      <c r="P598" s="39"/>
      <c r="Q598" s="17" t="s">
        <v>68</v>
      </c>
      <c r="R598" s="42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796"/>
      <c r="AL598" s="796"/>
      <c r="AM598" s="796"/>
      <c r="AN598" s="799"/>
    </row>
    <row r="599" spans="1:40" s="90" customFormat="1" ht="24.75" hidden="1" customHeight="1" outlineLevel="1">
      <c r="A599" s="102"/>
      <c r="B599" s="102">
        <v>29</v>
      </c>
      <c r="C599" s="102"/>
      <c r="D599" s="102" t="s">
        <v>92</v>
      </c>
      <c r="E599" s="66" t="s">
        <v>69</v>
      </c>
      <c r="F599" s="103"/>
      <c r="G599" s="103"/>
      <c r="H599" s="68" t="s">
        <v>45</v>
      </c>
      <c r="I599" s="66" t="s">
        <v>407</v>
      </c>
      <c r="J599" s="66" t="s">
        <v>408</v>
      </c>
      <c r="K599" s="69">
        <v>30</v>
      </c>
      <c r="L599" s="102" t="s">
        <v>46</v>
      </c>
      <c r="M599" s="104" t="s">
        <v>40</v>
      </c>
      <c r="N599" s="105">
        <v>40019239</v>
      </c>
      <c r="O599" s="68"/>
      <c r="P599" s="68"/>
      <c r="Q599" s="206" t="s">
        <v>412</v>
      </c>
      <c r="R599" s="106"/>
      <c r="S599" s="71">
        <v>534255000</v>
      </c>
      <c r="T599" s="71">
        <v>0</v>
      </c>
      <c r="U599" s="71">
        <v>300000000</v>
      </c>
      <c r="V599" s="302">
        <f t="shared" si="305"/>
        <v>0</v>
      </c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8">
        <v>0</v>
      </c>
      <c r="AI599" s="72">
        <f t="shared" si="306"/>
        <v>300000000</v>
      </c>
      <c r="AJ599" s="72">
        <f>+S599-T599-V599-AI599</f>
        <v>234255000</v>
      </c>
      <c r="AK599" s="796" t="s">
        <v>48</v>
      </c>
      <c r="AL599" s="796"/>
      <c r="AM599" s="796"/>
      <c r="AN599" s="799"/>
    </row>
    <row r="600" spans="1:40" s="18" customFormat="1" ht="25.5" hidden="1" customHeight="1" outlineLevel="1">
      <c r="A600" s="66"/>
      <c r="B600" s="66">
        <v>33</v>
      </c>
      <c r="C600" s="66"/>
      <c r="D600" s="66" t="s">
        <v>76</v>
      </c>
      <c r="E600" s="66" t="s">
        <v>69</v>
      </c>
      <c r="F600" s="66" t="s">
        <v>35</v>
      </c>
      <c r="G600" s="67" t="s">
        <v>49</v>
      </c>
      <c r="H600" s="68" t="s">
        <v>61</v>
      </c>
      <c r="I600" s="66" t="s">
        <v>407</v>
      </c>
      <c r="J600" s="66" t="s">
        <v>408</v>
      </c>
      <c r="K600" s="69">
        <v>30</v>
      </c>
      <c r="L600" s="66" t="s">
        <v>76</v>
      </c>
      <c r="M600" s="70" t="s">
        <v>40</v>
      </c>
      <c r="N600" s="68" t="s">
        <v>76</v>
      </c>
      <c r="O600" s="68"/>
      <c r="P600" s="68"/>
      <c r="Q600" s="70" t="s">
        <v>77</v>
      </c>
      <c r="R600" s="77"/>
      <c r="S600" s="188">
        <v>200000000</v>
      </c>
      <c r="T600" s="72">
        <v>0</v>
      </c>
      <c r="U600" s="189">
        <v>200000000</v>
      </c>
      <c r="V600" s="296">
        <f t="shared" si="305"/>
        <v>0</v>
      </c>
      <c r="W600" s="79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>
        <f t="shared" si="306"/>
        <v>200000000</v>
      </c>
      <c r="AJ600" s="72">
        <f>+S600-T600-V600-AI600</f>
        <v>0</v>
      </c>
      <c r="AK600" s="796" t="s">
        <v>78</v>
      </c>
      <c r="AL600" s="796"/>
      <c r="AM600" s="796"/>
      <c r="AN600" s="799"/>
    </row>
    <row r="601" spans="1:40" s="90" customFormat="1" ht="24.75" hidden="1" customHeight="1" outlineLevel="1">
      <c r="A601" s="35"/>
      <c r="B601" s="35"/>
      <c r="C601" s="35"/>
      <c r="D601" s="35"/>
      <c r="E601" s="35"/>
      <c r="F601" s="36"/>
      <c r="G601" s="36"/>
      <c r="H601" s="37"/>
      <c r="I601" s="36"/>
      <c r="J601" s="36"/>
      <c r="K601" s="36"/>
      <c r="L601" s="35"/>
      <c r="M601" s="38"/>
      <c r="N601" s="39"/>
      <c r="O601" s="39"/>
      <c r="P601" s="39"/>
      <c r="Q601" s="134" t="s">
        <v>80</v>
      </c>
      <c r="R601" s="135"/>
      <c r="S601" s="110">
        <f t="shared" ref="S601:U601" si="320">SUBTOTAL(9,S599:S600)</f>
        <v>0</v>
      </c>
      <c r="T601" s="110">
        <f t="shared" ref="T601" si="321">SUBTOTAL(9,T599:T600)</f>
        <v>0</v>
      </c>
      <c r="U601" s="110">
        <f t="shared" si="320"/>
        <v>0</v>
      </c>
      <c r="V601" s="110">
        <f t="shared" ref="V601:AJ601" si="322">SUBTOTAL(9,V599:V600)</f>
        <v>0</v>
      </c>
      <c r="W601" s="110">
        <f t="shared" si="322"/>
        <v>0</v>
      </c>
      <c r="X601" s="110">
        <f t="shared" si="322"/>
        <v>0</v>
      </c>
      <c r="Y601" s="110">
        <f t="shared" si="322"/>
        <v>0</v>
      </c>
      <c r="Z601" s="110">
        <f t="shared" si="322"/>
        <v>0</v>
      </c>
      <c r="AA601" s="110">
        <f t="shared" si="322"/>
        <v>0</v>
      </c>
      <c r="AB601" s="110">
        <f t="shared" si="322"/>
        <v>0</v>
      </c>
      <c r="AC601" s="110">
        <f t="shared" si="322"/>
        <v>0</v>
      </c>
      <c r="AD601" s="110">
        <f t="shared" si="322"/>
        <v>0</v>
      </c>
      <c r="AE601" s="110">
        <f t="shared" si="322"/>
        <v>0</v>
      </c>
      <c r="AF601" s="110">
        <f t="shared" si="322"/>
        <v>0</v>
      </c>
      <c r="AG601" s="110">
        <f t="shared" si="322"/>
        <v>0</v>
      </c>
      <c r="AH601" s="110">
        <v>0</v>
      </c>
      <c r="AI601" s="110">
        <f t="shared" si="322"/>
        <v>0</v>
      </c>
      <c r="AJ601" s="110">
        <f t="shared" si="322"/>
        <v>0</v>
      </c>
      <c r="AK601" s="796"/>
      <c r="AL601" s="796"/>
      <c r="AM601" s="796"/>
      <c r="AN601" s="799"/>
    </row>
    <row r="602" spans="1:40" s="90" customFormat="1" ht="24.75" hidden="1" customHeight="1" outlineLevel="1">
      <c r="A602" s="35"/>
      <c r="B602" s="35"/>
      <c r="C602" s="35"/>
      <c r="D602" s="35"/>
      <c r="E602" s="35"/>
      <c r="F602" s="36"/>
      <c r="G602" s="36"/>
      <c r="H602" s="37"/>
      <c r="I602" s="36"/>
      <c r="J602" s="36"/>
      <c r="K602" s="36"/>
      <c r="L602" s="35"/>
      <c r="M602" s="38"/>
      <c r="N602" s="39"/>
      <c r="O602" s="39"/>
      <c r="P602" s="39"/>
      <c r="Q602" s="46"/>
      <c r="R602" s="42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796"/>
      <c r="AL602" s="796"/>
      <c r="AM602" s="796"/>
      <c r="AN602" s="799"/>
    </row>
    <row r="603" spans="1:40" s="84" customFormat="1" ht="24.75" hidden="1" customHeight="1" outlineLevel="1">
      <c r="A603" s="36"/>
      <c r="B603" s="82"/>
      <c r="C603" s="82"/>
      <c r="D603" s="36"/>
      <c r="E603" s="36"/>
      <c r="F603" s="36"/>
      <c r="G603" s="36"/>
      <c r="H603" s="37"/>
      <c r="I603" s="36"/>
      <c r="J603" s="36"/>
      <c r="K603" s="36"/>
      <c r="L603" s="82"/>
      <c r="N603" s="83"/>
      <c r="O603" s="39"/>
      <c r="P603" s="39"/>
      <c r="Q603" s="85" t="s">
        <v>413</v>
      </c>
      <c r="R603" s="111"/>
      <c r="S603" s="88">
        <f t="shared" ref="S603:U603" si="323">S596+S592+S601</f>
        <v>0</v>
      </c>
      <c r="T603" s="88">
        <f t="shared" ref="T603" si="324">T596+T592+T601</f>
        <v>0</v>
      </c>
      <c r="U603" s="88">
        <f t="shared" si="323"/>
        <v>0</v>
      </c>
      <c r="V603" s="88">
        <f t="shared" ref="V603:AJ603" si="325">V596+V592+V601</f>
        <v>0</v>
      </c>
      <c r="W603" s="88">
        <f t="shared" si="325"/>
        <v>0</v>
      </c>
      <c r="X603" s="88">
        <f t="shared" si="325"/>
        <v>0</v>
      </c>
      <c r="Y603" s="88">
        <f t="shared" si="325"/>
        <v>0</v>
      </c>
      <c r="Z603" s="88">
        <f t="shared" si="325"/>
        <v>0</v>
      </c>
      <c r="AA603" s="88">
        <f t="shared" si="325"/>
        <v>0</v>
      </c>
      <c r="AB603" s="88">
        <f t="shared" si="325"/>
        <v>0</v>
      </c>
      <c r="AC603" s="88">
        <f t="shared" si="325"/>
        <v>0</v>
      </c>
      <c r="AD603" s="88">
        <f t="shared" si="325"/>
        <v>0</v>
      </c>
      <c r="AE603" s="88">
        <f t="shared" si="325"/>
        <v>0</v>
      </c>
      <c r="AF603" s="88">
        <f t="shared" si="325"/>
        <v>0</v>
      </c>
      <c r="AG603" s="88">
        <f t="shared" si="325"/>
        <v>0</v>
      </c>
      <c r="AH603" s="88">
        <v>0</v>
      </c>
      <c r="AI603" s="88">
        <f t="shared" si="325"/>
        <v>0</v>
      </c>
      <c r="AJ603" s="88">
        <f t="shared" si="325"/>
        <v>0</v>
      </c>
      <c r="AK603" s="796"/>
      <c r="AL603" s="796"/>
      <c r="AM603" s="796"/>
      <c r="AN603" s="799"/>
    </row>
    <row r="604" spans="1:40" s="84" customFormat="1" ht="24.75" hidden="1" customHeight="1" outlineLevel="1">
      <c r="A604" s="36"/>
      <c r="B604" s="82"/>
      <c r="C604" s="82"/>
      <c r="D604" s="36"/>
      <c r="E604" s="36"/>
      <c r="F604" s="36"/>
      <c r="G604" s="36"/>
      <c r="H604" s="37"/>
      <c r="I604" s="36"/>
      <c r="J604" s="36"/>
      <c r="K604" s="36"/>
      <c r="L604" s="82"/>
      <c r="N604" s="83"/>
      <c r="O604" s="39"/>
      <c r="P604" s="39"/>
      <c r="Q604" s="91"/>
      <c r="R604" s="87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796"/>
      <c r="AL604" s="796"/>
      <c r="AM604" s="796"/>
      <c r="AN604" s="799"/>
    </row>
    <row r="605" spans="1:40" s="84" customFormat="1" ht="24.75" hidden="1" customHeight="1" outlineLevel="1">
      <c r="A605" s="36"/>
      <c r="B605" s="82"/>
      <c r="C605" s="82"/>
      <c r="D605" s="36"/>
      <c r="E605" s="36"/>
      <c r="F605" s="36"/>
      <c r="G605" s="36"/>
      <c r="H605" s="37"/>
      <c r="I605" s="36"/>
      <c r="J605" s="36"/>
      <c r="K605" s="36"/>
      <c r="L605" s="82"/>
      <c r="N605" s="83"/>
      <c r="O605" s="39"/>
      <c r="P605" s="39"/>
      <c r="Q605" s="596"/>
      <c r="R605" s="87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796"/>
      <c r="AL605" s="796"/>
      <c r="AM605" s="796"/>
      <c r="AN605" s="799"/>
    </row>
    <row r="606" spans="1:40" s="18" customFormat="1" ht="25.5" hidden="1" customHeight="1" outlineLevel="1">
      <c r="A606" s="36"/>
      <c r="B606" s="36"/>
      <c r="C606" s="36"/>
      <c r="D606" s="36"/>
      <c r="E606" s="36"/>
      <c r="F606" s="36"/>
      <c r="G606" s="36"/>
      <c r="H606" s="37"/>
      <c r="I606" s="36"/>
      <c r="J606" s="36"/>
      <c r="K606" s="36"/>
      <c r="L606" s="36"/>
      <c r="M606" s="95"/>
      <c r="N606" s="37"/>
      <c r="O606" s="39"/>
      <c r="P606" s="39"/>
      <c r="Q606" s="96" t="s">
        <v>414</v>
      </c>
      <c r="R606" s="50"/>
      <c r="S606" s="97"/>
      <c r="T606" s="97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796"/>
      <c r="AL606" s="796"/>
      <c r="AM606" s="796"/>
      <c r="AN606" s="799"/>
    </row>
    <row r="607" spans="1:40" s="33" customFormat="1" ht="25.5" hidden="1" customHeight="1" outlineLevel="2">
      <c r="A607" s="35"/>
      <c r="B607" s="35"/>
      <c r="C607" s="35"/>
      <c r="D607" s="35"/>
      <c r="E607" s="35"/>
      <c r="F607" s="36"/>
      <c r="G607" s="36"/>
      <c r="H607" s="37"/>
      <c r="I607" s="36"/>
      <c r="J607" s="36"/>
      <c r="K607" s="36"/>
      <c r="L607" s="35"/>
      <c r="M607" s="38"/>
      <c r="N607" s="39"/>
      <c r="O607" s="39"/>
      <c r="P607" s="39"/>
      <c r="Q607" s="17" t="s">
        <v>32</v>
      </c>
      <c r="R607" s="50"/>
      <c r="S607" s="51"/>
      <c r="T607" s="51"/>
      <c r="U607" s="52"/>
      <c r="V607" s="52"/>
      <c r="W607" s="52"/>
      <c r="X607" s="52"/>
      <c r="Y607" s="52"/>
      <c r="Z607" s="53"/>
      <c r="AA607" s="53"/>
      <c r="AB607" s="53"/>
      <c r="AC607" s="53"/>
      <c r="AD607" s="53"/>
      <c r="AE607" s="53"/>
      <c r="AF607" s="53"/>
      <c r="AG607" s="53"/>
      <c r="AH607" s="53"/>
      <c r="AI607" s="52"/>
      <c r="AJ607" s="52"/>
      <c r="AK607" s="796"/>
      <c r="AL607" s="796"/>
      <c r="AM607" s="796"/>
      <c r="AN607" s="799"/>
    </row>
    <row r="608" spans="1:40" s="33" customFormat="1" ht="25.5" hidden="1" customHeight="1" outlineLevel="2">
      <c r="A608" s="19" t="s">
        <v>280</v>
      </c>
      <c r="B608" s="19">
        <v>31</v>
      </c>
      <c r="C608" s="19"/>
      <c r="D608" s="19" t="s">
        <v>33</v>
      </c>
      <c r="E608" s="19" t="s">
        <v>34</v>
      </c>
      <c r="F608" s="19" t="s">
        <v>84</v>
      </c>
      <c r="G608" s="20" t="s">
        <v>49</v>
      </c>
      <c r="H608" s="21" t="s">
        <v>50</v>
      </c>
      <c r="I608" s="19" t="s">
        <v>407</v>
      </c>
      <c r="J608" s="19" t="s">
        <v>415</v>
      </c>
      <c r="K608" s="22">
        <v>31</v>
      </c>
      <c r="L608" s="19" t="s">
        <v>280</v>
      </c>
      <c r="M608" s="169" t="s">
        <v>40</v>
      </c>
      <c r="N608" s="21">
        <v>30072372</v>
      </c>
      <c r="O608" s="21" t="s">
        <v>758</v>
      </c>
      <c r="P608" s="21"/>
      <c r="Q608" s="23" t="s">
        <v>416</v>
      </c>
      <c r="R608" s="24"/>
      <c r="S608" s="26">
        <v>3944224378</v>
      </c>
      <c r="T608" s="30">
        <v>3825956050</v>
      </c>
      <c r="U608" s="30">
        <v>38715777</v>
      </c>
      <c r="V608" s="285">
        <f t="shared" si="305"/>
        <v>0</v>
      </c>
      <c r="W608" s="29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>
        <v>0</v>
      </c>
      <c r="AI608" s="30">
        <f t="shared" si="306"/>
        <v>38715777</v>
      </c>
      <c r="AJ608" s="30">
        <f>+S608-T608-V608-AI608</f>
        <v>79552551</v>
      </c>
      <c r="AK608" s="796" t="s">
        <v>43</v>
      </c>
      <c r="AL608" s="796" t="s">
        <v>44</v>
      </c>
      <c r="AM608" s="796"/>
      <c r="AN608" s="799"/>
    </row>
    <row r="609" spans="1:42" s="33" customFormat="1" ht="25.5" hidden="1" customHeight="1" outlineLevel="2">
      <c r="A609" s="19" t="s">
        <v>280</v>
      </c>
      <c r="B609" s="19">
        <v>31</v>
      </c>
      <c r="C609" s="19"/>
      <c r="D609" s="19" t="s">
        <v>33</v>
      </c>
      <c r="E609" s="19" t="s">
        <v>34</v>
      </c>
      <c r="F609" s="19" t="s">
        <v>84</v>
      </c>
      <c r="G609" s="20" t="s">
        <v>49</v>
      </c>
      <c r="H609" s="21" t="s">
        <v>53</v>
      </c>
      <c r="I609" s="19" t="s">
        <v>407</v>
      </c>
      <c r="J609" s="19" t="s">
        <v>415</v>
      </c>
      <c r="K609" s="22">
        <v>31</v>
      </c>
      <c r="L609" s="19" t="s">
        <v>280</v>
      </c>
      <c r="M609" s="169" t="s">
        <v>40</v>
      </c>
      <c r="N609" s="21">
        <v>30086361</v>
      </c>
      <c r="O609" s="21" t="s">
        <v>758</v>
      </c>
      <c r="P609" s="21"/>
      <c r="Q609" s="23" t="s">
        <v>417</v>
      </c>
      <c r="R609" s="24"/>
      <c r="S609" s="26">
        <v>3900581000</v>
      </c>
      <c r="T609" s="30">
        <v>3439918627</v>
      </c>
      <c r="U609" s="30">
        <v>308041677</v>
      </c>
      <c r="V609" s="285">
        <f t="shared" si="305"/>
        <v>0</v>
      </c>
      <c r="W609" s="29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>
        <v>0</v>
      </c>
      <c r="AI609" s="30">
        <f t="shared" si="306"/>
        <v>308041677</v>
      </c>
      <c r="AJ609" s="30">
        <f>+S609-T609-V609-AI609</f>
        <v>152620696</v>
      </c>
      <c r="AK609" s="796" t="s">
        <v>42</v>
      </c>
      <c r="AL609" s="796" t="s">
        <v>44</v>
      </c>
      <c r="AM609" s="796"/>
      <c r="AN609" s="799"/>
    </row>
    <row r="610" spans="1:42" s="33" customFormat="1" ht="25.5" hidden="1" customHeight="1" outlineLevel="2">
      <c r="A610" s="19" t="s">
        <v>280</v>
      </c>
      <c r="B610" s="19">
        <v>31</v>
      </c>
      <c r="C610" s="19"/>
      <c r="D610" s="19" t="s">
        <v>33</v>
      </c>
      <c r="E610" s="19" t="s">
        <v>34</v>
      </c>
      <c r="F610" s="19"/>
      <c r="G610" s="20"/>
      <c r="H610" s="21" t="s">
        <v>37</v>
      </c>
      <c r="I610" s="19" t="s">
        <v>407</v>
      </c>
      <c r="J610" s="19" t="s">
        <v>415</v>
      </c>
      <c r="K610" s="22">
        <v>31</v>
      </c>
      <c r="L610" s="19" t="s">
        <v>280</v>
      </c>
      <c r="M610" s="23" t="s">
        <v>40</v>
      </c>
      <c r="N610" s="21">
        <v>30102779</v>
      </c>
      <c r="O610" s="21" t="s">
        <v>758</v>
      </c>
      <c r="P610" s="21"/>
      <c r="Q610" s="23" t="s">
        <v>418</v>
      </c>
      <c r="R610" s="24"/>
      <c r="S610" s="26">
        <v>703415000</v>
      </c>
      <c r="T610" s="30">
        <v>563024010</v>
      </c>
      <c r="U610" s="30">
        <v>139920811</v>
      </c>
      <c r="V610" s="285">
        <f t="shared" si="305"/>
        <v>0</v>
      </c>
      <c r="W610" s="29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>
        <v>0</v>
      </c>
      <c r="AI610" s="30">
        <f t="shared" si="306"/>
        <v>139920811</v>
      </c>
      <c r="AJ610" s="30">
        <f>+S610-T610-V610-AI610</f>
        <v>470179</v>
      </c>
      <c r="AK610" s="796" t="s">
        <v>43</v>
      </c>
      <c r="AL610" s="796" t="s">
        <v>44</v>
      </c>
      <c r="AM610" s="796"/>
      <c r="AN610" s="799"/>
    </row>
    <row r="611" spans="1:42" s="33" customFormat="1" ht="25.5" hidden="1" customHeight="1" outlineLevel="2">
      <c r="A611" s="19"/>
      <c r="B611" s="19">
        <v>31</v>
      </c>
      <c r="C611" s="19"/>
      <c r="D611" s="19" t="s">
        <v>33</v>
      </c>
      <c r="E611" s="19" t="s">
        <v>34</v>
      </c>
      <c r="F611" s="19" t="s">
        <v>84</v>
      </c>
      <c r="G611" s="20" t="s">
        <v>49</v>
      </c>
      <c r="H611" s="21" t="s">
        <v>64</v>
      </c>
      <c r="I611" s="19" t="s">
        <v>407</v>
      </c>
      <c r="J611" s="19" t="s">
        <v>415</v>
      </c>
      <c r="K611" s="22">
        <v>31</v>
      </c>
      <c r="L611" s="19" t="s">
        <v>46</v>
      </c>
      <c r="M611" s="21" t="s">
        <v>56</v>
      </c>
      <c r="N611" s="21">
        <v>30352430</v>
      </c>
      <c r="O611" s="21" t="s">
        <v>758</v>
      </c>
      <c r="P611" s="21"/>
      <c r="Q611" s="23" t="s">
        <v>419</v>
      </c>
      <c r="R611" s="24"/>
      <c r="S611" s="26">
        <v>118160000</v>
      </c>
      <c r="T611" s="30">
        <v>74000000</v>
      </c>
      <c r="U611" s="30">
        <v>39000000</v>
      </c>
      <c r="V611" s="285">
        <f t="shared" si="305"/>
        <v>0</v>
      </c>
      <c r="W611" s="29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>
        <v>0</v>
      </c>
      <c r="AI611" s="30">
        <f t="shared" si="306"/>
        <v>39000000</v>
      </c>
      <c r="AJ611" s="30">
        <f>+S611-T611-V611-AI611</f>
        <v>5160000</v>
      </c>
      <c r="AK611" s="796" t="s">
        <v>43</v>
      </c>
      <c r="AL611" s="796"/>
      <c r="AM611" s="796"/>
      <c r="AN611" s="799"/>
    </row>
    <row r="612" spans="1:42" s="38" customFormat="1" ht="25.5" hidden="1" customHeight="1" outlineLevel="1">
      <c r="A612" s="35"/>
      <c r="B612" s="35"/>
      <c r="C612" s="35"/>
      <c r="D612" s="35"/>
      <c r="E612" s="35"/>
      <c r="F612" s="36"/>
      <c r="G612" s="36"/>
      <c r="H612" s="37"/>
      <c r="I612" s="36"/>
      <c r="J612" s="36"/>
      <c r="K612" s="36"/>
      <c r="L612" s="35"/>
      <c r="N612" s="39"/>
      <c r="O612" s="39"/>
      <c r="P612" s="39"/>
      <c r="Q612" s="132" t="s">
        <v>58</v>
      </c>
      <c r="R612" s="64"/>
      <c r="S612" s="133">
        <f t="shared" ref="S612:AJ612" si="326">SUBTOTAL(9,S608:S611)</f>
        <v>0</v>
      </c>
      <c r="T612" s="133">
        <f t="shared" ref="T612" si="327">SUBTOTAL(9,T608:T611)</f>
        <v>0</v>
      </c>
      <c r="U612" s="133">
        <f t="shared" si="326"/>
        <v>0</v>
      </c>
      <c r="V612" s="133">
        <f t="shared" si="326"/>
        <v>0</v>
      </c>
      <c r="W612" s="133">
        <f t="shared" si="326"/>
        <v>0</v>
      </c>
      <c r="X612" s="133">
        <f t="shared" si="326"/>
        <v>0</v>
      </c>
      <c r="Y612" s="133">
        <f t="shared" si="326"/>
        <v>0</v>
      </c>
      <c r="Z612" s="133">
        <f t="shared" si="326"/>
        <v>0</v>
      </c>
      <c r="AA612" s="133">
        <f t="shared" si="326"/>
        <v>0</v>
      </c>
      <c r="AB612" s="133">
        <f t="shared" si="326"/>
        <v>0</v>
      </c>
      <c r="AC612" s="133">
        <f t="shared" si="326"/>
        <v>0</v>
      </c>
      <c r="AD612" s="133">
        <f t="shared" si="326"/>
        <v>0</v>
      </c>
      <c r="AE612" s="133">
        <f t="shared" si="326"/>
        <v>0</v>
      </c>
      <c r="AF612" s="133">
        <f t="shared" si="326"/>
        <v>0</v>
      </c>
      <c r="AG612" s="133">
        <f t="shared" si="326"/>
        <v>0</v>
      </c>
      <c r="AH612" s="133">
        <v>0</v>
      </c>
      <c r="AI612" s="133">
        <f t="shared" si="326"/>
        <v>0</v>
      </c>
      <c r="AJ612" s="133">
        <f t="shared" si="326"/>
        <v>0</v>
      </c>
      <c r="AK612" s="796"/>
      <c r="AL612" s="796" t="s">
        <v>90</v>
      </c>
      <c r="AM612" s="796"/>
      <c r="AN612" s="799"/>
    </row>
    <row r="613" spans="1:42" s="18" customFormat="1" ht="25.5" hidden="1" customHeight="1" outlineLevel="1">
      <c r="A613" s="35"/>
      <c r="B613" s="35"/>
      <c r="C613" s="35"/>
      <c r="D613" s="35"/>
      <c r="E613" s="35"/>
      <c r="F613" s="36"/>
      <c r="G613" s="36"/>
      <c r="H613" s="37"/>
      <c r="I613" s="36"/>
      <c r="J613" s="36"/>
      <c r="K613" s="36"/>
      <c r="L613" s="35"/>
      <c r="M613" s="38"/>
      <c r="N613" s="39"/>
      <c r="O613" s="39"/>
      <c r="P613" s="39"/>
      <c r="Q613" s="46"/>
      <c r="R613" s="42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796"/>
      <c r="AL613" s="796"/>
      <c r="AM613" s="796"/>
      <c r="AN613" s="799"/>
    </row>
    <row r="614" spans="1:42" s="33" customFormat="1" ht="25.5" hidden="1" customHeight="1" outlineLevel="2">
      <c r="A614" s="35"/>
      <c r="B614" s="35"/>
      <c r="C614" s="35"/>
      <c r="D614" s="35"/>
      <c r="E614" s="35"/>
      <c r="F614" s="36"/>
      <c r="G614" s="36"/>
      <c r="H614" s="37"/>
      <c r="I614" s="36"/>
      <c r="J614" s="36"/>
      <c r="K614" s="36"/>
      <c r="L614" s="35"/>
      <c r="M614" s="38"/>
      <c r="N614" s="39"/>
      <c r="O614" s="39"/>
      <c r="P614" s="39"/>
      <c r="Q614" s="17" t="s">
        <v>59</v>
      </c>
      <c r="R614" s="50"/>
      <c r="S614" s="51"/>
      <c r="T614" s="51"/>
      <c r="U614" s="52"/>
      <c r="V614" s="52"/>
      <c r="W614" s="52"/>
      <c r="X614" s="52"/>
      <c r="Y614" s="52"/>
      <c r="Z614" s="53"/>
      <c r="AA614" s="53"/>
      <c r="AB614" s="53"/>
      <c r="AC614" s="53"/>
      <c r="AD614" s="53"/>
      <c r="AE614" s="53"/>
      <c r="AF614" s="53"/>
      <c r="AG614" s="53"/>
      <c r="AH614" s="53"/>
      <c r="AI614" s="52"/>
      <c r="AJ614" s="52"/>
      <c r="AK614" s="796"/>
      <c r="AL614" s="796"/>
      <c r="AM614" s="796"/>
      <c r="AN614" s="799"/>
    </row>
    <row r="615" spans="1:42" s="18" customFormat="1" ht="25.5" customHeight="1" outlineLevel="1" collapsed="1">
      <c r="A615" s="54"/>
      <c r="B615" s="801">
        <v>22</v>
      </c>
      <c r="C615" s="729"/>
      <c r="D615" s="54" t="s">
        <v>192</v>
      </c>
      <c r="E615" s="801" t="s">
        <v>60</v>
      </c>
      <c r="F615" s="729" t="s">
        <v>84</v>
      </c>
      <c r="G615" s="55" t="s">
        <v>49</v>
      </c>
      <c r="H615" s="56" t="s">
        <v>64</v>
      </c>
      <c r="I615" s="801" t="s">
        <v>407</v>
      </c>
      <c r="J615" s="801" t="s">
        <v>415</v>
      </c>
      <c r="K615" s="57">
        <v>31</v>
      </c>
      <c r="L615" s="54" t="s">
        <v>46</v>
      </c>
      <c r="M615" s="802" t="s">
        <v>40</v>
      </c>
      <c r="N615" s="803">
        <v>30341678</v>
      </c>
      <c r="O615" s="770" t="s">
        <v>758</v>
      </c>
      <c r="P615" s="56"/>
      <c r="Q615" s="802" t="s">
        <v>420</v>
      </c>
      <c r="R615" s="24"/>
      <c r="S615" s="804">
        <v>126058000</v>
      </c>
      <c r="T615" s="805">
        <v>0</v>
      </c>
      <c r="U615" s="805">
        <v>50000000</v>
      </c>
      <c r="V615" s="805">
        <f t="shared" si="305"/>
        <v>0</v>
      </c>
      <c r="W615" s="29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>
        <v>0</v>
      </c>
      <c r="AI615" s="805">
        <f t="shared" si="306"/>
        <v>50000000</v>
      </c>
      <c r="AJ615" s="805">
        <f>+S615-T615-V615-AI615</f>
        <v>76058000</v>
      </c>
      <c r="AK615" s="806" t="s">
        <v>48</v>
      </c>
      <c r="AL615" s="806" t="s">
        <v>759</v>
      </c>
      <c r="AM615" s="806" t="str">
        <f>HYPERLINK(CONCATENATE("DOCUMENTOS\ACTA-",N615,".PDF"))</f>
        <v>DOCUMENTOS\ACTA-30341678.PDF</v>
      </c>
      <c r="AN615" s="807"/>
      <c r="AO615" s="33" t="e">
        <f>VLOOKUP(N615,'CONVENIOS 2021'!A$1:A$53,1,FALSE)</f>
        <v>#N/A</v>
      </c>
      <c r="AP615" s="33" t="e">
        <f>VLOOKUP(N615,'CONVENIOS 2020'!A$2:A$72,1,FALSE)</f>
        <v>#N/A</v>
      </c>
    </row>
    <row r="616" spans="1:42" s="38" customFormat="1" ht="25.5" hidden="1" customHeight="1" outlineLevel="1">
      <c r="A616" s="35"/>
      <c r="B616" s="35"/>
      <c r="C616" s="35"/>
      <c r="D616" s="35"/>
      <c r="E616" s="35"/>
      <c r="F616" s="36"/>
      <c r="G616" s="36"/>
      <c r="H616" s="37"/>
      <c r="I616" s="36"/>
      <c r="J616" s="36"/>
      <c r="K616" s="36"/>
      <c r="L616" s="35"/>
      <c r="N616" s="39"/>
      <c r="O616" s="39"/>
      <c r="P616" s="39"/>
      <c r="Q616" s="139" t="s">
        <v>67</v>
      </c>
      <c r="R616" s="41"/>
      <c r="S616" s="140">
        <f t="shared" ref="S616:AJ616" si="328">SUBTOTAL(9,S615:S615)</f>
        <v>126058000</v>
      </c>
      <c r="T616" s="140">
        <f t="shared" ref="T616" si="329">SUBTOTAL(9,T615:T615)</f>
        <v>0</v>
      </c>
      <c r="U616" s="140">
        <f t="shared" si="328"/>
        <v>50000000</v>
      </c>
      <c r="V616" s="140">
        <f t="shared" si="328"/>
        <v>0</v>
      </c>
      <c r="W616" s="140">
        <f t="shared" si="328"/>
        <v>0</v>
      </c>
      <c r="X616" s="140">
        <f t="shared" si="328"/>
        <v>0</v>
      </c>
      <c r="Y616" s="140">
        <f t="shared" si="328"/>
        <v>0</v>
      </c>
      <c r="Z616" s="140">
        <f t="shared" si="328"/>
        <v>0</v>
      </c>
      <c r="AA616" s="140">
        <f t="shared" si="328"/>
        <v>0</v>
      </c>
      <c r="AB616" s="140">
        <f t="shared" si="328"/>
        <v>0</v>
      </c>
      <c r="AC616" s="140">
        <f t="shared" si="328"/>
        <v>0</v>
      </c>
      <c r="AD616" s="140">
        <f t="shared" si="328"/>
        <v>0</v>
      </c>
      <c r="AE616" s="140">
        <f t="shared" si="328"/>
        <v>0</v>
      </c>
      <c r="AF616" s="140">
        <f t="shared" si="328"/>
        <v>0</v>
      </c>
      <c r="AG616" s="140">
        <f t="shared" si="328"/>
        <v>0</v>
      </c>
      <c r="AH616" s="140">
        <v>0</v>
      </c>
      <c r="AI616" s="140">
        <f t="shared" si="328"/>
        <v>50000000</v>
      </c>
      <c r="AJ616" s="140">
        <f t="shared" si="328"/>
        <v>76058000</v>
      </c>
      <c r="AK616" s="796"/>
      <c r="AL616" s="796"/>
      <c r="AM616" s="796"/>
      <c r="AN616" s="799"/>
    </row>
    <row r="617" spans="1:42" s="90" customFormat="1" ht="24.75" hidden="1" customHeight="1" outlineLevel="1">
      <c r="A617" s="35"/>
      <c r="B617" s="35"/>
      <c r="C617" s="35"/>
      <c r="D617" s="35"/>
      <c r="E617" s="35"/>
      <c r="F617" s="36"/>
      <c r="G617" s="36"/>
      <c r="H617" s="37"/>
      <c r="I617" s="36"/>
      <c r="J617" s="36"/>
      <c r="K617" s="36"/>
      <c r="L617" s="35"/>
      <c r="M617" s="38"/>
      <c r="N617" s="39"/>
      <c r="O617" s="39"/>
      <c r="P617" s="39"/>
      <c r="Q617" s="46"/>
      <c r="R617" s="42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796"/>
      <c r="AL617" s="796"/>
      <c r="AM617" s="796"/>
      <c r="AN617" s="799"/>
    </row>
    <row r="618" spans="1:42" s="90" customFormat="1" ht="24.75" hidden="1" customHeight="1" outlineLevel="1">
      <c r="A618" s="35"/>
      <c r="B618" s="35"/>
      <c r="C618" s="35"/>
      <c r="D618" s="35"/>
      <c r="E618" s="35"/>
      <c r="F618" s="36"/>
      <c r="G618" s="36"/>
      <c r="H618" s="37"/>
      <c r="I618" s="36"/>
      <c r="J618" s="36"/>
      <c r="K618" s="36"/>
      <c r="L618" s="35"/>
      <c r="M618" s="38"/>
      <c r="N618" s="39"/>
      <c r="O618" s="39"/>
      <c r="P618" s="39"/>
      <c r="Q618" s="17" t="s">
        <v>68</v>
      </c>
      <c r="R618" s="42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796"/>
      <c r="AL618" s="796"/>
      <c r="AM618" s="796"/>
      <c r="AN618" s="799"/>
    </row>
    <row r="619" spans="1:42" s="90" customFormat="1" ht="24.75" hidden="1" customHeight="1" outlineLevel="1">
      <c r="A619" s="102"/>
      <c r="B619" s="102">
        <v>29</v>
      </c>
      <c r="C619" s="102"/>
      <c r="D619" s="102" t="s">
        <v>92</v>
      </c>
      <c r="E619" s="102" t="s">
        <v>69</v>
      </c>
      <c r="F619" s="103"/>
      <c r="G619" s="103"/>
      <c r="H619" s="68" t="s">
        <v>61</v>
      </c>
      <c r="I619" s="66" t="s">
        <v>407</v>
      </c>
      <c r="J619" s="66" t="s">
        <v>415</v>
      </c>
      <c r="K619" s="69">
        <v>31</v>
      </c>
      <c r="L619" s="102" t="s">
        <v>46</v>
      </c>
      <c r="M619" s="104" t="s">
        <v>40</v>
      </c>
      <c r="N619" s="105">
        <v>40024504</v>
      </c>
      <c r="O619" s="68"/>
      <c r="P619" s="68"/>
      <c r="Q619" s="104" t="s">
        <v>421</v>
      </c>
      <c r="R619" s="208"/>
      <c r="S619" s="71">
        <v>99048000</v>
      </c>
      <c r="T619" s="71">
        <v>0</v>
      </c>
      <c r="U619" s="71">
        <v>99048000</v>
      </c>
      <c r="V619" s="302">
        <f t="shared" si="305"/>
        <v>0</v>
      </c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8">
        <v>0</v>
      </c>
      <c r="AI619" s="72">
        <f t="shared" si="306"/>
        <v>99048000</v>
      </c>
      <c r="AJ619" s="72">
        <f>+S619-T619-V619-AI619</f>
        <v>0</v>
      </c>
      <c r="AK619" s="796" t="s">
        <v>48</v>
      </c>
      <c r="AL619" s="796"/>
      <c r="AM619" s="796"/>
      <c r="AN619" s="799"/>
    </row>
    <row r="620" spans="1:42" s="18" customFormat="1" ht="25.5" hidden="1" customHeight="1" outlineLevel="1">
      <c r="A620" s="66"/>
      <c r="B620" s="66">
        <v>33</v>
      </c>
      <c r="C620" s="66"/>
      <c r="D620" s="66" t="s">
        <v>76</v>
      </c>
      <c r="E620" s="66" t="s">
        <v>69</v>
      </c>
      <c r="F620" s="66" t="s">
        <v>35</v>
      </c>
      <c r="G620" s="67" t="s">
        <v>49</v>
      </c>
      <c r="H620" s="68" t="s">
        <v>61</v>
      </c>
      <c r="I620" s="66" t="s">
        <v>407</v>
      </c>
      <c r="J620" s="66" t="s">
        <v>415</v>
      </c>
      <c r="K620" s="69">
        <v>31</v>
      </c>
      <c r="L620" s="66" t="s">
        <v>76</v>
      </c>
      <c r="M620" s="70" t="s">
        <v>40</v>
      </c>
      <c r="N620" s="68" t="s">
        <v>76</v>
      </c>
      <c r="O620" s="68"/>
      <c r="P620" s="68"/>
      <c r="Q620" s="70" t="s">
        <v>77</v>
      </c>
      <c r="R620" s="77"/>
      <c r="S620" s="188">
        <v>200000000</v>
      </c>
      <c r="T620" s="72">
        <v>0</v>
      </c>
      <c r="U620" s="189">
        <v>200000000</v>
      </c>
      <c r="V620" s="296">
        <f t="shared" si="305"/>
        <v>49512258</v>
      </c>
      <c r="W620" s="79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>
        <v>49512258</v>
      </c>
      <c r="AI620" s="72">
        <f t="shared" si="306"/>
        <v>150487742</v>
      </c>
      <c r="AJ620" s="72">
        <f>+S620-T620-V620-AI620</f>
        <v>0</v>
      </c>
      <c r="AK620" s="796" t="s">
        <v>78</v>
      </c>
      <c r="AL620" s="796"/>
      <c r="AM620" s="796"/>
      <c r="AN620" s="799"/>
    </row>
    <row r="621" spans="1:42" s="90" customFormat="1" ht="24.75" hidden="1" customHeight="1" outlineLevel="1">
      <c r="A621" s="35"/>
      <c r="B621" s="35"/>
      <c r="C621" s="35"/>
      <c r="D621" s="35"/>
      <c r="E621" s="35"/>
      <c r="F621" s="36"/>
      <c r="G621" s="36"/>
      <c r="H621" s="37"/>
      <c r="I621" s="36"/>
      <c r="J621" s="36"/>
      <c r="K621" s="36"/>
      <c r="L621" s="35"/>
      <c r="M621" s="38"/>
      <c r="N621" s="39"/>
      <c r="O621" s="39"/>
      <c r="P621" s="39"/>
      <c r="Q621" s="134" t="s">
        <v>80</v>
      </c>
      <c r="R621" s="135"/>
      <c r="S621" s="110">
        <f t="shared" ref="S621:AJ621" si="330">SUBTOTAL(9,S619:S620)</f>
        <v>0</v>
      </c>
      <c r="T621" s="110">
        <f t="shared" ref="T621" si="331">SUBTOTAL(9,T619:T620)</f>
        <v>0</v>
      </c>
      <c r="U621" s="110">
        <f t="shared" si="330"/>
        <v>0</v>
      </c>
      <c r="V621" s="110">
        <f t="shared" si="330"/>
        <v>0</v>
      </c>
      <c r="W621" s="110">
        <f t="shared" si="330"/>
        <v>0</v>
      </c>
      <c r="X621" s="110">
        <f t="shared" si="330"/>
        <v>0</v>
      </c>
      <c r="Y621" s="110">
        <f t="shared" si="330"/>
        <v>0</v>
      </c>
      <c r="Z621" s="110">
        <f t="shared" si="330"/>
        <v>0</v>
      </c>
      <c r="AA621" s="110">
        <f t="shared" si="330"/>
        <v>0</v>
      </c>
      <c r="AB621" s="110">
        <f t="shared" si="330"/>
        <v>0</v>
      </c>
      <c r="AC621" s="110">
        <f t="shared" si="330"/>
        <v>0</v>
      </c>
      <c r="AD621" s="110">
        <f t="shared" si="330"/>
        <v>0</v>
      </c>
      <c r="AE621" s="110">
        <f t="shared" si="330"/>
        <v>0</v>
      </c>
      <c r="AF621" s="110">
        <f t="shared" si="330"/>
        <v>0</v>
      </c>
      <c r="AG621" s="110">
        <f t="shared" si="330"/>
        <v>0</v>
      </c>
      <c r="AH621" s="110">
        <v>49512258</v>
      </c>
      <c r="AI621" s="110">
        <f t="shared" si="330"/>
        <v>0</v>
      </c>
      <c r="AJ621" s="110">
        <f t="shared" si="330"/>
        <v>0</v>
      </c>
      <c r="AK621" s="796"/>
      <c r="AL621" s="796"/>
      <c r="AM621" s="796"/>
      <c r="AN621" s="799"/>
    </row>
    <row r="622" spans="1:42" s="90" customFormat="1" ht="24.75" hidden="1" customHeight="1" outlineLevel="1">
      <c r="A622" s="35"/>
      <c r="B622" s="35"/>
      <c r="C622" s="35"/>
      <c r="D622" s="35"/>
      <c r="E622" s="35"/>
      <c r="F622" s="36"/>
      <c r="G622" s="36"/>
      <c r="H622" s="37"/>
      <c r="I622" s="36"/>
      <c r="J622" s="36"/>
      <c r="K622" s="36"/>
      <c r="L622" s="35"/>
      <c r="M622" s="38"/>
      <c r="N622" s="39"/>
      <c r="O622" s="39"/>
      <c r="P622" s="39"/>
      <c r="Q622" s="46"/>
      <c r="R622" s="42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796"/>
      <c r="AL622" s="796"/>
      <c r="AM622" s="796"/>
      <c r="AN622" s="799"/>
    </row>
    <row r="623" spans="1:42" s="84" customFormat="1" ht="24.75" hidden="1" customHeight="1" outlineLevel="1">
      <c r="A623" s="36"/>
      <c r="B623" s="82"/>
      <c r="C623" s="82"/>
      <c r="D623" s="36"/>
      <c r="E623" s="36"/>
      <c r="F623" s="36"/>
      <c r="G623" s="36"/>
      <c r="H623" s="37"/>
      <c r="I623" s="36"/>
      <c r="J623" s="36"/>
      <c r="K623" s="36"/>
      <c r="L623" s="82"/>
      <c r="N623" s="83"/>
      <c r="O623" s="39"/>
      <c r="P623" s="39"/>
      <c r="Q623" s="85" t="s">
        <v>422</v>
      </c>
      <c r="R623" s="111"/>
      <c r="S623" s="88">
        <f t="shared" ref="S623:AJ623" si="332">S612+S616+S621</f>
        <v>126058000</v>
      </c>
      <c r="T623" s="88">
        <f t="shared" ref="T623" si="333">T612+T616+T621</f>
        <v>0</v>
      </c>
      <c r="U623" s="88">
        <f t="shared" si="332"/>
        <v>50000000</v>
      </c>
      <c r="V623" s="88">
        <f t="shared" si="332"/>
        <v>0</v>
      </c>
      <c r="W623" s="88">
        <f t="shared" si="332"/>
        <v>0</v>
      </c>
      <c r="X623" s="88">
        <f t="shared" si="332"/>
        <v>0</v>
      </c>
      <c r="Y623" s="88">
        <f t="shared" si="332"/>
        <v>0</v>
      </c>
      <c r="Z623" s="88">
        <f t="shared" si="332"/>
        <v>0</v>
      </c>
      <c r="AA623" s="88">
        <f t="shared" si="332"/>
        <v>0</v>
      </c>
      <c r="AB623" s="88">
        <f t="shared" si="332"/>
        <v>0</v>
      </c>
      <c r="AC623" s="88">
        <f t="shared" si="332"/>
        <v>0</v>
      </c>
      <c r="AD623" s="88">
        <f t="shared" si="332"/>
        <v>0</v>
      </c>
      <c r="AE623" s="88">
        <f t="shared" si="332"/>
        <v>0</v>
      </c>
      <c r="AF623" s="88">
        <f t="shared" si="332"/>
        <v>0</v>
      </c>
      <c r="AG623" s="88">
        <f t="shared" si="332"/>
        <v>0</v>
      </c>
      <c r="AH623" s="88">
        <v>49512258</v>
      </c>
      <c r="AI623" s="88">
        <f t="shared" si="332"/>
        <v>50000000</v>
      </c>
      <c r="AJ623" s="88">
        <f t="shared" si="332"/>
        <v>76058000</v>
      </c>
      <c r="AK623" s="796"/>
      <c r="AL623" s="796"/>
      <c r="AM623" s="796"/>
      <c r="AN623" s="799"/>
    </row>
    <row r="624" spans="1:42" s="84" customFormat="1" ht="24.75" hidden="1" customHeight="1" outlineLevel="1">
      <c r="A624" s="36"/>
      <c r="B624" s="82"/>
      <c r="C624" s="82"/>
      <c r="D624" s="36"/>
      <c r="E624" s="36"/>
      <c r="F624" s="36"/>
      <c r="G624" s="36"/>
      <c r="H624" s="37"/>
      <c r="I624" s="36"/>
      <c r="J624" s="36"/>
      <c r="K624" s="36"/>
      <c r="L624" s="82"/>
      <c r="N624" s="83"/>
      <c r="O624" s="39"/>
      <c r="P624" s="39"/>
      <c r="Q624" s="91"/>
      <c r="R624" s="87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796"/>
      <c r="AL624" s="796"/>
      <c r="AM624" s="796"/>
      <c r="AN624" s="799"/>
    </row>
    <row r="625" spans="1:42" s="18" customFormat="1" ht="25.5" hidden="1" customHeight="1" outlineLevel="1">
      <c r="A625" s="36"/>
      <c r="B625" s="36"/>
      <c r="C625" s="36"/>
      <c r="D625" s="36"/>
      <c r="E625" s="36"/>
      <c r="F625" s="36"/>
      <c r="G625" s="36"/>
      <c r="H625" s="37"/>
      <c r="I625" s="36"/>
      <c r="J625" s="36"/>
      <c r="K625" s="36"/>
      <c r="L625" s="36"/>
      <c r="M625" s="95"/>
      <c r="N625" s="37"/>
      <c r="O625" s="39"/>
      <c r="P625" s="39"/>
      <c r="Q625" s="96" t="s">
        <v>423</v>
      </c>
      <c r="R625" s="50"/>
      <c r="S625" s="97"/>
      <c r="T625" s="97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796"/>
      <c r="AL625" s="796"/>
      <c r="AM625" s="796"/>
      <c r="AN625" s="799"/>
    </row>
    <row r="626" spans="1:42" s="33" customFormat="1" ht="25.5" hidden="1" customHeight="1" outlineLevel="2">
      <c r="A626" s="35"/>
      <c r="B626" s="35"/>
      <c r="C626" s="35"/>
      <c r="D626" s="35"/>
      <c r="E626" s="35"/>
      <c r="F626" s="36"/>
      <c r="G626" s="36"/>
      <c r="H626" s="37"/>
      <c r="I626" s="36"/>
      <c r="J626" s="36"/>
      <c r="K626" s="36"/>
      <c r="L626" s="35"/>
      <c r="M626" s="38"/>
      <c r="N626" s="39"/>
      <c r="O626" s="39"/>
      <c r="P626" s="39"/>
      <c r="Q626" s="17" t="s">
        <v>32</v>
      </c>
      <c r="R626" s="50"/>
      <c r="S626" s="51"/>
      <c r="T626" s="51"/>
      <c r="U626" s="52"/>
      <c r="V626" s="52"/>
      <c r="W626" s="52"/>
      <c r="X626" s="52"/>
      <c r="Y626" s="52"/>
      <c r="Z626" s="53"/>
      <c r="AA626" s="53"/>
      <c r="AB626" s="53"/>
      <c r="AC626" s="53"/>
      <c r="AD626" s="53"/>
      <c r="AE626" s="53"/>
      <c r="AF626" s="53"/>
      <c r="AG626" s="53"/>
      <c r="AH626" s="53"/>
      <c r="AI626" s="52"/>
      <c r="AJ626" s="52"/>
      <c r="AK626" s="796"/>
      <c r="AL626" s="796"/>
      <c r="AM626" s="796"/>
      <c r="AN626" s="799"/>
    </row>
    <row r="627" spans="1:42" s="33" customFormat="1" ht="25.5" hidden="1" customHeight="1" outlineLevel="2">
      <c r="A627" s="19" t="s">
        <v>424</v>
      </c>
      <c r="B627" s="19">
        <v>31</v>
      </c>
      <c r="C627" s="19"/>
      <c r="D627" s="19" t="s">
        <v>33</v>
      </c>
      <c r="E627" s="19" t="s">
        <v>34</v>
      </c>
      <c r="F627" s="19" t="s">
        <v>84</v>
      </c>
      <c r="G627" s="20" t="s">
        <v>49</v>
      </c>
      <c r="H627" s="21" t="s">
        <v>85</v>
      </c>
      <c r="I627" s="19" t="s">
        <v>407</v>
      </c>
      <c r="J627" s="19" t="s">
        <v>425</v>
      </c>
      <c r="K627" s="22">
        <v>32</v>
      </c>
      <c r="L627" s="19" t="s">
        <v>280</v>
      </c>
      <c r="M627" s="169" t="s">
        <v>40</v>
      </c>
      <c r="N627" s="21">
        <v>30311722</v>
      </c>
      <c r="O627" s="21" t="s">
        <v>758</v>
      </c>
      <c r="P627" s="21"/>
      <c r="Q627" s="23" t="s">
        <v>426</v>
      </c>
      <c r="R627" s="24"/>
      <c r="S627" s="26">
        <v>576755000</v>
      </c>
      <c r="T627" s="30">
        <v>553325273</v>
      </c>
      <c r="U627" s="30">
        <f>222705009-199275282</f>
        <v>23429727</v>
      </c>
      <c r="V627" s="285">
        <f t="shared" si="305"/>
        <v>35723661</v>
      </c>
      <c r="W627" s="29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>
        <v>35723661</v>
      </c>
      <c r="AI627" s="30">
        <f t="shared" si="306"/>
        <v>-12293934</v>
      </c>
      <c r="AJ627" s="30">
        <f>+S627-T627-V627-AI627</f>
        <v>0</v>
      </c>
      <c r="AK627" s="796" t="s">
        <v>43</v>
      </c>
      <c r="AL627" s="796" t="s">
        <v>44</v>
      </c>
      <c r="AM627" s="796"/>
      <c r="AN627" s="799"/>
    </row>
    <row r="628" spans="1:42" s="33" customFormat="1" ht="25.5" hidden="1" customHeight="1" outlineLevel="2">
      <c r="A628" s="19"/>
      <c r="B628" s="19">
        <v>31</v>
      </c>
      <c r="C628" s="19"/>
      <c r="D628" s="19" t="s">
        <v>33</v>
      </c>
      <c r="E628" s="19" t="s">
        <v>34</v>
      </c>
      <c r="F628" s="19" t="s">
        <v>84</v>
      </c>
      <c r="G628" s="20" t="s">
        <v>49</v>
      </c>
      <c r="H628" s="21" t="s">
        <v>50</v>
      </c>
      <c r="I628" s="19" t="s">
        <v>407</v>
      </c>
      <c r="J628" s="19" t="s">
        <v>425</v>
      </c>
      <c r="K628" s="22">
        <v>32</v>
      </c>
      <c r="L628" s="19" t="s">
        <v>46</v>
      </c>
      <c r="M628" s="23" t="s">
        <v>40</v>
      </c>
      <c r="N628" s="21">
        <v>30277425</v>
      </c>
      <c r="O628" s="21" t="s">
        <v>758</v>
      </c>
      <c r="P628" s="21"/>
      <c r="Q628" s="23" t="s">
        <v>427</v>
      </c>
      <c r="R628" s="24"/>
      <c r="S628" s="26">
        <v>231709000</v>
      </c>
      <c r="T628" s="30">
        <v>217737229</v>
      </c>
      <c r="U628" s="30">
        <v>6728348</v>
      </c>
      <c r="V628" s="285">
        <f t="shared" si="305"/>
        <v>0</v>
      </c>
      <c r="W628" s="29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>
        <v>0</v>
      </c>
      <c r="AI628" s="30">
        <f t="shared" si="306"/>
        <v>6728348</v>
      </c>
      <c r="AJ628" s="30">
        <f>+S628-T628-V628-AI628</f>
        <v>7243423</v>
      </c>
      <c r="AK628" s="796" t="s">
        <v>48</v>
      </c>
      <c r="AL628" s="796" t="s">
        <v>44</v>
      </c>
      <c r="AM628" s="796"/>
      <c r="AN628" s="799"/>
    </row>
    <row r="629" spans="1:42" s="33" customFormat="1" ht="25.5" hidden="1" customHeight="1" outlineLevel="2">
      <c r="A629" s="19"/>
      <c r="B629" s="19">
        <v>31</v>
      </c>
      <c r="C629" s="19"/>
      <c r="D629" s="19" t="s">
        <v>33</v>
      </c>
      <c r="E629" s="19" t="s">
        <v>34</v>
      </c>
      <c r="F629" s="19" t="s">
        <v>84</v>
      </c>
      <c r="G629" s="20" t="s">
        <v>36</v>
      </c>
      <c r="H629" s="21" t="s">
        <v>37</v>
      </c>
      <c r="I629" s="19" t="s">
        <v>407</v>
      </c>
      <c r="J629" s="19" t="s">
        <v>425</v>
      </c>
      <c r="K629" s="22">
        <v>32</v>
      </c>
      <c r="L629" s="19" t="s">
        <v>46</v>
      </c>
      <c r="M629" s="23" t="s">
        <v>40</v>
      </c>
      <c r="N629" s="21">
        <v>30471092</v>
      </c>
      <c r="O629" s="21" t="s">
        <v>758</v>
      </c>
      <c r="P629" s="21" t="s">
        <v>752</v>
      </c>
      <c r="Q629" s="23" t="s">
        <v>428</v>
      </c>
      <c r="R629" s="24"/>
      <c r="S629" s="26">
        <v>364878000</v>
      </c>
      <c r="T629" s="30">
        <v>356421271</v>
      </c>
      <c r="U629" s="30">
        <f>12326952-3870223</f>
        <v>8456729</v>
      </c>
      <c r="V629" s="285">
        <f t="shared" si="305"/>
        <v>0</v>
      </c>
      <c r="W629" s="29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>
        <v>0</v>
      </c>
      <c r="AI629" s="30">
        <f t="shared" si="306"/>
        <v>8456729</v>
      </c>
      <c r="AJ629" s="30">
        <f>+S629-T629-V629-AI629</f>
        <v>0</v>
      </c>
      <c r="AK629" s="796" t="s">
        <v>48</v>
      </c>
      <c r="AL629" s="796" t="s">
        <v>44</v>
      </c>
      <c r="AM629" s="796"/>
      <c r="AN629" s="799"/>
    </row>
    <row r="630" spans="1:42" s="33" customFormat="1" ht="25.5" hidden="1" customHeight="1" outlineLevel="2">
      <c r="A630" s="19"/>
      <c r="B630" s="19">
        <v>31</v>
      </c>
      <c r="C630" s="19"/>
      <c r="D630" s="19" t="s">
        <v>33</v>
      </c>
      <c r="E630" s="19" t="s">
        <v>34</v>
      </c>
      <c r="F630" s="19" t="s">
        <v>84</v>
      </c>
      <c r="G630" s="20" t="s">
        <v>158</v>
      </c>
      <c r="H630" s="21" t="s">
        <v>72</v>
      </c>
      <c r="I630" s="19" t="s">
        <v>407</v>
      </c>
      <c r="J630" s="19" t="s">
        <v>425</v>
      </c>
      <c r="K630" s="22">
        <v>32</v>
      </c>
      <c r="L630" s="19" t="s">
        <v>205</v>
      </c>
      <c r="M630" s="23" t="s">
        <v>40</v>
      </c>
      <c r="N630" s="21">
        <v>30065600</v>
      </c>
      <c r="O630" s="21" t="s">
        <v>758</v>
      </c>
      <c r="P630" s="21"/>
      <c r="Q630" s="23" t="s">
        <v>430</v>
      </c>
      <c r="R630" s="24"/>
      <c r="S630" s="26">
        <v>657583000</v>
      </c>
      <c r="T630" s="30">
        <v>0</v>
      </c>
      <c r="U630" s="30">
        <v>457583000</v>
      </c>
      <c r="V630" s="285">
        <f t="shared" si="305"/>
        <v>0</v>
      </c>
      <c r="W630" s="29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>
        <v>0</v>
      </c>
      <c r="AI630" s="30">
        <f t="shared" si="306"/>
        <v>457583000</v>
      </c>
      <c r="AJ630" s="30">
        <f>+S630-T630-V630-AI630</f>
        <v>200000000</v>
      </c>
      <c r="AK630" s="796" t="s">
        <v>43</v>
      </c>
      <c r="AL630" s="796" t="s">
        <v>429</v>
      </c>
      <c r="AM630" s="796"/>
      <c r="AN630" s="799"/>
    </row>
    <row r="631" spans="1:42" s="38" customFormat="1" ht="25.5" hidden="1" customHeight="1" outlineLevel="1">
      <c r="A631" s="35"/>
      <c r="B631" s="35"/>
      <c r="C631" s="35"/>
      <c r="D631" s="35"/>
      <c r="E631" s="35"/>
      <c r="F631" s="36"/>
      <c r="G631" s="36"/>
      <c r="H631" s="37"/>
      <c r="I631" s="36"/>
      <c r="J631" s="36"/>
      <c r="K631" s="36"/>
      <c r="L631" s="35"/>
      <c r="N631" s="39"/>
      <c r="O631" s="39"/>
      <c r="P631" s="39"/>
      <c r="Q631" s="132" t="s">
        <v>58</v>
      </c>
      <c r="R631" s="41"/>
      <c r="S631" s="133">
        <f t="shared" ref="S631:AJ631" si="334">SUBTOTAL(9,S627:S630)</f>
        <v>0</v>
      </c>
      <c r="T631" s="133">
        <f t="shared" ref="T631" si="335">SUBTOTAL(9,T627:T630)</f>
        <v>0</v>
      </c>
      <c r="U631" s="133">
        <f t="shared" si="334"/>
        <v>0</v>
      </c>
      <c r="V631" s="133">
        <f t="shared" si="334"/>
        <v>0</v>
      </c>
      <c r="W631" s="133">
        <f t="shared" si="334"/>
        <v>0</v>
      </c>
      <c r="X631" s="133">
        <f t="shared" si="334"/>
        <v>0</v>
      </c>
      <c r="Y631" s="133">
        <f t="shared" si="334"/>
        <v>0</v>
      </c>
      <c r="Z631" s="133">
        <f t="shared" si="334"/>
        <v>0</v>
      </c>
      <c r="AA631" s="133">
        <f t="shared" si="334"/>
        <v>0</v>
      </c>
      <c r="AB631" s="133">
        <f t="shared" si="334"/>
        <v>0</v>
      </c>
      <c r="AC631" s="133">
        <f t="shared" si="334"/>
        <v>0</v>
      </c>
      <c r="AD631" s="133">
        <f t="shared" si="334"/>
        <v>0</v>
      </c>
      <c r="AE631" s="133">
        <f t="shared" si="334"/>
        <v>0</v>
      </c>
      <c r="AF631" s="133">
        <f t="shared" si="334"/>
        <v>0</v>
      </c>
      <c r="AG631" s="133">
        <f t="shared" si="334"/>
        <v>0</v>
      </c>
      <c r="AH631" s="133">
        <v>35723661</v>
      </c>
      <c r="AI631" s="133">
        <f t="shared" si="334"/>
        <v>0</v>
      </c>
      <c r="AJ631" s="133">
        <f t="shared" si="334"/>
        <v>0</v>
      </c>
      <c r="AK631" s="796"/>
      <c r="AL631" s="796" t="s">
        <v>90</v>
      </c>
      <c r="AM631" s="796"/>
      <c r="AN631" s="799"/>
    </row>
    <row r="632" spans="1:42" s="18" customFormat="1" ht="25.5" hidden="1" customHeight="1" outlineLevel="1">
      <c r="A632" s="35"/>
      <c r="B632" s="35"/>
      <c r="C632" s="35"/>
      <c r="D632" s="35"/>
      <c r="E632" s="35"/>
      <c r="F632" s="36"/>
      <c r="G632" s="36"/>
      <c r="H632" s="37"/>
      <c r="I632" s="36"/>
      <c r="J632" s="36"/>
      <c r="K632" s="36"/>
      <c r="L632" s="35"/>
      <c r="M632" s="38"/>
      <c r="N632" s="39"/>
      <c r="O632" s="39"/>
      <c r="P632" s="39"/>
      <c r="Q632" s="46"/>
      <c r="R632" s="42"/>
      <c r="S632" s="47"/>
      <c r="T632" s="47"/>
      <c r="U632" s="47"/>
      <c r="V632" s="47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7"/>
      <c r="AJ632" s="47"/>
      <c r="AK632" s="796"/>
      <c r="AL632" s="796"/>
      <c r="AM632" s="796"/>
      <c r="AN632" s="799"/>
    </row>
    <row r="633" spans="1:42" s="33" customFormat="1" ht="25.5" hidden="1" customHeight="1" outlineLevel="2">
      <c r="A633" s="35"/>
      <c r="B633" s="35"/>
      <c r="C633" s="35"/>
      <c r="D633" s="35"/>
      <c r="E633" s="35"/>
      <c r="F633" s="36"/>
      <c r="G633" s="36"/>
      <c r="H633" s="37"/>
      <c r="I633" s="36"/>
      <c r="J633" s="36"/>
      <c r="K633" s="36"/>
      <c r="L633" s="35"/>
      <c r="M633" s="38"/>
      <c r="N633" s="39"/>
      <c r="O633" s="39"/>
      <c r="P633" s="39"/>
      <c r="Q633" s="17" t="s">
        <v>59</v>
      </c>
      <c r="R633" s="50"/>
      <c r="S633" s="51"/>
      <c r="T633" s="51"/>
      <c r="U633" s="52"/>
      <c r="V633" s="52"/>
      <c r="W633" s="52"/>
      <c r="X633" s="52"/>
      <c r="Y633" s="52"/>
      <c r="Z633" s="53"/>
      <c r="AA633" s="53"/>
      <c r="AB633" s="53"/>
      <c r="AC633" s="53"/>
      <c r="AD633" s="53"/>
      <c r="AE633" s="53"/>
      <c r="AF633" s="53"/>
      <c r="AG633" s="53"/>
      <c r="AH633" s="53"/>
      <c r="AI633" s="52"/>
      <c r="AJ633" s="52"/>
      <c r="AK633" s="796"/>
      <c r="AL633" s="796"/>
      <c r="AM633" s="796"/>
      <c r="AN633" s="799"/>
    </row>
    <row r="634" spans="1:42" s="33" customFormat="1" ht="25.5" customHeight="1" outlineLevel="2">
      <c r="A634" s="54"/>
      <c r="B634" s="801">
        <v>31</v>
      </c>
      <c r="C634" s="729"/>
      <c r="D634" s="54" t="s">
        <v>33</v>
      </c>
      <c r="E634" s="801" t="s">
        <v>60</v>
      </c>
      <c r="F634" s="729" t="s">
        <v>84</v>
      </c>
      <c r="G634" s="54" t="s">
        <v>158</v>
      </c>
      <c r="H634" s="56" t="s">
        <v>72</v>
      </c>
      <c r="I634" s="801" t="s">
        <v>407</v>
      </c>
      <c r="J634" s="801" t="s">
        <v>425</v>
      </c>
      <c r="K634" s="729">
        <v>32</v>
      </c>
      <c r="L634" s="54" t="s">
        <v>46</v>
      </c>
      <c r="M634" s="802" t="s">
        <v>56</v>
      </c>
      <c r="N634" s="812">
        <v>30338024</v>
      </c>
      <c r="O634" s="772" t="s">
        <v>758</v>
      </c>
      <c r="P634" s="196"/>
      <c r="Q634" s="802" t="s">
        <v>431</v>
      </c>
      <c r="R634" s="24"/>
      <c r="S634" s="804">
        <v>33986000</v>
      </c>
      <c r="T634" s="805">
        <v>0</v>
      </c>
      <c r="U634" s="805">
        <v>10000000</v>
      </c>
      <c r="V634" s="805">
        <f t="shared" ref="V634:V685" si="336">+SUM(W634:AH634)</f>
        <v>0</v>
      </c>
      <c r="W634" s="29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>
        <v>0</v>
      </c>
      <c r="AI634" s="805">
        <f t="shared" ref="AI634:AI685" si="337">+U634-V634</f>
        <v>10000000</v>
      </c>
      <c r="AJ634" s="805">
        <f>+S634-T634-V634-AI634</f>
        <v>23986000</v>
      </c>
      <c r="AK634" s="806" t="s">
        <v>43</v>
      </c>
      <c r="AL634" s="806" t="s">
        <v>759</v>
      </c>
      <c r="AM634" s="806" t="str">
        <f t="shared" ref="AM634:AM636" si="338">HYPERLINK(CONCATENATE("DOCUMENTOS\ACTA-",N634,".PDF"))</f>
        <v>DOCUMENTOS\ACTA-30338024.PDF</v>
      </c>
      <c r="AN634" s="807"/>
      <c r="AO634" s="33" t="e">
        <f>VLOOKUP(N634,'CONVENIOS 2021'!A$1:A$53,1,FALSE)</f>
        <v>#N/A</v>
      </c>
      <c r="AP634" s="33" t="e">
        <f>VLOOKUP(N634,'CONVENIOS 2020'!A$2:A$72,1,FALSE)</f>
        <v>#N/A</v>
      </c>
    </row>
    <row r="635" spans="1:42" s="18" customFormat="1" ht="25.5" customHeight="1" outlineLevel="1">
      <c r="A635" s="54"/>
      <c r="B635" s="801">
        <v>31</v>
      </c>
      <c r="C635" s="729"/>
      <c r="D635" s="54" t="s">
        <v>33</v>
      </c>
      <c r="E635" s="801" t="s">
        <v>60</v>
      </c>
      <c r="F635" s="729" t="s">
        <v>84</v>
      </c>
      <c r="G635" s="54" t="s">
        <v>158</v>
      </c>
      <c r="H635" s="56" t="s">
        <v>72</v>
      </c>
      <c r="I635" s="801" t="s">
        <v>407</v>
      </c>
      <c r="J635" s="801" t="s">
        <v>425</v>
      </c>
      <c r="K635" s="729">
        <v>32</v>
      </c>
      <c r="L635" s="54" t="s">
        <v>46</v>
      </c>
      <c r="M635" s="802" t="s">
        <v>56</v>
      </c>
      <c r="N635" s="803">
        <v>30338523</v>
      </c>
      <c r="O635" s="770" t="s">
        <v>758</v>
      </c>
      <c r="P635" s="56"/>
      <c r="Q635" s="802" t="s">
        <v>432</v>
      </c>
      <c r="R635" s="24"/>
      <c r="S635" s="804">
        <v>33986000</v>
      </c>
      <c r="T635" s="805">
        <v>0</v>
      </c>
      <c r="U635" s="805">
        <v>10000000</v>
      </c>
      <c r="V635" s="805">
        <f t="shared" si="336"/>
        <v>0</v>
      </c>
      <c r="W635" s="29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>
        <v>0</v>
      </c>
      <c r="AI635" s="805">
        <f t="shared" si="337"/>
        <v>10000000</v>
      </c>
      <c r="AJ635" s="805">
        <f>+S635-T635-V635-AI635</f>
        <v>23986000</v>
      </c>
      <c r="AK635" s="806" t="s">
        <v>43</v>
      </c>
      <c r="AL635" s="806" t="s">
        <v>759</v>
      </c>
      <c r="AM635" s="806" t="str">
        <f t="shared" si="338"/>
        <v>DOCUMENTOS\ACTA-30338523.PDF</v>
      </c>
      <c r="AN635" s="807"/>
      <c r="AO635" s="33" t="e">
        <f>VLOOKUP(N635,'CONVENIOS 2021'!A$1:A$53,1,FALSE)</f>
        <v>#N/A</v>
      </c>
      <c r="AP635" s="33" t="e">
        <f>VLOOKUP(N635,'CONVENIOS 2020'!A$2:A$72,1,FALSE)</f>
        <v>#N/A</v>
      </c>
    </row>
    <row r="636" spans="1:42" s="18" customFormat="1" ht="25.5" customHeight="1" outlineLevel="1">
      <c r="A636" s="54" t="s">
        <v>433</v>
      </c>
      <c r="B636" s="801">
        <v>31</v>
      </c>
      <c r="C636" s="729"/>
      <c r="D636" s="54" t="s">
        <v>33</v>
      </c>
      <c r="E636" s="801" t="s">
        <v>60</v>
      </c>
      <c r="F636" s="729"/>
      <c r="G636" s="54"/>
      <c r="H636" s="56" t="s">
        <v>208</v>
      </c>
      <c r="I636" s="801" t="s">
        <v>407</v>
      </c>
      <c r="J636" s="801" t="s">
        <v>425</v>
      </c>
      <c r="K636" s="729">
        <v>32</v>
      </c>
      <c r="L636" s="54" t="s">
        <v>310</v>
      </c>
      <c r="M636" s="802" t="s">
        <v>40</v>
      </c>
      <c r="N636" s="803">
        <v>40003992</v>
      </c>
      <c r="O636" s="770" t="s">
        <v>683</v>
      </c>
      <c r="P636" s="56"/>
      <c r="Q636" s="813" t="s">
        <v>434</v>
      </c>
      <c r="R636" s="24"/>
      <c r="S636" s="804">
        <v>474773000</v>
      </c>
      <c r="T636" s="805">
        <v>0</v>
      </c>
      <c r="U636" s="805">
        <v>300000000</v>
      </c>
      <c r="V636" s="805">
        <f t="shared" si="336"/>
        <v>0</v>
      </c>
      <c r="W636" s="29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>
        <v>0</v>
      </c>
      <c r="AI636" s="805">
        <f t="shared" si="337"/>
        <v>300000000</v>
      </c>
      <c r="AJ636" s="805">
        <f>+S636-T636-V636-AI636</f>
        <v>174773000</v>
      </c>
      <c r="AK636" s="806" t="s">
        <v>43</v>
      </c>
      <c r="AL636" s="806" t="s">
        <v>759</v>
      </c>
      <c r="AM636" s="806" t="str">
        <f t="shared" si="338"/>
        <v>DOCUMENTOS\ACTA-40003992.PDF</v>
      </c>
      <c r="AN636" s="807"/>
      <c r="AO636" s="33" t="e">
        <f>VLOOKUP(N636,'CONVENIOS 2021'!A$1:A$53,1,FALSE)</f>
        <v>#N/A</v>
      </c>
      <c r="AP636" s="33" t="e">
        <f>VLOOKUP(N636,'CONVENIOS 2020'!A$2:A$72,1,FALSE)</f>
        <v>#N/A</v>
      </c>
    </row>
    <row r="637" spans="1:42" s="38" customFormat="1" ht="25.5" hidden="1" customHeight="1" outlineLevel="1">
      <c r="A637" s="35"/>
      <c r="B637" s="35"/>
      <c r="C637" s="35"/>
      <c r="D637" s="35"/>
      <c r="E637" s="35"/>
      <c r="F637" s="36"/>
      <c r="G637" s="36"/>
      <c r="H637" s="37"/>
      <c r="I637" s="36"/>
      <c r="J637" s="36"/>
      <c r="K637" s="36"/>
      <c r="L637" s="35"/>
      <c r="N637" s="39"/>
      <c r="O637" s="39"/>
      <c r="P637" s="39"/>
      <c r="Q637" s="139" t="s">
        <v>67</v>
      </c>
      <c r="R637" s="116"/>
      <c r="S637" s="140">
        <f t="shared" ref="S637:AJ637" si="339">SUBTOTAL(9,S634:S636)</f>
        <v>542745000</v>
      </c>
      <c r="T637" s="140">
        <f t="shared" ref="T637" si="340">SUBTOTAL(9,T634:T636)</f>
        <v>0</v>
      </c>
      <c r="U637" s="140">
        <f t="shared" si="339"/>
        <v>320000000</v>
      </c>
      <c r="V637" s="140">
        <f t="shared" si="339"/>
        <v>0</v>
      </c>
      <c r="W637" s="140">
        <f t="shared" si="339"/>
        <v>0</v>
      </c>
      <c r="X637" s="140">
        <f t="shared" si="339"/>
        <v>0</v>
      </c>
      <c r="Y637" s="140">
        <f t="shared" si="339"/>
        <v>0</v>
      </c>
      <c r="Z637" s="140">
        <f t="shared" si="339"/>
        <v>0</v>
      </c>
      <c r="AA637" s="140">
        <f t="shared" si="339"/>
        <v>0</v>
      </c>
      <c r="AB637" s="140">
        <f t="shared" si="339"/>
        <v>0</v>
      </c>
      <c r="AC637" s="140">
        <f t="shared" si="339"/>
        <v>0</v>
      </c>
      <c r="AD637" s="140">
        <f t="shared" si="339"/>
        <v>0</v>
      </c>
      <c r="AE637" s="140">
        <f t="shared" si="339"/>
        <v>0</v>
      </c>
      <c r="AF637" s="140">
        <f t="shared" si="339"/>
        <v>0</v>
      </c>
      <c r="AG637" s="140">
        <f t="shared" si="339"/>
        <v>0</v>
      </c>
      <c r="AH637" s="140">
        <v>0</v>
      </c>
      <c r="AI637" s="140">
        <f t="shared" si="339"/>
        <v>320000000</v>
      </c>
      <c r="AJ637" s="140">
        <f t="shared" si="339"/>
        <v>222745000</v>
      </c>
      <c r="AK637" s="796"/>
      <c r="AL637" s="796"/>
      <c r="AM637" s="796"/>
      <c r="AN637" s="799"/>
    </row>
    <row r="638" spans="1:42" s="38" customFormat="1" ht="25.5" hidden="1" customHeight="1" outlineLevel="1">
      <c r="A638" s="35"/>
      <c r="B638" s="35"/>
      <c r="C638" s="35"/>
      <c r="D638" s="35"/>
      <c r="E638" s="35"/>
      <c r="F638" s="36"/>
      <c r="G638" s="36"/>
      <c r="H638" s="37"/>
      <c r="I638" s="36"/>
      <c r="J638" s="36"/>
      <c r="K638" s="36"/>
      <c r="L638" s="35"/>
      <c r="N638" s="39"/>
      <c r="O638" s="39"/>
      <c r="P638" s="39"/>
      <c r="Q638" s="46"/>
      <c r="R638" s="116"/>
      <c r="S638" s="47"/>
      <c r="T638" s="47"/>
      <c r="U638" s="47"/>
      <c r="V638" s="47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47"/>
      <c r="AJ638" s="47"/>
      <c r="AK638" s="796"/>
      <c r="AL638" s="796"/>
      <c r="AM638" s="796"/>
      <c r="AN638" s="799"/>
    </row>
    <row r="639" spans="1:42" s="18" customFormat="1" ht="25.5" hidden="1" customHeight="1" outlineLevel="1">
      <c r="A639" s="35"/>
      <c r="B639" s="35"/>
      <c r="C639" s="35"/>
      <c r="D639" s="35"/>
      <c r="E639" s="35"/>
      <c r="F639" s="36"/>
      <c r="G639" s="36"/>
      <c r="H639" s="37"/>
      <c r="I639" s="36"/>
      <c r="J639" s="36"/>
      <c r="K639" s="36"/>
      <c r="L639" s="35"/>
      <c r="M639" s="38"/>
      <c r="N639" s="39"/>
      <c r="O639" s="39"/>
      <c r="P639" s="39"/>
      <c r="Q639" s="17" t="s">
        <v>68</v>
      </c>
      <c r="R639" s="116"/>
      <c r="S639" s="47"/>
      <c r="T639" s="47"/>
      <c r="U639" s="47"/>
      <c r="V639" s="47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47"/>
      <c r="AJ639" s="47"/>
      <c r="AK639" s="796"/>
      <c r="AL639" s="796"/>
      <c r="AM639" s="796"/>
      <c r="AN639" s="799"/>
    </row>
    <row r="640" spans="1:42" s="18" customFormat="1" ht="25.5" hidden="1" customHeight="1" outlineLevel="1">
      <c r="A640" s="66"/>
      <c r="B640" s="66">
        <v>29</v>
      </c>
      <c r="C640" s="66"/>
      <c r="D640" s="66" t="s">
        <v>92</v>
      </c>
      <c r="E640" s="66" t="s">
        <v>69</v>
      </c>
      <c r="F640" s="66"/>
      <c r="G640" s="66"/>
      <c r="H640" s="68" t="s">
        <v>37</v>
      </c>
      <c r="I640" s="66" t="s">
        <v>407</v>
      </c>
      <c r="J640" s="66" t="s">
        <v>425</v>
      </c>
      <c r="K640" s="66">
        <v>32</v>
      </c>
      <c r="L640" s="66" t="s">
        <v>46</v>
      </c>
      <c r="M640" s="70" t="s">
        <v>40</v>
      </c>
      <c r="N640" s="68">
        <v>30471865</v>
      </c>
      <c r="O640" s="68"/>
      <c r="P640" s="68"/>
      <c r="Q640" s="70" t="s">
        <v>435</v>
      </c>
      <c r="R640" s="142"/>
      <c r="S640" s="71">
        <v>101104000</v>
      </c>
      <c r="T640" s="72">
        <v>0</v>
      </c>
      <c r="U640" s="71">
        <v>101104000</v>
      </c>
      <c r="V640" s="297">
        <f t="shared" si="336"/>
        <v>0</v>
      </c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>
        <v>0</v>
      </c>
      <c r="AI640" s="72">
        <f t="shared" si="337"/>
        <v>101104000</v>
      </c>
      <c r="AJ640" s="72">
        <f>+S640-T640-V640-AI640</f>
        <v>0</v>
      </c>
      <c r="AK640" s="796" t="s">
        <v>48</v>
      </c>
      <c r="AL640" s="796" t="s">
        <v>104</v>
      </c>
      <c r="AM640" s="796"/>
      <c r="AN640" s="799"/>
    </row>
    <row r="641" spans="1:42" s="38" customFormat="1" ht="25.5" hidden="1" customHeight="1" outlineLevel="1">
      <c r="A641" s="66"/>
      <c r="B641" s="66">
        <v>29</v>
      </c>
      <c r="C641" s="66"/>
      <c r="D641" s="66" t="s">
        <v>92</v>
      </c>
      <c r="E641" s="66" t="s">
        <v>69</v>
      </c>
      <c r="F641" s="66"/>
      <c r="G641" s="66"/>
      <c r="H641" s="68" t="s">
        <v>37</v>
      </c>
      <c r="I641" s="66" t="s">
        <v>407</v>
      </c>
      <c r="J641" s="66" t="s">
        <v>425</v>
      </c>
      <c r="K641" s="66">
        <v>32</v>
      </c>
      <c r="L641" s="66" t="s">
        <v>46</v>
      </c>
      <c r="M641" s="70" t="s">
        <v>40</v>
      </c>
      <c r="N641" s="68">
        <v>30361477</v>
      </c>
      <c r="O641" s="68"/>
      <c r="P641" s="68"/>
      <c r="Q641" s="70" t="s">
        <v>436</v>
      </c>
      <c r="R641" s="142"/>
      <c r="S641" s="71">
        <v>397041000</v>
      </c>
      <c r="T641" s="72">
        <v>0</v>
      </c>
      <c r="U641" s="71">
        <v>397041000</v>
      </c>
      <c r="V641" s="297">
        <f t="shared" si="336"/>
        <v>0</v>
      </c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>
        <v>0</v>
      </c>
      <c r="AI641" s="72">
        <f t="shared" si="337"/>
        <v>397041000</v>
      </c>
      <c r="AJ641" s="72">
        <f>+S641-T641-V641-AI641</f>
        <v>0</v>
      </c>
      <c r="AK641" s="796" t="s">
        <v>48</v>
      </c>
      <c r="AL641" s="796"/>
      <c r="AM641" s="796"/>
      <c r="AN641" s="799"/>
    </row>
    <row r="642" spans="1:42" s="18" customFormat="1" ht="25.5" hidden="1" customHeight="1" outlineLevel="1">
      <c r="A642" s="66"/>
      <c r="B642" s="66">
        <v>33</v>
      </c>
      <c r="C642" s="66"/>
      <c r="D642" s="66" t="s">
        <v>76</v>
      </c>
      <c r="E642" s="66" t="s">
        <v>69</v>
      </c>
      <c r="F642" s="66" t="s">
        <v>35</v>
      </c>
      <c r="G642" s="67" t="s">
        <v>49</v>
      </c>
      <c r="H642" s="68" t="s">
        <v>61</v>
      </c>
      <c r="I642" s="66" t="s">
        <v>407</v>
      </c>
      <c r="J642" s="66" t="s">
        <v>425</v>
      </c>
      <c r="K642" s="66">
        <v>32</v>
      </c>
      <c r="L642" s="66" t="s">
        <v>76</v>
      </c>
      <c r="M642" s="70" t="s">
        <v>40</v>
      </c>
      <c r="N642" s="68" t="s">
        <v>76</v>
      </c>
      <c r="O642" s="68"/>
      <c r="P642" s="68"/>
      <c r="Q642" s="70" t="s">
        <v>77</v>
      </c>
      <c r="R642" s="77"/>
      <c r="S642" s="188">
        <v>200000000</v>
      </c>
      <c r="T642" s="72">
        <v>0</v>
      </c>
      <c r="U642" s="189">
        <v>200000000</v>
      </c>
      <c r="V642" s="296">
        <f t="shared" si="336"/>
        <v>0</v>
      </c>
      <c r="W642" s="79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>
        <f t="shared" si="337"/>
        <v>200000000</v>
      </c>
      <c r="AJ642" s="72">
        <f>+S642-T642-V642-AI642</f>
        <v>0</v>
      </c>
      <c r="AK642" s="796" t="s">
        <v>78</v>
      </c>
      <c r="AL642" s="796"/>
      <c r="AM642" s="796"/>
      <c r="AN642" s="799"/>
    </row>
    <row r="643" spans="1:42" s="38" customFormat="1" ht="25.5" hidden="1" customHeight="1" outlineLevel="1">
      <c r="A643" s="35"/>
      <c r="B643" s="35"/>
      <c r="C643" s="35"/>
      <c r="D643" s="35"/>
      <c r="E643" s="35"/>
      <c r="F643" s="36"/>
      <c r="G643" s="36"/>
      <c r="H643" s="37"/>
      <c r="I643" s="36"/>
      <c r="J643" s="36"/>
      <c r="K643" s="36"/>
      <c r="L643" s="35"/>
      <c r="N643" s="39"/>
      <c r="O643" s="39"/>
      <c r="P643" s="39"/>
      <c r="Q643" s="134" t="s">
        <v>80</v>
      </c>
      <c r="R643" s="116"/>
      <c r="S643" s="110">
        <f t="shared" ref="S643:U643" si="341">SUBTOTAL(9,S640:S642)</f>
        <v>0</v>
      </c>
      <c r="T643" s="110">
        <f t="shared" ref="T643" si="342">SUBTOTAL(9,T640:T642)</f>
        <v>0</v>
      </c>
      <c r="U643" s="110">
        <f t="shared" si="341"/>
        <v>0</v>
      </c>
      <c r="V643" s="110">
        <f t="shared" ref="V643:AJ643" si="343">SUBTOTAL(9,V640:V642)</f>
        <v>0</v>
      </c>
      <c r="W643" s="110">
        <f t="shared" si="343"/>
        <v>0</v>
      </c>
      <c r="X643" s="110">
        <f t="shared" si="343"/>
        <v>0</v>
      </c>
      <c r="Y643" s="110">
        <f t="shared" si="343"/>
        <v>0</v>
      </c>
      <c r="Z643" s="110">
        <f t="shared" si="343"/>
        <v>0</v>
      </c>
      <c r="AA643" s="110">
        <f t="shared" si="343"/>
        <v>0</v>
      </c>
      <c r="AB643" s="110">
        <f t="shared" si="343"/>
        <v>0</v>
      </c>
      <c r="AC643" s="110">
        <f t="shared" si="343"/>
        <v>0</v>
      </c>
      <c r="AD643" s="110">
        <f t="shared" si="343"/>
        <v>0</v>
      </c>
      <c r="AE643" s="110">
        <f t="shared" si="343"/>
        <v>0</v>
      </c>
      <c r="AF643" s="110">
        <f t="shared" si="343"/>
        <v>0</v>
      </c>
      <c r="AG643" s="110">
        <f t="shared" si="343"/>
        <v>0</v>
      </c>
      <c r="AH643" s="110">
        <v>0</v>
      </c>
      <c r="AI643" s="110">
        <f t="shared" si="343"/>
        <v>0</v>
      </c>
      <c r="AJ643" s="110">
        <f t="shared" si="343"/>
        <v>0</v>
      </c>
      <c r="AK643" s="796"/>
      <c r="AL643" s="796"/>
      <c r="AM643" s="796"/>
      <c r="AN643" s="799"/>
    </row>
    <row r="644" spans="1:42" s="90" customFormat="1" ht="24.75" hidden="1" customHeight="1" outlineLevel="1">
      <c r="A644" s="35"/>
      <c r="B644" s="35"/>
      <c r="C644" s="35"/>
      <c r="D644" s="35"/>
      <c r="E644" s="35"/>
      <c r="F644" s="36"/>
      <c r="G644" s="36"/>
      <c r="H644" s="37"/>
      <c r="I644" s="36"/>
      <c r="J644" s="36"/>
      <c r="K644" s="36"/>
      <c r="L644" s="35"/>
      <c r="M644" s="38"/>
      <c r="N644" s="39"/>
      <c r="O644" s="39"/>
      <c r="P644" s="39"/>
      <c r="Q644" s="46"/>
      <c r="R644" s="116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796"/>
      <c r="AL644" s="796"/>
      <c r="AM644" s="796"/>
      <c r="AN644" s="799"/>
    </row>
    <row r="645" spans="1:42" s="84" customFormat="1" ht="24.75" hidden="1" customHeight="1" outlineLevel="1">
      <c r="A645" s="36"/>
      <c r="B645" s="82"/>
      <c r="C645" s="82"/>
      <c r="D645" s="36"/>
      <c r="E645" s="36"/>
      <c r="F645" s="36"/>
      <c r="G645" s="36"/>
      <c r="H645" s="37"/>
      <c r="I645" s="36"/>
      <c r="J645" s="36"/>
      <c r="K645" s="36"/>
      <c r="L645" s="82"/>
      <c r="N645" s="83"/>
      <c r="O645" s="39"/>
      <c r="P645" s="39"/>
      <c r="Q645" s="85" t="s">
        <v>437</v>
      </c>
      <c r="R645" s="111"/>
      <c r="S645" s="88">
        <f t="shared" ref="S645:U645" si="344">S631+S637+S643</f>
        <v>542745000</v>
      </c>
      <c r="T645" s="88">
        <f t="shared" ref="T645" si="345">T631+T637+T643</f>
        <v>0</v>
      </c>
      <c r="U645" s="88">
        <f t="shared" si="344"/>
        <v>320000000</v>
      </c>
      <c r="V645" s="88">
        <f t="shared" ref="V645:AJ645" si="346">V631+V637+V643</f>
        <v>0</v>
      </c>
      <c r="W645" s="88">
        <f t="shared" si="346"/>
        <v>0</v>
      </c>
      <c r="X645" s="88">
        <f t="shared" si="346"/>
        <v>0</v>
      </c>
      <c r="Y645" s="88">
        <f t="shared" si="346"/>
        <v>0</v>
      </c>
      <c r="Z645" s="88">
        <f t="shared" si="346"/>
        <v>0</v>
      </c>
      <c r="AA645" s="88">
        <f t="shared" si="346"/>
        <v>0</v>
      </c>
      <c r="AB645" s="88">
        <f t="shared" si="346"/>
        <v>0</v>
      </c>
      <c r="AC645" s="88">
        <f t="shared" si="346"/>
        <v>0</v>
      </c>
      <c r="AD645" s="88">
        <f t="shared" si="346"/>
        <v>0</v>
      </c>
      <c r="AE645" s="88">
        <f t="shared" si="346"/>
        <v>0</v>
      </c>
      <c r="AF645" s="88">
        <f t="shared" si="346"/>
        <v>0</v>
      </c>
      <c r="AG645" s="88">
        <f t="shared" si="346"/>
        <v>0</v>
      </c>
      <c r="AH645" s="88">
        <v>35723661</v>
      </c>
      <c r="AI645" s="88">
        <f t="shared" si="346"/>
        <v>320000000</v>
      </c>
      <c r="AJ645" s="88">
        <f t="shared" si="346"/>
        <v>222745000</v>
      </c>
      <c r="AK645" s="796"/>
      <c r="AL645" s="796"/>
      <c r="AM645" s="796"/>
      <c r="AN645" s="799"/>
    </row>
    <row r="646" spans="1:42" s="84" customFormat="1" ht="24.75" hidden="1" customHeight="1" outlineLevel="1">
      <c r="A646" s="36"/>
      <c r="B646" s="82"/>
      <c r="C646" s="82"/>
      <c r="D646" s="36"/>
      <c r="E646" s="36"/>
      <c r="F646" s="36"/>
      <c r="G646" s="36"/>
      <c r="H646" s="37"/>
      <c r="I646" s="36"/>
      <c r="J646" s="36"/>
      <c r="K646" s="36"/>
      <c r="L646" s="82"/>
      <c r="N646" s="83"/>
      <c r="O646" s="39"/>
      <c r="P646" s="39"/>
      <c r="Q646" s="596"/>
      <c r="R646" s="87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796"/>
      <c r="AL646" s="796"/>
      <c r="AM646" s="796"/>
      <c r="AN646" s="799"/>
    </row>
    <row r="647" spans="1:42" s="18" customFormat="1" ht="25.5" hidden="1" customHeight="1" outlineLevel="1">
      <c r="A647" s="36"/>
      <c r="B647" s="36"/>
      <c r="C647" s="36"/>
      <c r="D647" s="36"/>
      <c r="E647" s="36"/>
      <c r="F647" s="36"/>
      <c r="G647" s="36"/>
      <c r="H647" s="37"/>
      <c r="I647" s="36"/>
      <c r="J647" s="36"/>
      <c r="K647" s="36"/>
      <c r="L647" s="36"/>
      <c r="M647" s="95"/>
      <c r="N647" s="37"/>
      <c r="O647" s="39"/>
      <c r="P647" s="39"/>
      <c r="Q647" s="96" t="s">
        <v>438</v>
      </c>
      <c r="R647" s="50"/>
      <c r="S647" s="97"/>
      <c r="T647" s="97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796"/>
      <c r="AL647" s="796"/>
      <c r="AM647" s="796"/>
      <c r="AN647" s="799"/>
    </row>
    <row r="648" spans="1:42" s="33" customFormat="1" ht="25.5" hidden="1" customHeight="1" outlineLevel="2">
      <c r="A648" s="35"/>
      <c r="B648" s="35"/>
      <c r="C648" s="35"/>
      <c r="D648" s="35"/>
      <c r="E648" s="35"/>
      <c r="F648" s="36"/>
      <c r="G648" s="36"/>
      <c r="H648" s="37"/>
      <c r="I648" s="36"/>
      <c r="J648" s="36"/>
      <c r="K648" s="36"/>
      <c r="L648" s="35"/>
      <c r="M648" s="38"/>
      <c r="N648" s="39"/>
      <c r="O648" s="39"/>
      <c r="P648" s="39"/>
      <c r="Q648" s="17" t="s">
        <v>32</v>
      </c>
      <c r="R648" s="50"/>
      <c r="S648" s="51"/>
      <c r="T648" s="51"/>
      <c r="U648" s="52"/>
      <c r="V648" s="52"/>
      <c r="W648" s="52"/>
      <c r="X648" s="52"/>
      <c r="Y648" s="52"/>
      <c r="Z648" s="53"/>
      <c r="AA648" s="53"/>
      <c r="AB648" s="53"/>
      <c r="AC648" s="53"/>
      <c r="AD648" s="53"/>
      <c r="AE648" s="53"/>
      <c r="AF648" s="53"/>
      <c r="AG648" s="53"/>
      <c r="AH648" s="53"/>
      <c r="AI648" s="52"/>
      <c r="AJ648" s="52"/>
      <c r="AK648" s="796"/>
      <c r="AL648" s="796"/>
      <c r="AM648" s="796"/>
      <c r="AN648" s="799"/>
    </row>
    <row r="649" spans="1:42" s="33" customFormat="1" ht="25.5" hidden="1" customHeight="1" outlineLevel="2">
      <c r="A649" s="19"/>
      <c r="B649" s="19">
        <v>31</v>
      </c>
      <c r="C649" s="19"/>
      <c r="D649" s="19" t="s">
        <v>33</v>
      </c>
      <c r="E649" s="19" t="s">
        <v>34</v>
      </c>
      <c r="F649" s="19" t="s">
        <v>84</v>
      </c>
      <c r="G649" s="20" t="s">
        <v>49</v>
      </c>
      <c r="H649" s="21" t="s">
        <v>64</v>
      </c>
      <c r="I649" s="19" t="s">
        <v>407</v>
      </c>
      <c r="J649" s="19" t="s">
        <v>407</v>
      </c>
      <c r="K649" s="22">
        <v>33</v>
      </c>
      <c r="L649" s="19" t="s">
        <v>46</v>
      </c>
      <c r="M649" s="23" t="s">
        <v>40</v>
      </c>
      <c r="N649" s="21">
        <v>30135233</v>
      </c>
      <c r="O649" s="21" t="s">
        <v>758</v>
      </c>
      <c r="P649" s="21"/>
      <c r="Q649" s="23" t="s">
        <v>439</v>
      </c>
      <c r="R649" s="24"/>
      <c r="S649" s="26">
        <v>2433282000</v>
      </c>
      <c r="T649" s="30">
        <v>503235568</v>
      </c>
      <c r="U649" s="30">
        <v>700000000</v>
      </c>
      <c r="V649" s="285">
        <f t="shared" si="336"/>
        <v>182837688</v>
      </c>
      <c r="W649" s="29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>
        <v>182837688</v>
      </c>
      <c r="AI649" s="30">
        <f t="shared" si="337"/>
        <v>517162312</v>
      </c>
      <c r="AJ649" s="30">
        <f>+S649-T649-V649-AI649</f>
        <v>1230046432</v>
      </c>
      <c r="AK649" s="796" t="s">
        <v>43</v>
      </c>
      <c r="AL649" s="796" t="s">
        <v>44</v>
      </c>
      <c r="AM649" s="796"/>
      <c r="AN649" s="799"/>
    </row>
    <row r="650" spans="1:42" s="33" customFormat="1" ht="25.5" hidden="1" customHeight="1" outlineLevel="2">
      <c r="A650" s="19"/>
      <c r="B650" s="19">
        <v>31</v>
      </c>
      <c r="C650" s="19"/>
      <c r="D650" s="19" t="s">
        <v>33</v>
      </c>
      <c r="E650" s="19" t="s">
        <v>34</v>
      </c>
      <c r="F650" s="19"/>
      <c r="G650" s="20"/>
      <c r="H650" s="21" t="s">
        <v>61</v>
      </c>
      <c r="I650" s="19" t="s">
        <v>407</v>
      </c>
      <c r="J650" s="19" t="s">
        <v>407</v>
      </c>
      <c r="K650" s="22">
        <v>33</v>
      </c>
      <c r="L650" s="19" t="s">
        <v>46</v>
      </c>
      <c r="M650" s="23" t="s">
        <v>56</v>
      </c>
      <c r="N650" s="21">
        <v>30116040</v>
      </c>
      <c r="O650" s="21" t="s">
        <v>758</v>
      </c>
      <c r="P650" s="21"/>
      <c r="Q650" s="23" t="s">
        <v>440</v>
      </c>
      <c r="R650" s="118"/>
      <c r="S650" s="26">
        <v>43998000</v>
      </c>
      <c r="T650" s="30">
        <v>35173080</v>
      </c>
      <c r="U650" s="30">
        <v>8824920</v>
      </c>
      <c r="V650" s="285">
        <f t="shared" si="336"/>
        <v>0</v>
      </c>
      <c r="W650" s="119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28">
        <v>0</v>
      </c>
      <c r="AI650" s="30">
        <f t="shared" si="337"/>
        <v>8824920</v>
      </c>
      <c r="AJ650" s="30">
        <f>+S650-T650-V650-AI650</f>
        <v>0</v>
      </c>
      <c r="AK650" s="796" t="s">
        <v>43</v>
      </c>
      <c r="AL650" s="796" t="s">
        <v>83</v>
      </c>
      <c r="AM650" s="796"/>
      <c r="AN650" s="799"/>
    </row>
    <row r="651" spans="1:42" s="33" customFormat="1" ht="25.5" hidden="1" customHeight="1" outlineLevel="2">
      <c r="A651" s="19" t="s">
        <v>280</v>
      </c>
      <c r="B651" s="19">
        <v>31</v>
      </c>
      <c r="C651" s="19"/>
      <c r="D651" s="19" t="s">
        <v>33</v>
      </c>
      <c r="E651" s="19" t="s">
        <v>34</v>
      </c>
      <c r="F651" s="19" t="s">
        <v>84</v>
      </c>
      <c r="G651" s="20" t="s">
        <v>49</v>
      </c>
      <c r="H651" s="21" t="s">
        <v>45</v>
      </c>
      <c r="I651" s="19" t="s">
        <v>407</v>
      </c>
      <c r="J651" s="19" t="s">
        <v>407</v>
      </c>
      <c r="K651" s="22">
        <v>33</v>
      </c>
      <c r="L651" s="19" t="s">
        <v>280</v>
      </c>
      <c r="M651" s="209" t="s">
        <v>40</v>
      </c>
      <c r="N651" s="21">
        <v>30115295</v>
      </c>
      <c r="O651" s="21" t="s">
        <v>758</v>
      </c>
      <c r="P651" s="21"/>
      <c r="Q651" s="23" t="s">
        <v>441</v>
      </c>
      <c r="R651" s="118"/>
      <c r="S651" s="26">
        <v>788374000</v>
      </c>
      <c r="T651" s="30">
        <v>622243006</v>
      </c>
      <c r="U651" s="30">
        <v>50000000</v>
      </c>
      <c r="V651" s="285">
        <f t="shared" si="336"/>
        <v>0</v>
      </c>
      <c r="W651" s="119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28">
        <v>0</v>
      </c>
      <c r="AI651" s="30">
        <f t="shared" si="337"/>
        <v>50000000</v>
      </c>
      <c r="AJ651" s="30">
        <f>+S651-T651-V651-AI651</f>
        <v>116130994</v>
      </c>
      <c r="AK651" s="796" t="s">
        <v>42</v>
      </c>
      <c r="AL651" s="796"/>
      <c r="AM651" s="796"/>
      <c r="AN651" s="799"/>
    </row>
    <row r="652" spans="1:42" s="38" customFormat="1" ht="25.5" hidden="1" customHeight="1" outlineLevel="1">
      <c r="A652" s="35"/>
      <c r="B652" s="35"/>
      <c r="C652" s="35"/>
      <c r="D652" s="35"/>
      <c r="E652" s="35"/>
      <c r="F652" s="36"/>
      <c r="G652" s="36"/>
      <c r="H652" s="37"/>
      <c r="I652" s="36"/>
      <c r="J652" s="36"/>
      <c r="K652" s="36"/>
      <c r="L652" s="35"/>
      <c r="N652" s="39"/>
      <c r="O652" s="39"/>
      <c r="P652" s="39"/>
      <c r="Q652" s="132" t="s">
        <v>58</v>
      </c>
      <c r="R652" s="64"/>
      <c r="S652" s="133">
        <f t="shared" ref="S652:AJ652" si="347">SUBTOTAL(9,S649:S651)</f>
        <v>0</v>
      </c>
      <c r="T652" s="133">
        <f t="shared" ref="T652" si="348">SUBTOTAL(9,T649:T651)</f>
        <v>0</v>
      </c>
      <c r="U652" s="133">
        <f t="shared" si="347"/>
        <v>0</v>
      </c>
      <c r="V652" s="133">
        <f t="shared" si="347"/>
        <v>0</v>
      </c>
      <c r="W652" s="133">
        <f t="shared" si="347"/>
        <v>0</v>
      </c>
      <c r="X652" s="133">
        <f t="shared" si="347"/>
        <v>0</v>
      </c>
      <c r="Y652" s="133">
        <f t="shared" si="347"/>
        <v>0</v>
      </c>
      <c r="Z652" s="133">
        <f t="shared" si="347"/>
        <v>0</v>
      </c>
      <c r="AA652" s="133">
        <f t="shared" si="347"/>
        <v>0</v>
      </c>
      <c r="AB652" s="133">
        <f t="shared" si="347"/>
        <v>0</v>
      </c>
      <c r="AC652" s="133">
        <f t="shared" si="347"/>
        <v>0</v>
      </c>
      <c r="AD652" s="133">
        <f t="shared" si="347"/>
        <v>0</v>
      </c>
      <c r="AE652" s="133">
        <f t="shared" si="347"/>
        <v>0</v>
      </c>
      <c r="AF652" s="133">
        <f t="shared" si="347"/>
        <v>0</v>
      </c>
      <c r="AG652" s="133">
        <f t="shared" si="347"/>
        <v>0</v>
      </c>
      <c r="AH652" s="133">
        <v>182837688</v>
      </c>
      <c r="AI652" s="133">
        <f t="shared" si="347"/>
        <v>0</v>
      </c>
      <c r="AJ652" s="133">
        <f t="shared" si="347"/>
        <v>0</v>
      </c>
      <c r="AK652" s="796"/>
      <c r="AL652" s="796" t="s">
        <v>90</v>
      </c>
      <c r="AM652" s="796"/>
      <c r="AN652" s="799"/>
    </row>
    <row r="653" spans="1:42" s="18" customFormat="1" ht="25.5" hidden="1" customHeight="1" outlineLevel="1">
      <c r="A653" s="35"/>
      <c r="B653" s="35"/>
      <c r="C653" s="35"/>
      <c r="D653" s="35"/>
      <c r="E653" s="35"/>
      <c r="F653" s="36"/>
      <c r="G653" s="36"/>
      <c r="H653" s="37"/>
      <c r="I653" s="36"/>
      <c r="J653" s="36"/>
      <c r="K653" s="36"/>
      <c r="L653" s="35"/>
      <c r="M653" s="38"/>
      <c r="N653" s="39"/>
      <c r="O653" s="39"/>
      <c r="P653" s="39"/>
      <c r="Q653" s="46"/>
      <c r="R653" s="42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796"/>
      <c r="AL653" s="796"/>
      <c r="AM653" s="796"/>
      <c r="AN653" s="799"/>
    </row>
    <row r="654" spans="1:42" s="33" customFormat="1" ht="25.5" hidden="1" customHeight="1" outlineLevel="2">
      <c r="A654" s="35"/>
      <c r="B654" s="35"/>
      <c r="C654" s="35"/>
      <c r="D654" s="35"/>
      <c r="E654" s="35"/>
      <c r="F654" s="36"/>
      <c r="G654" s="36"/>
      <c r="H654" s="37"/>
      <c r="I654" s="36"/>
      <c r="J654" s="36"/>
      <c r="K654" s="36"/>
      <c r="L654" s="35"/>
      <c r="M654" s="38"/>
      <c r="N654" s="39"/>
      <c r="O654" s="39"/>
      <c r="P654" s="39"/>
      <c r="Q654" s="17" t="s">
        <v>59</v>
      </c>
      <c r="R654" s="50"/>
      <c r="S654" s="51"/>
      <c r="T654" s="51"/>
      <c r="U654" s="52"/>
      <c r="V654" s="52"/>
      <c r="W654" s="52"/>
      <c r="X654" s="52"/>
      <c r="Y654" s="52"/>
      <c r="Z654" s="53"/>
      <c r="AA654" s="53"/>
      <c r="AB654" s="53"/>
      <c r="AC654" s="53"/>
      <c r="AD654" s="53"/>
      <c r="AE654" s="53"/>
      <c r="AF654" s="53"/>
      <c r="AG654" s="53"/>
      <c r="AH654" s="53"/>
      <c r="AI654" s="52"/>
      <c r="AJ654" s="52"/>
      <c r="AK654" s="796"/>
      <c r="AL654" s="796"/>
      <c r="AM654" s="796"/>
      <c r="AN654" s="799"/>
    </row>
    <row r="655" spans="1:42" s="33" customFormat="1" ht="25.5" hidden="1" customHeight="1" outlineLevel="2">
      <c r="A655" s="54"/>
      <c r="B655" s="54">
        <v>31</v>
      </c>
      <c r="C655" s="54"/>
      <c r="D655" s="54" t="s">
        <v>33</v>
      </c>
      <c r="E655" s="54" t="s">
        <v>60</v>
      </c>
      <c r="F655" s="54" t="s">
        <v>84</v>
      </c>
      <c r="G655" s="55" t="s">
        <v>36</v>
      </c>
      <c r="H655" s="56" t="s">
        <v>64</v>
      </c>
      <c r="I655" s="54" t="s">
        <v>407</v>
      </c>
      <c r="J655" s="54" t="s">
        <v>407</v>
      </c>
      <c r="K655" s="57">
        <v>33</v>
      </c>
      <c r="L655" s="54" t="s">
        <v>46</v>
      </c>
      <c r="M655" s="58" t="s">
        <v>40</v>
      </c>
      <c r="N655" s="56">
        <v>30487244</v>
      </c>
      <c r="O655" s="56" t="s">
        <v>758</v>
      </c>
      <c r="P655" s="56"/>
      <c r="Q655" s="58" t="s">
        <v>442</v>
      </c>
      <c r="R655" s="24"/>
      <c r="S655" s="59">
        <v>68106000</v>
      </c>
      <c r="T655" s="60">
        <v>47522650</v>
      </c>
      <c r="U655" s="60">
        <f>68106000-47522650</f>
        <v>20583350</v>
      </c>
      <c r="V655" s="292">
        <f t="shared" si="336"/>
        <v>0</v>
      </c>
      <c r="W655" s="29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>
        <v>0</v>
      </c>
      <c r="AI655" s="60">
        <f t="shared" si="337"/>
        <v>20583350</v>
      </c>
      <c r="AJ655" s="60">
        <f>+S655-T655-V655-AI655</f>
        <v>0</v>
      </c>
      <c r="AK655" s="796" t="s">
        <v>48</v>
      </c>
      <c r="AL655" s="796" t="s">
        <v>162</v>
      </c>
      <c r="AM655" s="796"/>
      <c r="AN655" s="799"/>
    </row>
    <row r="656" spans="1:42" s="18" customFormat="1" ht="25.5" customHeight="1" outlineLevel="1" collapsed="1">
      <c r="A656" s="54"/>
      <c r="B656" s="801">
        <v>22</v>
      </c>
      <c r="C656" s="729"/>
      <c r="D656" s="54" t="s">
        <v>192</v>
      </c>
      <c r="E656" s="801" t="s">
        <v>60</v>
      </c>
      <c r="F656" s="729" t="s">
        <v>84</v>
      </c>
      <c r="G656" s="55" t="s">
        <v>49</v>
      </c>
      <c r="H656" s="56" t="s">
        <v>64</v>
      </c>
      <c r="I656" s="801" t="s">
        <v>407</v>
      </c>
      <c r="J656" s="801" t="s">
        <v>407</v>
      </c>
      <c r="K656" s="57">
        <v>33</v>
      </c>
      <c r="L656" s="54" t="s">
        <v>46</v>
      </c>
      <c r="M656" s="802" t="s">
        <v>40</v>
      </c>
      <c r="N656" s="803">
        <v>30474713</v>
      </c>
      <c r="O656" s="770" t="s">
        <v>758</v>
      </c>
      <c r="P656" s="56"/>
      <c r="Q656" s="802" t="s">
        <v>443</v>
      </c>
      <c r="R656" s="24"/>
      <c r="S656" s="804">
        <v>130000000</v>
      </c>
      <c r="T656" s="805">
        <v>0</v>
      </c>
      <c r="U656" s="805">
        <v>30000000</v>
      </c>
      <c r="V656" s="805">
        <f t="shared" si="336"/>
        <v>0</v>
      </c>
      <c r="W656" s="29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>
        <v>0</v>
      </c>
      <c r="AI656" s="805">
        <f t="shared" si="337"/>
        <v>30000000</v>
      </c>
      <c r="AJ656" s="805">
        <f>+S656-T656-V656-AI656</f>
        <v>100000000</v>
      </c>
      <c r="AK656" s="806" t="s">
        <v>48</v>
      </c>
      <c r="AL656" s="806" t="s">
        <v>759</v>
      </c>
      <c r="AM656" s="806" t="str">
        <f>HYPERLINK(CONCATENATE("DOCUMENTOS\ACTA-",N656,".PDF"))</f>
        <v>DOCUMENTOS\ACTA-30474713.PDF</v>
      </c>
      <c r="AN656" s="807"/>
      <c r="AO656" s="33" t="e">
        <f>VLOOKUP(N656,'CONVENIOS 2021'!A$1:A$53,1,FALSE)</f>
        <v>#N/A</v>
      </c>
      <c r="AP656" s="33" t="e">
        <f>VLOOKUP(N656,'CONVENIOS 2020'!A$2:A$72,1,FALSE)</f>
        <v>#N/A</v>
      </c>
    </row>
    <row r="657" spans="1:42" s="38" customFormat="1" ht="25.5" hidden="1" customHeight="1" outlineLevel="1">
      <c r="A657" s="35"/>
      <c r="B657" s="35"/>
      <c r="C657" s="35"/>
      <c r="D657" s="35"/>
      <c r="E657" s="35"/>
      <c r="F657" s="36"/>
      <c r="G657" s="36"/>
      <c r="H657" s="37"/>
      <c r="I657" s="36"/>
      <c r="J657" s="36"/>
      <c r="K657" s="36"/>
      <c r="L657" s="35"/>
      <c r="N657" s="39"/>
      <c r="O657" s="39"/>
      <c r="P657" s="39"/>
      <c r="Q657" s="139" t="s">
        <v>67</v>
      </c>
      <c r="R657" s="41"/>
      <c r="S657" s="140">
        <f t="shared" ref="S657:AJ657" si="349">SUBTOTAL(9,S655:S656)</f>
        <v>130000000</v>
      </c>
      <c r="T657" s="140">
        <f t="shared" ref="T657" si="350">SUBTOTAL(9,T655:T656)</f>
        <v>0</v>
      </c>
      <c r="U657" s="140">
        <f t="shared" si="349"/>
        <v>30000000</v>
      </c>
      <c r="V657" s="140">
        <f t="shared" si="349"/>
        <v>0</v>
      </c>
      <c r="W657" s="140">
        <f t="shared" si="349"/>
        <v>0</v>
      </c>
      <c r="X657" s="140">
        <f t="shared" si="349"/>
        <v>0</v>
      </c>
      <c r="Y657" s="140">
        <f t="shared" si="349"/>
        <v>0</v>
      </c>
      <c r="Z657" s="140">
        <f t="shared" si="349"/>
        <v>0</v>
      </c>
      <c r="AA657" s="140">
        <f t="shared" si="349"/>
        <v>0</v>
      </c>
      <c r="AB657" s="140">
        <f t="shared" si="349"/>
        <v>0</v>
      </c>
      <c r="AC657" s="140">
        <f t="shared" si="349"/>
        <v>0</v>
      </c>
      <c r="AD657" s="140">
        <f t="shared" si="349"/>
        <v>0</v>
      </c>
      <c r="AE657" s="140">
        <f t="shared" si="349"/>
        <v>0</v>
      </c>
      <c r="AF657" s="140">
        <f t="shared" si="349"/>
        <v>0</v>
      </c>
      <c r="AG657" s="140">
        <f t="shared" si="349"/>
        <v>0</v>
      </c>
      <c r="AH657" s="140">
        <v>0</v>
      </c>
      <c r="AI657" s="140">
        <f t="shared" si="349"/>
        <v>30000000</v>
      </c>
      <c r="AJ657" s="140">
        <f t="shared" si="349"/>
        <v>100000000</v>
      </c>
      <c r="AK657" s="796"/>
      <c r="AL657" s="796"/>
      <c r="AM657" s="796"/>
      <c r="AN657" s="799"/>
    </row>
    <row r="658" spans="1:42" s="38" customFormat="1" ht="25.5" hidden="1" customHeight="1" outlineLevel="1">
      <c r="A658" s="35"/>
      <c r="B658" s="35"/>
      <c r="C658" s="35"/>
      <c r="D658" s="35"/>
      <c r="E658" s="35"/>
      <c r="F658" s="36"/>
      <c r="G658" s="36"/>
      <c r="H658" s="37"/>
      <c r="I658" s="36"/>
      <c r="J658" s="36"/>
      <c r="K658" s="36"/>
      <c r="L658" s="35"/>
      <c r="N658" s="39"/>
      <c r="O658" s="39"/>
      <c r="P658" s="39"/>
      <c r="Q658" s="46"/>
      <c r="R658" s="116"/>
      <c r="S658" s="47"/>
      <c r="T658" s="47"/>
      <c r="U658" s="47"/>
      <c r="V658" s="47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47"/>
      <c r="AJ658" s="47"/>
      <c r="AK658" s="796"/>
      <c r="AL658" s="796"/>
      <c r="AM658" s="796"/>
      <c r="AN658" s="799"/>
    </row>
    <row r="659" spans="1:42" s="33" customFormat="1" ht="25.5" hidden="1" customHeight="1" outlineLevel="2">
      <c r="A659" s="35"/>
      <c r="B659" s="35"/>
      <c r="C659" s="35"/>
      <c r="D659" s="35"/>
      <c r="E659" s="35"/>
      <c r="F659" s="36"/>
      <c r="G659" s="36"/>
      <c r="H659" s="37"/>
      <c r="I659" s="36"/>
      <c r="J659" s="36"/>
      <c r="K659" s="36"/>
      <c r="L659" s="35"/>
      <c r="M659" s="38"/>
      <c r="N659" s="39"/>
      <c r="O659" s="39"/>
      <c r="P659" s="39"/>
      <c r="Q659" s="17" t="s">
        <v>68</v>
      </c>
      <c r="R659" s="116"/>
      <c r="S659" s="47"/>
      <c r="T659" s="47"/>
      <c r="U659" s="47"/>
      <c r="V659" s="47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47"/>
      <c r="AJ659" s="47"/>
      <c r="AK659" s="796"/>
      <c r="AL659" s="796"/>
      <c r="AM659" s="796"/>
      <c r="AN659" s="799"/>
    </row>
    <row r="660" spans="1:42" s="18" customFormat="1" ht="25.5" customHeight="1" outlineLevel="1" collapsed="1">
      <c r="A660" s="66" t="s">
        <v>118</v>
      </c>
      <c r="B660" s="801">
        <v>31</v>
      </c>
      <c r="C660" s="730"/>
      <c r="D660" s="66" t="s">
        <v>33</v>
      </c>
      <c r="E660" s="801" t="s">
        <v>69</v>
      </c>
      <c r="F660" s="730" t="s">
        <v>84</v>
      </c>
      <c r="G660" s="67" t="s">
        <v>49</v>
      </c>
      <c r="H660" s="68" t="s">
        <v>208</v>
      </c>
      <c r="I660" s="801" t="s">
        <v>407</v>
      </c>
      <c r="J660" s="801" t="s">
        <v>407</v>
      </c>
      <c r="K660" s="69">
        <v>33</v>
      </c>
      <c r="L660" s="66" t="s">
        <v>46</v>
      </c>
      <c r="M660" s="802" t="s">
        <v>40</v>
      </c>
      <c r="N660" s="803">
        <v>40012912</v>
      </c>
      <c r="O660" s="771"/>
      <c r="P660" s="68"/>
      <c r="Q660" s="802" t="s">
        <v>444</v>
      </c>
      <c r="R660" s="146"/>
      <c r="S660" s="804">
        <v>200303000</v>
      </c>
      <c r="T660" s="805">
        <v>0</v>
      </c>
      <c r="U660" s="805">
        <v>200303000</v>
      </c>
      <c r="V660" s="805">
        <f t="shared" si="336"/>
        <v>0</v>
      </c>
      <c r="W660" s="147"/>
      <c r="X660" s="121"/>
      <c r="Y660" s="121"/>
      <c r="Z660" s="121"/>
      <c r="AA660" s="28"/>
      <c r="AB660" s="121"/>
      <c r="AC660" s="121"/>
      <c r="AD660" s="121"/>
      <c r="AE660" s="121"/>
      <c r="AF660" s="121"/>
      <c r="AG660" s="121"/>
      <c r="AH660" s="28">
        <v>0</v>
      </c>
      <c r="AI660" s="805">
        <f t="shared" si="337"/>
        <v>200303000</v>
      </c>
      <c r="AJ660" s="805">
        <f>+S660-T660-V660-AI660</f>
        <v>0</v>
      </c>
      <c r="AK660" s="806" t="s">
        <v>43</v>
      </c>
      <c r="AL660" s="815" t="s">
        <v>770</v>
      </c>
      <c r="AM660" s="806"/>
      <c r="AN660" s="807"/>
      <c r="AO660" s="33" t="e">
        <f>VLOOKUP(N660,'CONVENIOS 2021'!A$1:A$53,1,FALSE)</f>
        <v>#N/A</v>
      </c>
      <c r="AP660" s="33" t="e">
        <f>VLOOKUP(N660,'CONVENIOS 2020'!A$2:A$72,1,FALSE)</f>
        <v>#N/A</v>
      </c>
    </row>
    <row r="661" spans="1:42" s="38" customFormat="1" ht="25.5" customHeight="1" outlineLevel="1">
      <c r="A661" s="66" t="s">
        <v>280</v>
      </c>
      <c r="B661" s="801">
        <v>31</v>
      </c>
      <c r="C661" s="730"/>
      <c r="D661" s="66" t="s">
        <v>33</v>
      </c>
      <c r="E661" s="801" t="s">
        <v>69</v>
      </c>
      <c r="F661" s="730" t="s">
        <v>84</v>
      </c>
      <c r="G661" s="67" t="s">
        <v>49</v>
      </c>
      <c r="H661" s="68" t="s">
        <v>37</v>
      </c>
      <c r="I661" s="801" t="s">
        <v>407</v>
      </c>
      <c r="J661" s="801" t="s">
        <v>407</v>
      </c>
      <c r="K661" s="69">
        <v>33</v>
      </c>
      <c r="L661" s="66" t="s">
        <v>280</v>
      </c>
      <c r="M661" s="802" t="s">
        <v>159</v>
      </c>
      <c r="N661" s="803">
        <v>30384235</v>
      </c>
      <c r="O661" s="771"/>
      <c r="P661" s="68" t="s">
        <v>752</v>
      </c>
      <c r="Q661" s="802" t="s">
        <v>445</v>
      </c>
      <c r="R661" s="24"/>
      <c r="S661" s="804">
        <v>814000000</v>
      </c>
      <c r="T661" s="805">
        <v>0</v>
      </c>
      <c r="U661" s="805">
        <f>50000000+199275282</f>
        <v>249275282</v>
      </c>
      <c r="V661" s="805">
        <f t="shared" si="336"/>
        <v>0</v>
      </c>
      <c r="W661" s="29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>
        <v>0</v>
      </c>
      <c r="AI661" s="805">
        <f t="shared" si="337"/>
        <v>249275282</v>
      </c>
      <c r="AJ661" s="805">
        <f>+S661-T661-V661-AI661</f>
        <v>564724718</v>
      </c>
      <c r="AK661" s="806" t="s">
        <v>43</v>
      </c>
      <c r="AL661" s="806" t="s">
        <v>767</v>
      </c>
      <c r="AM661" s="806"/>
      <c r="AN661" s="807">
        <v>44138</v>
      </c>
      <c r="AO661" s="33" t="e">
        <f>VLOOKUP(N661,'CONVENIOS 2021'!A$1:A$53,1,FALSE)</f>
        <v>#N/A</v>
      </c>
      <c r="AP661" s="33" t="e">
        <f>VLOOKUP(N661,'CONVENIOS 2020'!A$2:A$72,1,FALSE)</f>
        <v>#N/A</v>
      </c>
    </row>
    <row r="662" spans="1:42" s="18" customFormat="1" ht="25.5" hidden="1" customHeight="1" outlineLevel="1">
      <c r="A662" s="66"/>
      <c r="B662" s="180">
        <v>33</v>
      </c>
      <c r="C662" s="66"/>
      <c r="D662" s="66" t="s">
        <v>76</v>
      </c>
      <c r="E662" s="180" t="s">
        <v>69</v>
      </c>
      <c r="F662" s="66" t="s">
        <v>35</v>
      </c>
      <c r="G662" s="67" t="s">
        <v>49</v>
      </c>
      <c r="H662" s="68" t="s">
        <v>61</v>
      </c>
      <c r="I662" s="180" t="s">
        <v>407</v>
      </c>
      <c r="J662" s="180" t="s">
        <v>407</v>
      </c>
      <c r="K662" s="69">
        <v>33</v>
      </c>
      <c r="L662" s="66" t="s">
        <v>76</v>
      </c>
      <c r="M662" s="184" t="s">
        <v>40</v>
      </c>
      <c r="N662" s="182" t="s">
        <v>76</v>
      </c>
      <c r="O662" s="68"/>
      <c r="P662" s="68"/>
      <c r="Q662" s="184" t="s">
        <v>77</v>
      </c>
      <c r="R662" s="77"/>
      <c r="S662" s="188">
        <v>200000000</v>
      </c>
      <c r="T662" s="189">
        <v>0</v>
      </c>
      <c r="U662" s="189">
        <v>200000000</v>
      </c>
      <c r="V662" s="776">
        <f t="shared" si="336"/>
        <v>33621499</v>
      </c>
      <c r="W662" s="79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>
        <v>33621499</v>
      </c>
      <c r="AI662" s="189">
        <f t="shared" si="337"/>
        <v>166378501</v>
      </c>
      <c r="AJ662" s="189">
        <f>+S662-T662-V662-AI662</f>
        <v>0</v>
      </c>
      <c r="AK662" s="796" t="s">
        <v>78</v>
      </c>
      <c r="AL662" s="796"/>
      <c r="AM662" s="796"/>
      <c r="AN662" s="799"/>
    </row>
    <row r="663" spans="1:42" s="38" customFormat="1" ht="25.5" hidden="1" customHeight="1" outlineLevel="1">
      <c r="A663" s="35"/>
      <c r="B663" s="35"/>
      <c r="C663" s="35"/>
      <c r="D663" s="35"/>
      <c r="E663" s="35"/>
      <c r="F663" s="36"/>
      <c r="G663" s="36"/>
      <c r="H663" s="37"/>
      <c r="I663" s="36"/>
      <c r="J663" s="36"/>
      <c r="K663" s="36"/>
      <c r="L663" s="35"/>
      <c r="N663" s="39"/>
      <c r="O663" s="39"/>
      <c r="P663" s="39"/>
      <c r="Q663" s="134" t="s">
        <v>80</v>
      </c>
      <c r="R663" s="116"/>
      <c r="S663" s="110">
        <f t="shared" ref="S663:U663" si="351">SUBTOTAL(9,S660:S662)</f>
        <v>1014303000</v>
      </c>
      <c r="T663" s="110">
        <f t="shared" ref="T663" si="352">SUBTOTAL(9,T660:T662)</f>
        <v>0</v>
      </c>
      <c r="U663" s="110">
        <f t="shared" si="351"/>
        <v>449578282</v>
      </c>
      <c r="V663" s="110">
        <f t="shared" ref="V663:AJ663" si="353">SUBTOTAL(9,V660:V662)</f>
        <v>0</v>
      </c>
      <c r="W663" s="110">
        <f t="shared" si="353"/>
        <v>0</v>
      </c>
      <c r="X663" s="110">
        <f t="shared" si="353"/>
        <v>0</v>
      </c>
      <c r="Y663" s="110">
        <f t="shared" si="353"/>
        <v>0</v>
      </c>
      <c r="Z663" s="110">
        <f t="shared" si="353"/>
        <v>0</v>
      </c>
      <c r="AA663" s="110">
        <f t="shared" si="353"/>
        <v>0</v>
      </c>
      <c r="AB663" s="110">
        <f t="shared" si="353"/>
        <v>0</v>
      </c>
      <c r="AC663" s="110">
        <f t="shared" si="353"/>
        <v>0</v>
      </c>
      <c r="AD663" s="110">
        <f t="shared" si="353"/>
        <v>0</v>
      </c>
      <c r="AE663" s="110">
        <f t="shared" si="353"/>
        <v>0</v>
      </c>
      <c r="AF663" s="110">
        <f t="shared" si="353"/>
        <v>0</v>
      </c>
      <c r="AG663" s="110">
        <f t="shared" si="353"/>
        <v>0</v>
      </c>
      <c r="AH663" s="110">
        <v>33621499</v>
      </c>
      <c r="AI663" s="110">
        <f t="shared" si="353"/>
        <v>449578282</v>
      </c>
      <c r="AJ663" s="110">
        <f t="shared" si="353"/>
        <v>564724718</v>
      </c>
      <c r="AK663" s="796"/>
      <c r="AL663" s="796"/>
      <c r="AM663" s="796"/>
      <c r="AN663" s="799"/>
    </row>
    <row r="664" spans="1:42" s="90" customFormat="1" ht="24.75" hidden="1" customHeight="1" outlineLevel="1">
      <c r="A664" s="35"/>
      <c r="B664" s="35"/>
      <c r="C664" s="35"/>
      <c r="D664" s="35"/>
      <c r="E664" s="35"/>
      <c r="F664" s="36"/>
      <c r="G664" s="36"/>
      <c r="H664" s="37"/>
      <c r="I664" s="36"/>
      <c r="J664" s="36"/>
      <c r="K664" s="36"/>
      <c r="L664" s="35"/>
      <c r="M664" s="38"/>
      <c r="N664" s="39"/>
      <c r="O664" s="39"/>
      <c r="P664" s="39"/>
      <c r="Q664" s="46"/>
      <c r="R664" s="116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796"/>
      <c r="AL664" s="796"/>
      <c r="AM664" s="796"/>
      <c r="AN664" s="799"/>
    </row>
    <row r="665" spans="1:42" s="84" customFormat="1" ht="24.75" hidden="1" customHeight="1" outlineLevel="1">
      <c r="A665" s="36"/>
      <c r="B665" s="82"/>
      <c r="C665" s="82"/>
      <c r="D665" s="36"/>
      <c r="E665" s="36"/>
      <c r="F665" s="36"/>
      <c r="G665" s="36"/>
      <c r="H665" s="37"/>
      <c r="I665" s="36"/>
      <c r="J665" s="36"/>
      <c r="K665" s="36"/>
      <c r="L665" s="82"/>
      <c r="N665" s="83"/>
      <c r="O665" s="39"/>
      <c r="P665" s="39"/>
      <c r="Q665" s="85" t="s">
        <v>446</v>
      </c>
      <c r="R665" s="111"/>
      <c r="S665" s="88">
        <f t="shared" ref="S665:U665" si="354">S652+S657+S663</f>
        <v>1144303000</v>
      </c>
      <c r="T665" s="88">
        <f t="shared" ref="T665" si="355">T652+T657+T663</f>
        <v>0</v>
      </c>
      <c r="U665" s="88">
        <f t="shared" si="354"/>
        <v>479578282</v>
      </c>
      <c r="V665" s="88">
        <f t="shared" ref="V665:AJ665" si="356">V652+V657+V663</f>
        <v>0</v>
      </c>
      <c r="W665" s="88">
        <f t="shared" si="356"/>
        <v>0</v>
      </c>
      <c r="X665" s="88">
        <f t="shared" si="356"/>
        <v>0</v>
      </c>
      <c r="Y665" s="88">
        <f t="shared" si="356"/>
        <v>0</v>
      </c>
      <c r="Z665" s="88">
        <f t="shared" si="356"/>
        <v>0</v>
      </c>
      <c r="AA665" s="88">
        <f t="shared" si="356"/>
        <v>0</v>
      </c>
      <c r="AB665" s="88">
        <f t="shared" si="356"/>
        <v>0</v>
      </c>
      <c r="AC665" s="88">
        <f t="shared" si="356"/>
        <v>0</v>
      </c>
      <c r="AD665" s="88">
        <f t="shared" si="356"/>
        <v>0</v>
      </c>
      <c r="AE665" s="88">
        <f t="shared" si="356"/>
        <v>0</v>
      </c>
      <c r="AF665" s="88">
        <f t="shared" si="356"/>
        <v>0</v>
      </c>
      <c r="AG665" s="88">
        <f t="shared" si="356"/>
        <v>0</v>
      </c>
      <c r="AH665" s="88">
        <v>216459187</v>
      </c>
      <c r="AI665" s="88">
        <f t="shared" si="356"/>
        <v>479578282</v>
      </c>
      <c r="AJ665" s="88">
        <f t="shared" si="356"/>
        <v>664724718</v>
      </c>
      <c r="AK665" s="796"/>
      <c r="AL665" s="796"/>
      <c r="AM665" s="796"/>
      <c r="AN665" s="799"/>
    </row>
    <row r="666" spans="1:42" s="84" customFormat="1" ht="24.75" hidden="1" customHeight="1" outlineLevel="1">
      <c r="A666" s="36"/>
      <c r="B666" s="82"/>
      <c r="C666" s="82"/>
      <c r="D666" s="36"/>
      <c r="E666" s="36"/>
      <c r="F666" s="36"/>
      <c r="G666" s="36"/>
      <c r="H666" s="37"/>
      <c r="I666" s="36"/>
      <c r="J666" s="36"/>
      <c r="K666" s="36"/>
      <c r="L666" s="82"/>
      <c r="N666" s="83"/>
      <c r="O666" s="39"/>
      <c r="P666" s="39"/>
      <c r="Q666" s="91"/>
      <c r="R666" s="87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796"/>
      <c r="AL666" s="796"/>
      <c r="AM666" s="796"/>
      <c r="AN666" s="799"/>
    </row>
    <row r="667" spans="1:42" s="18" customFormat="1" ht="25.5" hidden="1" customHeight="1" outlineLevel="1">
      <c r="A667" s="36"/>
      <c r="B667" s="36"/>
      <c r="C667" s="36"/>
      <c r="D667" s="36"/>
      <c r="E667" s="36"/>
      <c r="F667" s="36"/>
      <c r="G667" s="36"/>
      <c r="H667" s="37"/>
      <c r="I667" s="36"/>
      <c r="J667" s="36"/>
      <c r="K667" s="36"/>
      <c r="L667" s="36"/>
      <c r="M667" s="95"/>
      <c r="N667" s="37"/>
      <c r="O667" s="39"/>
      <c r="P667" s="39"/>
      <c r="Q667" s="211" t="s">
        <v>150</v>
      </c>
      <c r="R667" s="50"/>
      <c r="S667" s="97"/>
      <c r="T667" s="97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796"/>
      <c r="AL667" s="796"/>
      <c r="AM667" s="796"/>
      <c r="AN667" s="799"/>
    </row>
    <row r="668" spans="1:42" s="33" customFormat="1" ht="25.5" hidden="1" customHeight="1" outlineLevel="2">
      <c r="A668" s="35"/>
      <c r="B668" s="35"/>
      <c r="C668" s="35"/>
      <c r="D668" s="35"/>
      <c r="E668" s="35"/>
      <c r="F668" s="36"/>
      <c r="G668" s="36"/>
      <c r="H668" s="37"/>
      <c r="I668" s="36"/>
      <c r="J668" s="36"/>
      <c r="K668" s="36"/>
      <c r="L668" s="35"/>
      <c r="M668" s="38"/>
      <c r="N668" s="39"/>
      <c r="O668" s="39"/>
      <c r="P668" s="39"/>
      <c r="Q668" s="17" t="s">
        <v>32</v>
      </c>
      <c r="R668" s="50"/>
      <c r="S668" s="51"/>
      <c r="T668" s="51"/>
      <c r="U668" s="52"/>
      <c r="V668" s="52"/>
      <c r="W668" s="52"/>
      <c r="X668" s="52"/>
      <c r="Y668" s="52"/>
      <c r="Z668" s="53"/>
      <c r="AA668" s="53"/>
      <c r="AB668" s="53"/>
      <c r="AC668" s="53"/>
      <c r="AD668" s="53"/>
      <c r="AE668" s="53"/>
      <c r="AF668" s="53"/>
      <c r="AG668" s="53"/>
      <c r="AH668" s="53"/>
      <c r="AI668" s="52"/>
      <c r="AJ668" s="52"/>
      <c r="AK668" s="796"/>
      <c r="AL668" s="796"/>
      <c r="AM668" s="796"/>
      <c r="AN668" s="799"/>
    </row>
    <row r="669" spans="1:42" s="33" customFormat="1" ht="25.5" hidden="1" customHeight="1" outlineLevel="2">
      <c r="A669" s="19" t="s">
        <v>280</v>
      </c>
      <c r="B669" s="19">
        <v>31</v>
      </c>
      <c r="C669" s="19"/>
      <c r="D669" s="19" t="s">
        <v>33</v>
      </c>
      <c r="E669" s="19" t="s">
        <v>34</v>
      </c>
      <c r="F669" s="19" t="s">
        <v>84</v>
      </c>
      <c r="G669" s="20" t="s">
        <v>36</v>
      </c>
      <c r="H669" s="21" t="s">
        <v>37</v>
      </c>
      <c r="I669" s="19" t="s">
        <v>407</v>
      </c>
      <c r="J669" s="19" t="s">
        <v>447</v>
      </c>
      <c r="K669" s="22">
        <v>34</v>
      </c>
      <c r="L669" s="19" t="s">
        <v>280</v>
      </c>
      <c r="M669" s="169" t="s">
        <v>40</v>
      </c>
      <c r="N669" s="21">
        <v>30342673</v>
      </c>
      <c r="O669" s="21" t="s">
        <v>758</v>
      </c>
      <c r="P669" s="21" t="s">
        <v>752</v>
      </c>
      <c r="Q669" s="23" t="s">
        <v>448</v>
      </c>
      <c r="R669" s="24"/>
      <c r="S669" s="26">
        <v>9788091000</v>
      </c>
      <c r="T669" s="30">
        <v>133735539</v>
      </c>
      <c r="U669" s="30">
        <f>1500000000+970443072</f>
        <v>2470443072</v>
      </c>
      <c r="V669" s="285">
        <f t="shared" si="336"/>
        <v>0</v>
      </c>
      <c r="W669" s="29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>
        <v>0</v>
      </c>
      <c r="AI669" s="30">
        <f t="shared" si="337"/>
        <v>2470443072</v>
      </c>
      <c r="AJ669" s="30">
        <f>+S669-T669-V669-AI669</f>
        <v>7183912389</v>
      </c>
      <c r="AK669" s="796" t="s">
        <v>43</v>
      </c>
      <c r="AL669" s="796" t="s">
        <v>44</v>
      </c>
      <c r="AM669" s="796"/>
      <c r="AN669" s="799"/>
    </row>
    <row r="670" spans="1:42" s="33" customFormat="1" ht="25.5" hidden="1" customHeight="1" outlineLevel="2">
      <c r="A670" s="19" t="s">
        <v>280</v>
      </c>
      <c r="B670" s="19">
        <v>31</v>
      </c>
      <c r="C670" s="19"/>
      <c r="D670" s="19" t="s">
        <v>33</v>
      </c>
      <c r="E670" s="19" t="s">
        <v>34</v>
      </c>
      <c r="F670" s="19" t="s">
        <v>84</v>
      </c>
      <c r="G670" s="20" t="s">
        <v>36</v>
      </c>
      <c r="H670" s="21" t="s">
        <v>37</v>
      </c>
      <c r="I670" s="19" t="s">
        <v>407</v>
      </c>
      <c r="J670" s="19" t="s">
        <v>447</v>
      </c>
      <c r="K670" s="22">
        <v>34</v>
      </c>
      <c r="L670" s="19" t="s">
        <v>280</v>
      </c>
      <c r="M670" s="169" t="s">
        <v>40</v>
      </c>
      <c r="N670" s="21">
        <v>30342679</v>
      </c>
      <c r="O670" s="21" t="s">
        <v>758</v>
      </c>
      <c r="P670" s="21" t="s">
        <v>752</v>
      </c>
      <c r="Q670" s="23" t="s">
        <v>449</v>
      </c>
      <c r="R670" s="24"/>
      <c r="S670" s="26">
        <v>4990418000</v>
      </c>
      <c r="T670" s="30">
        <v>4853909931</v>
      </c>
      <c r="U670" s="30">
        <f>208240728-71732659</f>
        <v>136508069</v>
      </c>
      <c r="V670" s="285">
        <f t="shared" si="336"/>
        <v>0</v>
      </c>
      <c r="W670" s="29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>
        <v>0</v>
      </c>
      <c r="AI670" s="30">
        <f t="shared" si="337"/>
        <v>136508069</v>
      </c>
      <c r="AJ670" s="30">
        <f>+S670-T670-V670-AI670</f>
        <v>0</v>
      </c>
      <c r="AK670" s="796" t="s">
        <v>48</v>
      </c>
      <c r="AL670" s="796" t="s">
        <v>44</v>
      </c>
      <c r="AM670" s="796"/>
      <c r="AN670" s="799"/>
    </row>
    <row r="671" spans="1:42" s="33" customFormat="1" ht="25.5" hidden="1" customHeight="1" outlineLevel="2">
      <c r="A671" s="19" t="s">
        <v>280</v>
      </c>
      <c r="B671" s="19">
        <v>31</v>
      </c>
      <c r="C671" s="19"/>
      <c r="D671" s="19" t="s">
        <v>33</v>
      </c>
      <c r="E671" s="19" t="s">
        <v>34</v>
      </c>
      <c r="F671" s="19" t="s">
        <v>84</v>
      </c>
      <c r="G671" s="20" t="s">
        <v>36</v>
      </c>
      <c r="H671" s="21" t="s">
        <v>37</v>
      </c>
      <c r="I671" s="19" t="s">
        <v>407</v>
      </c>
      <c r="J671" s="19" t="s">
        <v>447</v>
      </c>
      <c r="K671" s="22">
        <v>34</v>
      </c>
      <c r="L671" s="19" t="s">
        <v>280</v>
      </c>
      <c r="M671" s="169" t="s">
        <v>40</v>
      </c>
      <c r="N671" s="21">
        <v>30371674</v>
      </c>
      <c r="O671" s="21" t="s">
        <v>758</v>
      </c>
      <c r="P671" s="21"/>
      <c r="Q671" s="23" t="s">
        <v>450</v>
      </c>
      <c r="R671" s="118"/>
      <c r="S671" s="26">
        <v>2400000000</v>
      </c>
      <c r="T671" s="30">
        <v>977479734</v>
      </c>
      <c r="U671" s="30">
        <f>1000000000+71732659</f>
        <v>1071732659</v>
      </c>
      <c r="V671" s="285">
        <f t="shared" si="336"/>
        <v>0</v>
      </c>
      <c r="W671" s="119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28">
        <v>0</v>
      </c>
      <c r="AI671" s="30">
        <f t="shared" si="337"/>
        <v>1071732659</v>
      </c>
      <c r="AJ671" s="30">
        <f>+S671-T671-V671-AI671</f>
        <v>350787607</v>
      </c>
      <c r="AK671" s="796" t="s">
        <v>43</v>
      </c>
      <c r="AL671" s="796" t="s">
        <v>44</v>
      </c>
      <c r="AM671" s="796"/>
      <c r="AN671" s="799"/>
    </row>
    <row r="672" spans="1:42" s="33" customFormat="1" ht="25.5" hidden="1" customHeight="1" outlineLevel="2">
      <c r="A672" s="212"/>
      <c r="B672" s="212">
        <v>31</v>
      </c>
      <c r="C672" s="212">
        <v>1</v>
      </c>
      <c r="D672" s="19" t="s">
        <v>192</v>
      </c>
      <c r="E672" s="212" t="s">
        <v>34</v>
      </c>
      <c r="F672" s="213"/>
      <c r="G672" s="214"/>
      <c r="H672" s="21" t="s">
        <v>61</v>
      </c>
      <c r="I672" s="19" t="s">
        <v>407</v>
      </c>
      <c r="J672" s="19" t="s">
        <v>447</v>
      </c>
      <c r="K672" s="22">
        <v>34</v>
      </c>
      <c r="L672" s="19" t="s">
        <v>46</v>
      </c>
      <c r="M672" s="23" t="s">
        <v>40</v>
      </c>
      <c r="N672" s="215">
        <v>30447539</v>
      </c>
      <c r="O672" s="21" t="s">
        <v>684</v>
      </c>
      <c r="P672" s="21"/>
      <c r="Q672" s="216" t="s">
        <v>451</v>
      </c>
      <c r="R672" s="217"/>
      <c r="S672" s="26">
        <f>+T672</f>
        <v>140366668</v>
      </c>
      <c r="T672" s="30">
        <v>140366668</v>
      </c>
      <c r="U672" s="30">
        <v>0</v>
      </c>
      <c r="V672" s="289">
        <f t="shared" si="336"/>
        <v>0</v>
      </c>
      <c r="W672" s="218"/>
      <c r="X672" s="218"/>
      <c r="Y672" s="218"/>
      <c r="Z672" s="219"/>
      <c r="AA672" s="219"/>
      <c r="AB672" s="219"/>
      <c r="AC672" s="219"/>
      <c r="AD672" s="219"/>
      <c r="AE672" s="219"/>
      <c r="AF672" s="219"/>
      <c r="AG672" s="219"/>
      <c r="AH672" s="28">
        <v>0</v>
      </c>
      <c r="AI672" s="30">
        <f t="shared" si="337"/>
        <v>0</v>
      </c>
      <c r="AJ672" s="30">
        <f>+S672-T672-V672-AI672</f>
        <v>0</v>
      </c>
      <c r="AK672" s="796" t="s">
        <v>48</v>
      </c>
      <c r="AL672" s="796" t="s">
        <v>681</v>
      </c>
      <c r="AM672" s="796"/>
      <c r="AN672" s="799"/>
    </row>
    <row r="673" spans="1:42" s="18" customFormat="1" ht="25.5" hidden="1" customHeight="1" outlineLevel="1">
      <c r="A673" s="19"/>
      <c r="B673" s="19">
        <v>29</v>
      </c>
      <c r="C673" s="19"/>
      <c r="D673" s="19" t="s">
        <v>92</v>
      </c>
      <c r="E673" s="19" t="s">
        <v>34</v>
      </c>
      <c r="F673" s="19" t="s">
        <v>35</v>
      </c>
      <c r="G673" s="20" t="s">
        <v>85</v>
      </c>
      <c r="H673" s="21" t="s">
        <v>85</v>
      </c>
      <c r="I673" s="19" t="s">
        <v>407</v>
      </c>
      <c r="J673" s="19" t="s">
        <v>447</v>
      </c>
      <c r="K673" s="22">
        <v>34</v>
      </c>
      <c r="L673" s="19" t="s">
        <v>46</v>
      </c>
      <c r="M673" s="23" t="s">
        <v>40</v>
      </c>
      <c r="N673" s="21">
        <v>30428989</v>
      </c>
      <c r="O673" s="21" t="s">
        <v>758</v>
      </c>
      <c r="P673" s="21"/>
      <c r="Q673" s="23" t="s">
        <v>452</v>
      </c>
      <c r="R673" s="24"/>
      <c r="S673" s="26">
        <v>505927000</v>
      </c>
      <c r="T673" s="30">
        <v>457608866</v>
      </c>
      <c r="U673" s="30">
        <v>48318134</v>
      </c>
      <c r="V673" s="285">
        <f t="shared" si="336"/>
        <v>0</v>
      </c>
      <c r="W673" s="29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>
        <v>0</v>
      </c>
      <c r="AI673" s="30">
        <f t="shared" si="337"/>
        <v>48318134</v>
      </c>
      <c r="AJ673" s="30">
        <f>+S673-T673-V673-AI673</f>
        <v>0</v>
      </c>
      <c r="AK673" s="796" t="s">
        <v>48</v>
      </c>
      <c r="AL673" s="796" t="s">
        <v>90</v>
      </c>
      <c r="AM673" s="796"/>
      <c r="AN673" s="799"/>
    </row>
    <row r="674" spans="1:42" s="38" customFormat="1" ht="25.5" hidden="1" customHeight="1" outlineLevel="1">
      <c r="A674" s="35"/>
      <c r="B674" s="35"/>
      <c r="C674" s="35"/>
      <c r="D674" s="35"/>
      <c r="E674" s="35"/>
      <c r="F674" s="36"/>
      <c r="G674" s="36"/>
      <c r="H674" s="37"/>
      <c r="I674" s="36"/>
      <c r="J674" s="36"/>
      <c r="K674" s="36"/>
      <c r="L674" s="35"/>
      <c r="N674" s="39"/>
      <c r="O674" s="39"/>
      <c r="P674" s="39"/>
      <c r="Q674" s="132" t="s">
        <v>58</v>
      </c>
      <c r="R674" s="64"/>
      <c r="S674" s="133">
        <f t="shared" ref="S674:AJ674" si="357">SUBTOTAL(9,S669:S673)</f>
        <v>0</v>
      </c>
      <c r="T674" s="133">
        <f t="shared" ref="T674" si="358">SUBTOTAL(9,T669:T673)</f>
        <v>0</v>
      </c>
      <c r="U674" s="133">
        <f t="shared" si="357"/>
        <v>0</v>
      </c>
      <c r="V674" s="133">
        <f t="shared" si="357"/>
        <v>0</v>
      </c>
      <c r="W674" s="133">
        <f t="shared" si="357"/>
        <v>0</v>
      </c>
      <c r="X674" s="133">
        <f t="shared" si="357"/>
        <v>0</v>
      </c>
      <c r="Y674" s="133">
        <f t="shared" si="357"/>
        <v>0</v>
      </c>
      <c r="Z674" s="133">
        <f t="shared" si="357"/>
        <v>0</v>
      </c>
      <c r="AA674" s="133">
        <f t="shared" si="357"/>
        <v>0</v>
      </c>
      <c r="AB674" s="133">
        <f t="shared" si="357"/>
        <v>0</v>
      </c>
      <c r="AC674" s="133">
        <f t="shared" si="357"/>
        <v>0</v>
      </c>
      <c r="AD674" s="133">
        <f t="shared" si="357"/>
        <v>0</v>
      </c>
      <c r="AE674" s="133">
        <f t="shared" si="357"/>
        <v>0</v>
      </c>
      <c r="AF674" s="133">
        <f t="shared" si="357"/>
        <v>0</v>
      </c>
      <c r="AG674" s="133">
        <f t="shared" si="357"/>
        <v>0</v>
      </c>
      <c r="AH674" s="133">
        <v>0</v>
      </c>
      <c r="AI674" s="133">
        <f t="shared" si="357"/>
        <v>0</v>
      </c>
      <c r="AJ674" s="133">
        <f t="shared" si="357"/>
        <v>0</v>
      </c>
      <c r="AK674" s="796"/>
      <c r="AL674" s="796"/>
      <c r="AM674" s="796"/>
      <c r="AN674" s="799"/>
    </row>
    <row r="675" spans="1:42" s="18" customFormat="1" ht="25.5" hidden="1" customHeight="1" outlineLevel="1">
      <c r="A675" s="35"/>
      <c r="B675" s="35"/>
      <c r="C675" s="35"/>
      <c r="D675" s="35"/>
      <c r="E675" s="35"/>
      <c r="F675" s="36"/>
      <c r="G675" s="36"/>
      <c r="H675" s="37"/>
      <c r="I675" s="36"/>
      <c r="J675" s="36"/>
      <c r="K675" s="36"/>
      <c r="L675" s="35"/>
      <c r="M675" s="38"/>
      <c r="N675" s="39"/>
      <c r="O675" s="39"/>
      <c r="P675" s="39"/>
      <c r="Q675" s="46"/>
      <c r="R675" s="42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796"/>
      <c r="AL675" s="796"/>
      <c r="AM675" s="796"/>
      <c r="AN675" s="799"/>
    </row>
    <row r="676" spans="1:42" s="18" customFormat="1" ht="25.5" hidden="1" customHeight="1" outlineLevel="1">
      <c r="A676" s="35"/>
      <c r="B676" s="35"/>
      <c r="C676" s="35"/>
      <c r="D676" s="35"/>
      <c r="E676" s="35"/>
      <c r="F676" s="36"/>
      <c r="G676" s="36"/>
      <c r="H676" s="37"/>
      <c r="I676" s="36"/>
      <c r="J676" s="36"/>
      <c r="K676" s="36"/>
      <c r="L676" s="35"/>
      <c r="M676" s="38"/>
      <c r="N676" s="39"/>
      <c r="O676" s="39"/>
      <c r="P676" s="39"/>
      <c r="Q676" s="17" t="s">
        <v>59</v>
      </c>
      <c r="R676" s="42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796"/>
      <c r="AL676" s="796"/>
      <c r="AM676" s="796"/>
      <c r="AN676" s="799"/>
    </row>
    <row r="677" spans="1:42" s="33" customFormat="1" ht="25.5" hidden="1" customHeight="1" outlineLevel="2">
      <c r="A677" s="54" t="s">
        <v>424</v>
      </c>
      <c r="B677" s="54">
        <v>31</v>
      </c>
      <c r="C677" s="729"/>
      <c r="D677" s="54" t="s">
        <v>33</v>
      </c>
      <c r="E677" s="54" t="s">
        <v>60</v>
      </c>
      <c r="F677" s="729" t="s">
        <v>35</v>
      </c>
      <c r="G677" s="55" t="s">
        <v>85</v>
      </c>
      <c r="H677" s="56" t="s">
        <v>85</v>
      </c>
      <c r="I677" s="54" t="s">
        <v>407</v>
      </c>
      <c r="J677" s="54" t="s">
        <v>447</v>
      </c>
      <c r="K677" s="57">
        <v>34</v>
      </c>
      <c r="L677" s="54" t="s">
        <v>280</v>
      </c>
      <c r="M677" s="58" t="s">
        <v>40</v>
      </c>
      <c r="N677" s="56">
        <v>30060589</v>
      </c>
      <c r="O677" s="56" t="s">
        <v>758</v>
      </c>
      <c r="P677" s="56"/>
      <c r="Q677" s="742" t="s">
        <v>453</v>
      </c>
      <c r="R677" s="24" t="s">
        <v>667</v>
      </c>
      <c r="S677" s="59">
        <v>16300314000</v>
      </c>
      <c r="T677" s="60">
        <v>0</v>
      </c>
      <c r="U677" s="60">
        <v>1000000000</v>
      </c>
      <c r="V677" s="293">
        <f t="shared" si="336"/>
        <v>0</v>
      </c>
      <c r="W677" s="29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>
        <v>0</v>
      </c>
      <c r="AI677" s="60">
        <f t="shared" si="337"/>
        <v>1000000000</v>
      </c>
      <c r="AJ677" s="60">
        <f>+S677-T677-V677-AI677</f>
        <v>15300314000</v>
      </c>
      <c r="AK677" s="796" t="s">
        <v>42</v>
      </c>
      <c r="AL677" s="796" t="s">
        <v>66</v>
      </c>
      <c r="AM677" s="796"/>
      <c r="AN677" s="799"/>
      <c r="AO677" s="33">
        <f>VLOOKUP(N677,'CONVENIOS 2021'!A$1:A$53,1,FALSE)</f>
        <v>30060589</v>
      </c>
    </row>
    <row r="678" spans="1:42" s="18" customFormat="1" ht="25.5" hidden="1" customHeight="1" outlineLevel="1">
      <c r="A678" s="35"/>
      <c r="B678" s="35"/>
      <c r="C678" s="35"/>
      <c r="D678" s="35"/>
      <c r="E678" s="35"/>
      <c r="F678" s="36"/>
      <c r="G678" s="36"/>
      <c r="H678" s="37"/>
      <c r="I678" s="36"/>
      <c r="J678" s="36"/>
      <c r="K678" s="36"/>
      <c r="L678" s="35"/>
      <c r="M678" s="38"/>
      <c r="N678" s="39"/>
      <c r="O678" s="39"/>
      <c r="P678" s="39"/>
      <c r="Q678" s="139" t="s">
        <v>67</v>
      </c>
      <c r="R678" s="42"/>
      <c r="S678" s="140">
        <f t="shared" ref="S678:AJ678" si="359">SUBTOTAL(9,S677)</f>
        <v>0</v>
      </c>
      <c r="T678" s="140">
        <f t="shared" ref="T678" si="360">SUBTOTAL(9,T677)</f>
        <v>0</v>
      </c>
      <c r="U678" s="140">
        <f t="shared" si="359"/>
        <v>0</v>
      </c>
      <c r="V678" s="140">
        <f t="shared" si="359"/>
        <v>0</v>
      </c>
      <c r="W678" s="140">
        <f t="shared" si="359"/>
        <v>0</v>
      </c>
      <c r="X678" s="140">
        <f t="shared" si="359"/>
        <v>0</v>
      </c>
      <c r="Y678" s="140">
        <f t="shared" si="359"/>
        <v>0</v>
      </c>
      <c r="Z678" s="140">
        <f t="shared" si="359"/>
        <v>0</v>
      </c>
      <c r="AA678" s="140">
        <f t="shared" si="359"/>
        <v>0</v>
      </c>
      <c r="AB678" s="140">
        <f t="shared" si="359"/>
        <v>0</v>
      </c>
      <c r="AC678" s="140">
        <f t="shared" si="359"/>
        <v>0</v>
      </c>
      <c r="AD678" s="140">
        <f t="shared" si="359"/>
        <v>0</v>
      </c>
      <c r="AE678" s="140">
        <f t="shared" si="359"/>
        <v>0</v>
      </c>
      <c r="AF678" s="140">
        <f t="shared" si="359"/>
        <v>0</v>
      </c>
      <c r="AG678" s="140">
        <f t="shared" si="359"/>
        <v>0</v>
      </c>
      <c r="AH678" s="140">
        <v>0</v>
      </c>
      <c r="AI678" s="140">
        <f t="shared" si="359"/>
        <v>0</v>
      </c>
      <c r="AJ678" s="140">
        <f t="shared" si="359"/>
        <v>0</v>
      </c>
      <c r="AK678" s="796"/>
      <c r="AL678" s="796" t="s">
        <v>164</v>
      </c>
      <c r="AM678" s="796"/>
      <c r="AN678" s="799"/>
    </row>
    <row r="679" spans="1:42" s="18" customFormat="1" ht="25.5" hidden="1" customHeight="1" outlineLevel="1">
      <c r="A679" s="35"/>
      <c r="B679" s="35"/>
      <c r="C679" s="35"/>
      <c r="D679" s="35"/>
      <c r="E679" s="35"/>
      <c r="F679" s="36"/>
      <c r="G679" s="36"/>
      <c r="H679" s="37"/>
      <c r="I679" s="36"/>
      <c r="J679" s="36"/>
      <c r="K679" s="36"/>
      <c r="L679" s="35"/>
      <c r="M679" s="38"/>
      <c r="N679" s="39"/>
      <c r="O679" s="39"/>
      <c r="P679" s="39"/>
      <c r="Q679" s="46"/>
      <c r="R679" s="42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796"/>
      <c r="AL679" s="796"/>
      <c r="AM679" s="796"/>
      <c r="AN679" s="799"/>
    </row>
    <row r="680" spans="1:42" s="33" customFormat="1" ht="25.5" hidden="1" customHeight="1" outlineLevel="2">
      <c r="A680" s="35"/>
      <c r="B680" s="35"/>
      <c r="C680" s="35"/>
      <c r="D680" s="35"/>
      <c r="E680" s="35"/>
      <c r="F680" s="36"/>
      <c r="G680" s="36"/>
      <c r="H680" s="37"/>
      <c r="I680" s="36"/>
      <c r="J680" s="36"/>
      <c r="K680" s="36"/>
      <c r="L680" s="35"/>
      <c r="M680" s="38"/>
      <c r="N680" s="39"/>
      <c r="O680" s="39"/>
      <c r="P680" s="39"/>
      <c r="Q680" s="17" t="s">
        <v>68</v>
      </c>
      <c r="R680" s="50"/>
      <c r="S680" s="51"/>
      <c r="T680" s="51"/>
      <c r="U680" s="52"/>
      <c r="V680" s="52"/>
      <c r="W680" s="52"/>
      <c r="X680" s="52"/>
      <c r="Y680" s="52"/>
      <c r="Z680" s="53"/>
      <c r="AA680" s="53"/>
      <c r="AB680" s="53"/>
      <c r="AC680" s="53"/>
      <c r="AD680" s="53"/>
      <c r="AE680" s="53"/>
      <c r="AF680" s="53"/>
      <c r="AG680" s="53"/>
      <c r="AH680" s="53"/>
      <c r="AI680" s="52"/>
      <c r="AJ680" s="52"/>
      <c r="AK680" s="796"/>
      <c r="AL680" s="796"/>
      <c r="AM680" s="796"/>
      <c r="AN680" s="799"/>
    </row>
    <row r="681" spans="1:42" s="33" customFormat="1" ht="25.5" hidden="1" customHeight="1" outlineLevel="2">
      <c r="A681" s="66" t="s">
        <v>280</v>
      </c>
      <c r="B681" s="66">
        <v>31</v>
      </c>
      <c r="C681" s="66"/>
      <c r="D681" s="66" t="s">
        <v>33</v>
      </c>
      <c r="E681" s="66" t="s">
        <v>69</v>
      </c>
      <c r="F681" s="66" t="s">
        <v>84</v>
      </c>
      <c r="G681" s="67" t="s">
        <v>36</v>
      </c>
      <c r="H681" s="68" t="s">
        <v>37</v>
      </c>
      <c r="I681" s="66" t="s">
        <v>407</v>
      </c>
      <c r="J681" s="66" t="s">
        <v>447</v>
      </c>
      <c r="K681" s="69">
        <v>34</v>
      </c>
      <c r="L681" s="66" t="s">
        <v>280</v>
      </c>
      <c r="M681" s="210" t="s">
        <v>40</v>
      </c>
      <c r="N681" s="68">
        <v>30384677</v>
      </c>
      <c r="O681" s="68" t="s">
        <v>758</v>
      </c>
      <c r="P681" s="68" t="s">
        <v>752</v>
      </c>
      <c r="Q681" s="70" t="s">
        <v>454</v>
      </c>
      <c r="R681" s="24"/>
      <c r="S681" s="71">
        <v>25923943000</v>
      </c>
      <c r="T681" s="72">
        <v>10017216</v>
      </c>
      <c r="U681" s="72">
        <f>1163358000-300000000</f>
        <v>863358000</v>
      </c>
      <c r="V681" s="296">
        <f t="shared" si="336"/>
        <v>96539007</v>
      </c>
      <c r="W681" s="29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>
        <v>96539007</v>
      </c>
      <c r="AI681" s="72">
        <f t="shared" si="337"/>
        <v>766818993</v>
      </c>
      <c r="AJ681" s="72">
        <f>+S681-T681-V681-AI681</f>
        <v>25050567784</v>
      </c>
      <c r="AK681" s="796" t="s">
        <v>43</v>
      </c>
      <c r="AL681" s="796" t="s">
        <v>104</v>
      </c>
      <c r="AM681" s="796"/>
      <c r="AN681" s="799"/>
    </row>
    <row r="682" spans="1:42" s="33" customFormat="1" ht="25.5" customHeight="1" outlineLevel="2">
      <c r="A682" s="66"/>
      <c r="B682" s="801">
        <v>31</v>
      </c>
      <c r="C682" s="730"/>
      <c r="D682" s="66" t="s">
        <v>33</v>
      </c>
      <c r="E682" s="801" t="s">
        <v>69</v>
      </c>
      <c r="F682" s="730" t="s">
        <v>84</v>
      </c>
      <c r="G682" s="67" t="s">
        <v>36</v>
      </c>
      <c r="H682" s="68" t="s">
        <v>37</v>
      </c>
      <c r="I682" s="801" t="s">
        <v>407</v>
      </c>
      <c r="J682" s="801" t="s">
        <v>447</v>
      </c>
      <c r="K682" s="69">
        <v>34</v>
      </c>
      <c r="L682" s="66" t="s">
        <v>46</v>
      </c>
      <c r="M682" s="802" t="s">
        <v>40</v>
      </c>
      <c r="N682" s="803">
        <v>30468388</v>
      </c>
      <c r="O682" s="771" t="s">
        <v>758</v>
      </c>
      <c r="P682" s="68"/>
      <c r="Q682" s="802" t="s">
        <v>455</v>
      </c>
      <c r="R682" s="24"/>
      <c r="S682" s="804">
        <v>425541000</v>
      </c>
      <c r="T682" s="805">
        <v>0</v>
      </c>
      <c r="U682" s="805">
        <v>21277050</v>
      </c>
      <c r="V682" s="805">
        <f t="shared" si="336"/>
        <v>0</v>
      </c>
      <c r="W682" s="29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>
        <v>0</v>
      </c>
      <c r="AI682" s="805">
        <f t="shared" si="337"/>
        <v>21277050</v>
      </c>
      <c r="AJ682" s="805">
        <f>+S682-T682-V682-AI682</f>
        <v>404263950</v>
      </c>
      <c r="AK682" s="806" t="s">
        <v>43</v>
      </c>
      <c r="AL682" s="806" t="s">
        <v>770</v>
      </c>
      <c r="AM682" s="806"/>
      <c r="AN682" s="807"/>
      <c r="AO682" s="33" t="e">
        <f>VLOOKUP(N682,'CONVENIOS 2021'!A$1:A$53,1,FALSE)</f>
        <v>#N/A</v>
      </c>
      <c r="AP682" s="33" t="e">
        <f>VLOOKUP(N682,'CONVENIOS 2020'!A$2:A$72,1,FALSE)</f>
        <v>#N/A</v>
      </c>
    </row>
    <row r="683" spans="1:42" s="33" customFormat="1" ht="25.5" hidden="1" customHeight="1" outlineLevel="2">
      <c r="A683" s="66"/>
      <c r="B683" s="180">
        <v>29</v>
      </c>
      <c r="C683" s="66"/>
      <c r="D683" s="102" t="s">
        <v>92</v>
      </c>
      <c r="E683" s="180" t="s">
        <v>69</v>
      </c>
      <c r="F683" s="166"/>
      <c r="G683" s="167"/>
      <c r="H683" s="68" t="s">
        <v>45</v>
      </c>
      <c r="I683" s="180" t="s">
        <v>407</v>
      </c>
      <c r="J683" s="180" t="s">
        <v>447</v>
      </c>
      <c r="K683" s="69">
        <v>34</v>
      </c>
      <c r="L683" s="66" t="s">
        <v>46</v>
      </c>
      <c r="M683" s="184" t="s">
        <v>40</v>
      </c>
      <c r="N683" s="182">
        <v>30480167</v>
      </c>
      <c r="O683" s="68"/>
      <c r="P683" s="68"/>
      <c r="Q683" s="184" t="s">
        <v>456</v>
      </c>
      <c r="R683" s="118"/>
      <c r="S683" s="188">
        <v>237746000</v>
      </c>
      <c r="T683" s="189">
        <v>0</v>
      </c>
      <c r="U683" s="189">
        <v>237746000</v>
      </c>
      <c r="V683" s="789">
        <f t="shared" si="336"/>
        <v>0</v>
      </c>
      <c r="W683" s="119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28">
        <v>0</v>
      </c>
      <c r="AI683" s="189">
        <f t="shared" si="337"/>
        <v>237746000</v>
      </c>
      <c r="AJ683" s="189">
        <f>+S683-T683-V683-AI683</f>
        <v>0</v>
      </c>
      <c r="AK683" s="796" t="s">
        <v>48</v>
      </c>
      <c r="AL683" s="796" t="s">
        <v>66</v>
      </c>
      <c r="AM683" s="796"/>
      <c r="AN683" s="799"/>
    </row>
    <row r="684" spans="1:42" s="33" customFormat="1" ht="25.5" customHeight="1" outlineLevel="2">
      <c r="A684" s="66"/>
      <c r="B684" s="801">
        <v>31</v>
      </c>
      <c r="C684" s="730"/>
      <c r="D684" s="66" t="s">
        <v>33</v>
      </c>
      <c r="E684" s="801" t="s">
        <v>69</v>
      </c>
      <c r="F684" s="735" t="s">
        <v>35</v>
      </c>
      <c r="G684" s="167" t="s">
        <v>36</v>
      </c>
      <c r="H684" s="68" t="s">
        <v>37</v>
      </c>
      <c r="I684" s="801" t="s">
        <v>407</v>
      </c>
      <c r="J684" s="801" t="s">
        <v>447</v>
      </c>
      <c r="K684" s="69">
        <v>34</v>
      </c>
      <c r="L684" s="66" t="s">
        <v>46</v>
      </c>
      <c r="M684" s="802" t="s">
        <v>40</v>
      </c>
      <c r="N684" s="803">
        <v>30458729</v>
      </c>
      <c r="O684" s="771" t="s">
        <v>758</v>
      </c>
      <c r="P684" s="68"/>
      <c r="Q684" s="802" t="s">
        <v>457</v>
      </c>
      <c r="R684" s="118"/>
      <c r="S684" s="804">
        <v>742950000</v>
      </c>
      <c r="T684" s="805">
        <v>0</v>
      </c>
      <c r="U684" s="805">
        <v>37147500</v>
      </c>
      <c r="V684" s="805">
        <f t="shared" si="336"/>
        <v>0</v>
      </c>
      <c r="W684" s="119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28">
        <v>0</v>
      </c>
      <c r="AI684" s="805">
        <f t="shared" si="337"/>
        <v>37147500</v>
      </c>
      <c r="AJ684" s="805">
        <f>+S684-T684-V684-AI684</f>
        <v>705802500</v>
      </c>
      <c r="AK684" s="806" t="s">
        <v>43</v>
      </c>
      <c r="AL684" s="806" t="s">
        <v>770</v>
      </c>
      <c r="AM684" s="806"/>
      <c r="AN684" s="807"/>
      <c r="AO684" s="33" t="e">
        <f>VLOOKUP(N684,'CONVENIOS 2021'!A$1:A$53,1,FALSE)</f>
        <v>#N/A</v>
      </c>
      <c r="AP684" s="33" t="e">
        <f>VLOOKUP(N684,'CONVENIOS 2020'!A$2:A$72,1,FALSE)</f>
        <v>#N/A</v>
      </c>
    </row>
    <row r="685" spans="1:42" s="18" customFormat="1" ht="25.5" hidden="1" customHeight="1" outlineLevel="1">
      <c r="A685" s="66"/>
      <c r="B685" s="180">
        <v>29</v>
      </c>
      <c r="C685" s="66"/>
      <c r="D685" s="66" t="s">
        <v>92</v>
      </c>
      <c r="E685" s="180" t="s">
        <v>69</v>
      </c>
      <c r="F685" s="66"/>
      <c r="G685" s="66"/>
      <c r="H685" s="68" t="s">
        <v>61</v>
      </c>
      <c r="I685" s="180" t="s">
        <v>407</v>
      </c>
      <c r="J685" s="180" t="s">
        <v>447</v>
      </c>
      <c r="K685" s="69">
        <v>34</v>
      </c>
      <c r="L685" s="66" t="s">
        <v>46</v>
      </c>
      <c r="M685" s="184" t="s">
        <v>40</v>
      </c>
      <c r="N685" s="182">
        <v>30398377</v>
      </c>
      <c r="O685" s="68"/>
      <c r="P685" s="68"/>
      <c r="Q685" s="184" t="s">
        <v>458</v>
      </c>
      <c r="R685" s="25"/>
      <c r="S685" s="188">
        <v>33689000</v>
      </c>
      <c r="T685" s="189">
        <v>0</v>
      </c>
      <c r="U685" s="188">
        <v>33689000</v>
      </c>
      <c r="V685" s="300">
        <f t="shared" si="336"/>
        <v>0</v>
      </c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>
        <v>0</v>
      </c>
      <c r="AI685" s="189">
        <f t="shared" si="337"/>
        <v>33689000</v>
      </c>
      <c r="AJ685" s="189">
        <f>+S685-T685-V685-AI685</f>
        <v>0</v>
      </c>
      <c r="AK685" s="796" t="s">
        <v>48</v>
      </c>
      <c r="AL685" s="796"/>
      <c r="AM685" s="796"/>
      <c r="AN685" s="799"/>
    </row>
    <row r="686" spans="1:42" s="38" customFormat="1" ht="25.5" hidden="1" customHeight="1" outlineLevel="1">
      <c r="A686" s="35"/>
      <c r="B686" s="35"/>
      <c r="C686" s="35"/>
      <c r="D686" s="35"/>
      <c r="E686" s="35"/>
      <c r="F686" s="36"/>
      <c r="G686" s="36"/>
      <c r="H686" s="37"/>
      <c r="I686" s="36"/>
      <c r="J686" s="36"/>
      <c r="K686" s="36"/>
      <c r="L686" s="35"/>
      <c r="N686" s="39"/>
      <c r="O686" s="39"/>
      <c r="P686" s="39"/>
      <c r="Q686" s="134" t="s">
        <v>80</v>
      </c>
      <c r="R686" s="221"/>
      <c r="S686" s="110">
        <f t="shared" ref="S686:U686" si="361">SUBTOTAL(9,S681:S685)</f>
        <v>1168491000</v>
      </c>
      <c r="T686" s="110">
        <f t="shared" ref="T686" si="362">SUBTOTAL(9,T681:T685)</f>
        <v>0</v>
      </c>
      <c r="U686" s="110">
        <f t="shared" si="361"/>
        <v>58424550</v>
      </c>
      <c r="V686" s="110">
        <f t="shared" ref="V686:AJ686" si="363">SUBTOTAL(9,V681:V685)</f>
        <v>0</v>
      </c>
      <c r="W686" s="110">
        <f t="shared" si="363"/>
        <v>0</v>
      </c>
      <c r="X686" s="110">
        <f t="shared" si="363"/>
        <v>0</v>
      </c>
      <c r="Y686" s="110">
        <f t="shared" si="363"/>
        <v>0</v>
      </c>
      <c r="Z686" s="110">
        <f t="shared" si="363"/>
        <v>0</v>
      </c>
      <c r="AA686" s="110">
        <f t="shared" si="363"/>
        <v>0</v>
      </c>
      <c r="AB686" s="110">
        <f t="shared" si="363"/>
        <v>0</v>
      </c>
      <c r="AC686" s="110">
        <f t="shared" si="363"/>
        <v>0</v>
      </c>
      <c r="AD686" s="110">
        <f t="shared" si="363"/>
        <v>0</v>
      </c>
      <c r="AE686" s="110">
        <f t="shared" si="363"/>
        <v>0</v>
      </c>
      <c r="AF686" s="110">
        <f t="shared" si="363"/>
        <v>0</v>
      </c>
      <c r="AG686" s="110">
        <f t="shared" si="363"/>
        <v>0</v>
      </c>
      <c r="AH686" s="110">
        <v>96539007</v>
      </c>
      <c r="AI686" s="110">
        <f t="shared" si="363"/>
        <v>58424550</v>
      </c>
      <c r="AJ686" s="110">
        <f t="shared" si="363"/>
        <v>1110066450</v>
      </c>
      <c r="AK686" s="796"/>
      <c r="AL686" s="796"/>
      <c r="AM686" s="796"/>
      <c r="AN686" s="799"/>
    </row>
    <row r="687" spans="1:42" s="90" customFormat="1" ht="24.75" hidden="1" customHeight="1" outlineLevel="1">
      <c r="A687" s="35"/>
      <c r="B687" s="35"/>
      <c r="C687" s="35"/>
      <c r="D687" s="35"/>
      <c r="E687" s="35"/>
      <c r="F687" s="36"/>
      <c r="G687" s="36"/>
      <c r="H687" s="37"/>
      <c r="I687" s="36"/>
      <c r="J687" s="36"/>
      <c r="K687" s="36"/>
      <c r="L687" s="35"/>
      <c r="M687" s="38"/>
      <c r="N687" s="39"/>
      <c r="O687" s="39"/>
      <c r="P687" s="39"/>
      <c r="Q687" s="46"/>
      <c r="R687" s="42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796"/>
      <c r="AL687" s="796"/>
      <c r="AM687" s="796"/>
      <c r="AN687" s="799"/>
    </row>
    <row r="688" spans="1:42" s="84" customFormat="1" ht="24.75" hidden="1" customHeight="1" outlineLevel="1">
      <c r="A688" s="36"/>
      <c r="B688" s="82"/>
      <c r="C688" s="82"/>
      <c r="D688" s="36"/>
      <c r="E688" s="36"/>
      <c r="F688" s="36"/>
      <c r="G688" s="36"/>
      <c r="H688" s="37"/>
      <c r="I688" s="36"/>
      <c r="J688" s="36"/>
      <c r="K688" s="36"/>
      <c r="L688" s="82"/>
      <c r="N688" s="83"/>
      <c r="O688" s="39"/>
      <c r="P688" s="39"/>
      <c r="Q688" s="85" t="s">
        <v>404</v>
      </c>
      <c r="R688" s="86"/>
      <c r="S688" s="88">
        <f t="shared" ref="S688:U688" si="364">S674+S686+S678</f>
        <v>1168491000</v>
      </c>
      <c r="T688" s="88">
        <f t="shared" ref="T688" si="365">T674+T686+T678</f>
        <v>0</v>
      </c>
      <c r="U688" s="88">
        <f t="shared" si="364"/>
        <v>58424550</v>
      </c>
      <c r="V688" s="88">
        <f t="shared" ref="V688:AJ688" si="366">V674+V686+V678</f>
        <v>0</v>
      </c>
      <c r="W688" s="88">
        <f t="shared" si="366"/>
        <v>0</v>
      </c>
      <c r="X688" s="88">
        <f t="shared" si="366"/>
        <v>0</v>
      </c>
      <c r="Y688" s="88">
        <f t="shared" si="366"/>
        <v>0</v>
      </c>
      <c r="Z688" s="88">
        <f t="shared" si="366"/>
        <v>0</v>
      </c>
      <c r="AA688" s="88">
        <f t="shared" si="366"/>
        <v>0</v>
      </c>
      <c r="AB688" s="88">
        <f t="shared" si="366"/>
        <v>0</v>
      </c>
      <c r="AC688" s="88">
        <f t="shared" si="366"/>
        <v>0</v>
      </c>
      <c r="AD688" s="88">
        <f t="shared" si="366"/>
        <v>0</v>
      </c>
      <c r="AE688" s="88">
        <f t="shared" si="366"/>
        <v>0</v>
      </c>
      <c r="AF688" s="88">
        <f t="shared" si="366"/>
        <v>0</v>
      </c>
      <c r="AG688" s="88">
        <f t="shared" si="366"/>
        <v>0</v>
      </c>
      <c r="AH688" s="88">
        <v>96539007</v>
      </c>
      <c r="AI688" s="88">
        <f t="shared" si="366"/>
        <v>58424550</v>
      </c>
      <c r="AJ688" s="88">
        <f t="shared" si="366"/>
        <v>1110066450</v>
      </c>
      <c r="AK688" s="796"/>
      <c r="AL688" s="796"/>
      <c r="AM688" s="796"/>
      <c r="AN688" s="799"/>
    </row>
    <row r="689" spans="1:40" s="90" customFormat="1" ht="24.75" hidden="1" customHeight="1" outlineLevel="1">
      <c r="A689" s="36"/>
      <c r="B689" s="82"/>
      <c r="C689" s="82"/>
      <c r="D689" s="36"/>
      <c r="E689" s="36"/>
      <c r="F689" s="36"/>
      <c r="G689" s="36"/>
      <c r="H689" s="37"/>
      <c r="I689" s="36"/>
      <c r="J689" s="36"/>
      <c r="K689" s="36"/>
      <c r="L689" s="82"/>
      <c r="M689" s="84"/>
      <c r="N689" s="83"/>
      <c r="O689" s="39"/>
      <c r="P689" s="39"/>
      <c r="Q689" s="91"/>
      <c r="R689" s="87"/>
      <c r="S689" s="92"/>
      <c r="T689" s="92"/>
      <c r="U689" s="92"/>
      <c r="V689" s="92"/>
      <c r="W689" s="205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92"/>
      <c r="AJ689" s="92"/>
      <c r="AK689" s="796"/>
      <c r="AL689" s="796"/>
      <c r="AM689" s="796"/>
      <c r="AN689" s="799"/>
    </row>
    <row r="690" spans="1:40" s="84" customFormat="1" ht="24.75" hidden="1" customHeight="1" outlineLevel="1">
      <c r="A690" s="36"/>
      <c r="B690" s="82"/>
      <c r="C690" s="82"/>
      <c r="D690" s="36"/>
      <c r="E690" s="36"/>
      <c r="F690" s="36"/>
      <c r="G690" s="36"/>
      <c r="H690" s="37"/>
      <c r="I690" s="36"/>
      <c r="J690" s="36"/>
      <c r="K690" s="36"/>
      <c r="L690" s="82"/>
      <c r="N690" s="83"/>
      <c r="O690" s="39"/>
      <c r="P690" s="39"/>
      <c r="Q690" s="85" t="s">
        <v>459</v>
      </c>
      <c r="R690" s="111"/>
      <c r="S690" s="88">
        <f t="shared" ref="S690:AJ690" si="367">S688+S665+S645+S623+S603</f>
        <v>2981597000</v>
      </c>
      <c r="T690" s="88">
        <f t="shared" si="367"/>
        <v>0</v>
      </c>
      <c r="U690" s="88">
        <f t="shared" si="367"/>
        <v>908002832</v>
      </c>
      <c r="V690" s="88">
        <f t="shared" si="367"/>
        <v>0</v>
      </c>
      <c r="W690" s="88">
        <f t="shared" si="367"/>
        <v>0</v>
      </c>
      <c r="X690" s="88">
        <f t="shared" si="367"/>
        <v>0</v>
      </c>
      <c r="Y690" s="88">
        <f t="shared" si="367"/>
        <v>0</v>
      </c>
      <c r="Z690" s="88">
        <f t="shared" si="367"/>
        <v>0</v>
      </c>
      <c r="AA690" s="88">
        <f t="shared" si="367"/>
        <v>0</v>
      </c>
      <c r="AB690" s="88">
        <f t="shared" si="367"/>
        <v>0</v>
      </c>
      <c r="AC690" s="88">
        <f t="shared" si="367"/>
        <v>0</v>
      </c>
      <c r="AD690" s="88">
        <f t="shared" si="367"/>
        <v>0</v>
      </c>
      <c r="AE690" s="88">
        <f t="shared" si="367"/>
        <v>0</v>
      </c>
      <c r="AF690" s="88">
        <f t="shared" si="367"/>
        <v>0</v>
      </c>
      <c r="AG690" s="88">
        <f t="shared" si="367"/>
        <v>0</v>
      </c>
      <c r="AH690" s="88">
        <v>398234113</v>
      </c>
      <c r="AI690" s="88">
        <f t="shared" si="367"/>
        <v>908002832</v>
      </c>
      <c r="AJ690" s="88">
        <f t="shared" si="367"/>
        <v>2073594168</v>
      </c>
      <c r="AK690" s="796"/>
      <c r="AL690" s="796"/>
      <c r="AM690" s="796"/>
      <c r="AN690" s="799"/>
    </row>
    <row r="691" spans="1:40" s="84" customFormat="1" ht="24.75" hidden="1" customHeight="1" outlineLevel="1">
      <c r="A691" s="36"/>
      <c r="B691" s="82"/>
      <c r="C691" s="82"/>
      <c r="D691" s="36"/>
      <c r="E691" s="36"/>
      <c r="F691" s="36"/>
      <c r="G691" s="36"/>
      <c r="H691" s="37"/>
      <c r="I691" s="36"/>
      <c r="J691" s="36"/>
      <c r="K691" s="36"/>
      <c r="L691" s="82"/>
      <c r="N691" s="83"/>
      <c r="O691" s="39"/>
      <c r="P691" s="39"/>
      <c r="Q691" s="91"/>
      <c r="R691" s="87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796"/>
      <c r="AL691" s="796"/>
      <c r="AM691" s="796"/>
      <c r="AN691" s="799"/>
    </row>
    <row r="692" spans="1:40" s="18" customFormat="1" ht="25.5" hidden="1" customHeight="1" outlineLevel="1">
      <c r="A692" s="36"/>
      <c r="B692" s="36"/>
      <c r="C692" s="36"/>
      <c r="D692" s="36"/>
      <c r="E692" s="36"/>
      <c r="F692" s="36"/>
      <c r="G692" s="36"/>
      <c r="H692" s="37"/>
      <c r="I692" s="36"/>
      <c r="J692" s="36"/>
      <c r="K692" s="36"/>
      <c r="L692" s="36"/>
      <c r="M692" s="95"/>
      <c r="N692" s="37"/>
      <c r="O692" s="39"/>
      <c r="P692" s="39"/>
      <c r="Q692" s="136" t="s">
        <v>460</v>
      </c>
      <c r="R692" s="50"/>
      <c r="S692" s="97"/>
      <c r="T692" s="97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796"/>
      <c r="AL692" s="796"/>
      <c r="AM692" s="796"/>
      <c r="AN692" s="799"/>
    </row>
    <row r="693" spans="1:40" s="33" customFormat="1" ht="25.5" hidden="1" customHeight="1" outlineLevel="2">
      <c r="A693" s="35"/>
      <c r="B693" s="35"/>
      <c r="C693" s="35"/>
      <c r="D693" s="35"/>
      <c r="E693" s="35"/>
      <c r="F693" s="36"/>
      <c r="G693" s="36"/>
      <c r="H693" s="37"/>
      <c r="I693" s="36"/>
      <c r="J693" s="36"/>
      <c r="K693" s="36"/>
      <c r="L693" s="35"/>
      <c r="M693" s="38"/>
      <c r="N693" s="39"/>
      <c r="O693" s="39"/>
      <c r="P693" s="39"/>
      <c r="Q693" s="17" t="s">
        <v>32</v>
      </c>
      <c r="R693" s="50"/>
      <c r="S693" s="51"/>
      <c r="T693" s="51"/>
      <c r="U693" s="52"/>
      <c r="V693" s="52"/>
      <c r="W693" s="52"/>
      <c r="X693" s="52"/>
      <c r="Y693" s="52"/>
      <c r="Z693" s="53"/>
      <c r="AA693" s="53"/>
      <c r="AB693" s="53"/>
      <c r="AC693" s="53"/>
      <c r="AD693" s="53"/>
      <c r="AE693" s="53"/>
      <c r="AF693" s="53"/>
      <c r="AG693" s="53"/>
      <c r="AH693" s="53"/>
      <c r="AI693" s="52"/>
      <c r="AJ693" s="52"/>
      <c r="AK693" s="796"/>
      <c r="AL693" s="796"/>
      <c r="AM693" s="796"/>
      <c r="AN693" s="799"/>
    </row>
    <row r="694" spans="1:40" s="33" customFormat="1" ht="25.5" hidden="1" customHeight="1" outlineLevel="2">
      <c r="A694" s="19"/>
      <c r="B694" s="19">
        <v>31</v>
      </c>
      <c r="C694" s="19"/>
      <c r="D694" s="19" t="s">
        <v>33</v>
      </c>
      <c r="E694" s="19" t="s">
        <v>34</v>
      </c>
      <c r="F694" s="19" t="s">
        <v>35</v>
      </c>
      <c r="G694" s="20" t="s">
        <v>49</v>
      </c>
      <c r="H694" s="21" t="s">
        <v>85</v>
      </c>
      <c r="I694" s="19" t="s">
        <v>461</v>
      </c>
      <c r="J694" s="19" t="s">
        <v>461</v>
      </c>
      <c r="K694" s="22">
        <v>35</v>
      </c>
      <c r="L694" s="19" t="s">
        <v>46</v>
      </c>
      <c r="M694" s="23" t="s">
        <v>40</v>
      </c>
      <c r="N694" s="21">
        <v>30364305</v>
      </c>
      <c r="O694" s="21" t="s">
        <v>684</v>
      </c>
      <c r="P694" s="21"/>
      <c r="Q694" s="23" t="s">
        <v>462</v>
      </c>
      <c r="R694" s="151"/>
      <c r="S694" s="26">
        <v>3185189000</v>
      </c>
      <c r="T694" s="30">
        <v>3008590769</v>
      </c>
      <c r="U694" s="30">
        <v>125391979</v>
      </c>
      <c r="V694" s="285">
        <f t="shared" ref="V694:V754" si="368">+SUM(W694:AH694)</f>
        <v>13358810</v>
      </c>
      <c r="W694" s="153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28">
        <v>13358810</v>
      </c>
      <c r="AI694" s="30">
        <f t="shared" ref="AI694:AI754" si="369">+U694-V694</f>
        <v>112033169</v>
      </c>
      <c r="AJ694" s="30">
        <f t="shared" ref="AJ694:AJ703" si="370">+S694-T694-V694-AI694</f>
        <v>51206252</v>
      </c>
      <c r="AK694" s="796" t="s">
        <v>43</v>
      </c>
      <c r="AL694" s="796" t="s">
        <v>44</v>
      </c>
      <c r="AM694" s="796"/>
      <c r="AN694" s="799"/>
    </row>
    <row r="695" spans="1:40" s="18" customFormat="1" ht="25.5" hidden="1" customHeight="1" outlineLevel="1">
      <c r="A695" s="19"/>
      <c r="B695" s="19">
        <v>29</v>
      </c>
      <c r="C695" s="19"/>
      <c r="D695" s="19" t="s">
        <v>92</v>
      </c>
      <c r="E695" s="19" t="s">
        <v>34</v>
      </c>
      <c r="F695" s="19" t="s">
        <v>35</v>
      </c>
      <c r="G695" s="20" t="s">
        <v>49</v>
      </c>
      <c r="H695" s="21" t="s">
        <v>85</v>
      </c>
      <c r="I695" s="19" t="s">
        <v>461</v>
      </c>
      <c r="J695" s="19" t="s">
        <v>461</v>
      </c>
      <c r="K695" s="22">
        <v>35</v>
      </c>
      <c r="L695" s="19" t="s">
        <v>46</v>
      </c>
      <c r="M695" s="23" t="s">
        <v>40</v>
      </c>
      <c r="N695" s="21">
        <v>30488894</v>
      </c>
      <c r="O695" s="21" t="s">
        <v>754</v>
      </c>
      <c r="P695" s="21"/>
      <c r="Q695" s="23" t="s">
        <v>463</v>
      </c>
      <c r="R695" s="151"/>
      <c r="S695" s="26">
        <v>1055427000</v>
      </c>
      <c r="T695" s="30">
        <v>368055889</v>
      </c>
      <c r="U695" s="30">
        <v>100000000</v>
      </c>
      <c r="V695" s="285">
        <f t="shared" si="368"/>
        <v>0</v>
      </c>
      <c r="W695" s="153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28">
        <v>0</v>
      </c>
      <c r="AI695" s="30">
        <f t="shared" si="369"/>
        <v>100000000</v>
      </c>
      <c r="AJ695" s="30">
        <f t="shared" si="370"/>
        <v>587371111</v>
      </c>
      <c r="AK695" s="796" t="s">
        <v>48</v>
      </c>
      <c r="AL695" s="796" t="s">
        <v>44</v>
      </c>
      <c r="AM695" s="796"/>
      <c r="AN695" s="799"/>
    </row>
    <row r="696" spans="1:40" s="33" customFormat="1" ht="25.5" hidden="1" customHeight="1" outlineLevel="2">
      <c r="A696" s="19"/>
      <c r="B696" s="19">
        <v>24</v>
      </c>
      <c r="C696" s="19"/>
      <c r="D696" s="19" t="s">
        <v>464</v>
      </c>
      <c r="E696" s="19" t="s">
        <v>34</v>
      </c>
      <c r="F696" s="19" t="s">
        <v>84</v>
      </c>
      <c r="G696" s="20" t="s">
        <v>49</v>
      </c>
      <c r="H696" s="21" t="s">
        <v>208</v>
      </c>
      <c r="I696" s="19" t="s">
        <v>461</v>
      </c>
      <c r="J696" s="19" t="s">
        <v>461</v>
      </c>
      <c r="K696" s="22">
        <v>35</v>
      </c>
      <c r="L696" s="19" t="s">
        <v>310</v>
      </c>
      <c r="M696" s="23" t="s">
        <v>40</v>
      </c>
      <c r="N696" s="21" t="s">
        <v>465</v>
      </c>
      <c r="O696" s="21" t="s">
        <v>683</v>
      </c>
      <c r="P696" s="21"/>
      <c r="Q696" s="23" t="s">
        <v>466</v>
      </c>
      <c r="R696" s="151"/>
      <c r="S696" s="26">
        <v>3405537000</v>
      </c>
      <c r="T696" s="30">
        <v>0</v>
      </c>
      <c r="U696" s="30">
        <v>2510040000</v>
      </c>
      <c r="V696" s="285">
        <f t="shared" si="368"/>
        <v>0</v>
      </c>
      <c r="W696" s="153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>
        <f t="shared" si="369"/>
        <v>2510040000</v>
      </c>
      <c r="AJ696" s="30">
        <f t="shared" si="370"/>
        <v>895497000</v>
      </c>
      <c r="AK696" s="796" t="s">
        <v>467</v>
      </c>
      <c r="AL696" s="796" t="s">
        <v>44</v>
      </c>
      <c r="AM696" s="796"/>
      <c r="AN696" s="799"/>
    </row>
    <row r="697" spans="1:40" s="33" customFormat="1" ht="25.5" hidden="1" customHeight="1" outlineLevel="2">
      <c r="A697" s="19"/>
      <c r="B697" s="19">
        <v>31</v>
      </c>
      <c r="C697" s="19"/>
      <c r="D697" s="19" t="s">
        <v>33</v>
      </c>
      <c r="E697" s="19" t="s">
        <v>34</v>
      </c>
      <c r="F697" s="19" t="s">
        <v>35</v>
      </c>
      <c r="G697" s="20" t="s">
        <v>49</v>
      </c>
      <c r="H697" s="21" t="s">
        <v>61</v>
      </c>
      <c r="I697" s="19" t="s">
        <v>461</v>
      </c>
      <c r="J697" s="19" t="s">
        <v>461</v>
      </c>
      <c r="K697" s="22">
        <v>35</v>
      </c>
      <c r="L697" s="19" t="s">
        <v>46</v>
      </c>
      <c r="M697" s="23" t="s">
        <v>40</v>
      </c>
      <c r="N697" s="21">
        <v>30460140</v>
      </c>
      <c r="O697" s="21" t="s">
        <v>684</v>
      </c>
      <c r="P697" s="21"/>
      <c r="Q697" s="23" t="s">
        <v>673</v>
      </c>
      <c r="R697" s="151" t="s">
        <v>674</v>
      </c>
      <c r="S697" s="26">
        <f>3711853544+414392</f>
        <v>3712267936</v>
      </c>
      <c r="T697" s="30">
        <v>3549833203</v>
      </c>
      <c r="U697" s="30">
        <v>162434733</v>
      </c>
      <c r="V697" s="285">
        <f t="shared" ref="V697" si="371">+SUM(W697:AH697)</f>
        <v>0</v>
      </c>
      <c r="W697" s="153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28">
        <v>0</v>
      </c>
      <c r="AI697" s="30">
        <f t="shared" ref="AI697" si="372">+U697-V697</f>
        <v>162434733</v>
      </c>
      <c r="AJ697" s="30">
        <f t="shared" ref="AJ697" si="373">+S697-T697-V697-AI697</f>
        <v>0</v>
      </c>
      <c r="AK697" s="796" t="s">
        <v>48</v>
      </c>
      <c r="AL697" s="796" t="s">
        <v>44</v>
      </c>
      <c r="AM697" s="796"/>
      <c r="AN697" s="799"/>
    </row>
    <row r="698" spans="1:40" s="33" customFormat="1" ht="25.5" hidden="1" customHeight="1" outlineLevel="2">
      <c r="A698" s="19"/>
      <c r="B698" s="19">
        <v>24</v>
      </c>
      <c r="C698" s="19"/>
      <c r="D698" s="19" t="s">
        <v>468</v>
      </c>
      <c r="E698" s="19" t="s">
        <v>34</v>
      </c>
      <c r="F698" s="19" t="s">
        <v>84</v>
      </c>
      <c r="G698" s="20" t="s">
        <v>49</v>
      </c>
      <c r="H698" s="21" t="s">
        <v>61</v>
      </c>
      <c r="I698" s="19" t="s">
        <v>461</v>
      </c>
      <c r="J698" s="19" t="s">
        <v>461</v>
      </c>
      <c r="K698" s="22">
        <v>35</v>
      </c>
      <c r="L698" s="19" t="s">
        <v>46</v>
      </c>
      <c r="M698" s="23" t="s">
        <v>40</v>
      </c>
      <c r="N698" s="21" t="s">
        <v>465</v>
      </c>
      <c r="O698" s="598">
        <v>0.06</v>
      </c>
      <c r="P698" s="598"/>
      <c r="Q698" s="23" t="s">
        <v>469</v>
      </c>
      <c r="R698" s="151"/>
      <c r="S698" s="26">
        <v>2496540000</v>
      </c>
      <c r="T698" s="30">
        <v>0</v>
      </c>
      <c r="U698" s="30">
        <v>2496540000</v>
      </c>
      <c r="V698" s="285">
        <f t="shared" si="368"/>
        <v>0</v>
      </c>
      <c r="W698" s="153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>
        <f t="shared" si="369"/>
        <v>2496540000</v>
      </c>
      <c r="AJ698" s="30">
        <f t="shared" si="370"/>
        <v>0</v>
      </c>
      <c r="AK698" s="796" t="s">
        <v>467</v>
      </c>
      <c r="AL698" s="796" t="s">
        <v>44</v>
      </c>
      <c r="AM698" s="796"/>
      <c r="AN698" s="799"/>
    </row>
    <row r="699" spans="1:40" s="33" customFormat="1" ht="25.5" hidden="1" customHeight="1" outlineLevel="2">
      <c r="A699" s="19"/>
      <c r="B699" s="19">
        <v>24</v>
      </c>
      <c r="C699" s="19"/>
      <c r="D699" s="19" t="s">
        <v>470</v>
      </c>
      <c r="E699" s="19" t="s">
        <v>34</v>
      </c>
      <c r="F699" s="19" t="s">
        <v>84</v>
      </c>
      <c r="G699" s="20" t="s">
        <v>49</v>
      </c>
      <c r="H699" s="21" t="s">
        <v>208</v>
      </c>
      <c r="I699" s="19" t="s">
        <v>461</v>
      </c>
      <c r="J699" s="19" t="s">
        <v>461</v>
      </c>
      <c r="K699" s="22">
        <v>35</v>
      </c>
      <c r="L699" s="19" t="s">
        <v>310</v>
      </c>
      <c r="M699" s="23" t="s">
        <v>40</v>
      </c>
      <c r="N699" s="21" t="s">
        <v>465</v>
      </c>
      <c r="O699" s="21" t="s">
        <v>683</v>
      </c>
      <c r="P699" s="21"/>
      <c r="Q699" s="23" t="s">
        <v>471</v>
      </c>
      <c r="R699" s="151"/>
      <c r="S699" s="26">
        <v>661135000</v>
      </c>
      <c r="T699" s="30">
        <v>0</v>
      </c>
      <c r="U699" s="30">
        <v>661135000</v>
      </c>
      <c r="V699" s="285">
        <f t="shared" si="368"/>
        <v>0</v>
      </c>
      <c r="W699" s="153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>
        <f t="shared" si="369"/>
        <v>661135000</v>
      </c>
      <c r="AJ699" s="30">
        <f t="shared" si="370"/>
        <v>0</v>
      </c>
      <c r="AK699" s="796" t="s">
        <v>467</v>
      </c>
      <c r="AL699" s="796" t="s">
        <v>44</v>
      </c>
      <c r="AM699" s="796"/>
      <c r="AN699" s="799"/>
    </row>
    <row r="700" spans="1:40" s="18" customFormat="1" ht="25.5" hidden="1" customHeight="1" outlineLevel="1">
      <c r="A700" s="19"/>
      <c r="B700" s="19">
        <v>24</v>
      </c>
      <c r="C700" s="19"/>
      <c r="D700" s="19" t="s">
        <v>472</v>
      </c>
      <c r="E700" s="19" t="s">
        <v>34</v>
      </c>
      <c r="F700" s="19" t="s">
        <v>84</v>
      </c>
      <c r="G700" s="20" t="s">
        <v>49</v>
      </c>
      <c r="H700" s="21" t="s">
        <v>61</v>
      </c>
      <c r="I700" s="19" t="s">
        <v>461</v>
      </c>
      <c r="J700" s="19" t="s">
        <v>461</v>
      </c>
      <c r="K700" s="22">
        <v>35</v>
      </c>
      <c r="L700" s="19" t="s">
        <v>46</v>
      </c>
      <c r="M700" s="23" t="s">
        <v>40</v>
      </c>
      <c r="N700" s="21" t="s">
        <v>465</v>
      </c>
      <c r="O700" s="598">
        <v>0.06</v>
      </c>
      <c r="P700" s="598"/>
      <c r="Q700" s="23" t="s">
        <v>473</v>
      </c>
      <c r="R700" s="151"/>
      <c r="S700" s="26">
        <v>2350784000</v>
      </c>
      <c r="T700" s="30">
        <v>0</v>
      </c>
      <c r="U700" s="30">
        <v>2350784000</v>
      </c>
      <c r="V700" s="285">
        <f t="shared" si="368"/>
        <v>0</v>
      </c>
      <c r="W700" s="153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>
        <f t="shared" si="369"/>
        <v>2350784000</v>
      </c>
      <c r="AJ700" s="30">
        <f t="shared" si="370"/>
        <v>0</v>
      </c>
      <c r="AK700" s="796" t="s">
        <v>467</v>
      </c>
      <c r="AL700" s="796" t="s">
        <v>44</v>
      </c>
      <c r="AM700" s="796"/>
      <c r="AN700" s="799"/>
    </row>
    <row r="701" spans="1:40" s="18" customFormat="1" ht="25.5" hidden="1" customHeight="1" outlineLevel="1">
      <c r="A701" s="19"/>
      <c r="B701" s="19">
        <v>33</v>
      </c>
      <c r="C701" s="19"/>
      <c r="D701" s="19" t="s">
        <v>474</v>
      </c>
      <c r="E701" s="19" t="s">
        <v>34</v>
      </c>
      <c r="F701" s="19" t="s">
        <v>35</v>
      </c>
      <c r="G701" s="20" t="s">
        <v>49</v>
      </c>
      <c r="H701" s="21" t="s">
        <v>45</v>
      </c>
      <c r="I701" s="19" t="s">
        <v>461</v>
      </c>
      <c r="J701" s="19" t="s">
        <v>461</v>
      </c>
      <c r="K701" s="22">
        <v>35</v>
      </c>
      <c r="L701" s="19" t="s">
        <v>46</v>
      </c>
      <c r="M701" s="23" t="s">
        <v>40</v>
      </c>
      <c r="N701" s="21">
        <v>40016388</v>
      </c>
      <c r="O701" s="21" t="s">
        <v>685</v>
      </c>
      <c r="P701" s="21"/>
      <c r="Q701" s="23" t="s">
        <v>475</v>
      </c>
      <c r="R701" s="151"/>
      <c r="S701" s="26">
        <v>2500000000</v>
      </c>
      <c r="T701" s="30">
        <v>0</v>
      </c>
      <c r="U701" s="30">
        <v>2500000000</v>
      </c>
      <c r="V701" s="285">
        <f t="shared" si="368"/>
        <v>0</v>
      </c>
      <c r="W701" s="153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28">
        <v>0</v>
      </c>
      <c r="AI701" s="30">
        <f t="shared" si="369"/>
        <v>2500000000</v>
      </c>
      <c r="AJ701" s="30">
        <f t="shared" si="370"/>
        <v>0</v>
      </c>
      <c r="AK701" s="796" t="s">
        <v>78</v>
      </c>
      <c r="AL701" s="796" t="s">
        <v>429</v>
      </c>
      <c r="AM701" s="796"/>
      <c r="AN701" s="799"/>
    </row>
    <row r="702" spans="1:40" s="18" customFormat="1" ht="25.5" hidden="1" customHeight="1" outlineLevel="1">
      <c r="A702" s="19"/>
      <c r="B702" s="19">
        <v>22</v>
      </c>
      <c r="C702" s="19"/>
      <c r="D702" s="19" t="s">
        <v>192</v>
      </c>
      <c r="E702" s="19" t="s">
        <v>34</v>
      </c>
      <c r="F702" s="19" t="s">
        <v>84</v>
      </c>
      <c r="G702" s="20" t="s">
        <v>49</v>
      </c>
      <c r="H702" s="21" t="s">
        <v>61</v>
      </c>
      <c r="I702" s="19" t="s">
        <v>461</v>
      </c>
      <c r="J702" s="19" t="s">
        <v>461</v>
      </c>
      <c r="K702" s="22">
        <v>35</v>
      </c>
      <c r="L702" s="19" t="s">
        <v>46</v>
      </c>
      <c r="M702" s="23" t="s">
        <v>40</v>
      </c>
      <c r="N702" s="21">
        <v>40016120</v>
      </c>
      <c r="O702" s="21" t="s">
        <v>684</v>
      </c>
      <c r="P702" s="21"/>
      <c r="Q702" s="23" t="s">
        <v>476</v>
      </c>
      <c r="R702" s="151"/>
      <c r="S702" s="26">
        <v>350000000</v>
      </c>
      <c r="T702" s="30">
        <v>13900000</v>
      </c>
      <c r="U702" s="30">
        <v>200000000</v>
      </c>
      <c r="V702" s="285">
        <f t="shared" si="368"/>
        <v>0</v>
      </c>
      <c r="W702" s="153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28">
        <v>0</v>
      </c>
      <c r="AI702" s="30">
        <f t="shared" si="369"/>
        <v>200000000</v>
      </c>
      <c r="AJ702" s="30">
        <f t="shared" si="370"/>
        <v>136100000</v>
      </c>
      <c r="AK702" s="796" t="s">
        <v>48</v>
      </c>
      <c r="AL702" s="796" t="s">
        <v>44</v>
      </c>
      <c r="AM702" s="796"/>
      <c r="AN702" s="799"/>
    </row>
    <row r="703" spans="1:40" s="18" customFormat="1" ht="25.5" hidden="1" customHeight="1" outlineLevel="1">
      <c r="A703" s="19"/>
      <c r="B703" s="19">
        <v>33</v>
      </c>
      <c r="C703" s="19"/>
      <c r="D703" s="19" t="s">
        <v>477</v>
      </c>
      <c r="E703" s="19" t="s">
        <v>34</v>
      </c>
      <c r="F703" s="19" t="s">
        <v>35</v>
      </c>
      <c r="G703" s="20" t="s">
        <v>36</v>
      </c>
      <c r="H703" s="21" t="s">
        <v>37</v>
      </c>
      <c r="I703" s="19" t="s">
        <v>461</v>
      </c>
      <c r="J703" s="19" t="s">
        <v>461</v>
      </c>
      <c r="K703" s="22">
        <v>35</v>
      </c>
      <c r="L703" s="19" t="s">
        <v>39</v>
      </c>
      <c r="M703" s="21" t="s">
        <v>40</v>
      </c>
      <c r="N703" s="21">
        <v>30429222</v>
      </c>
      <c r="O703" s="21" t="s">
        <v>687</v>
      </c>
      <c r="P703" s="21"/>
      <c r="Q703" s="23" t="s">
        <v>478</v>
      </c>
      <c r="R703" s="151"/>
      <c r="S703" s="26">
        <v>2606915000</v>
      </c>
      <c r="T703" s="30">
        <v>0</v>
      </c>
      <c r="U703" s="30">
        <v>2606915000</v>
      </c>
      <c r="V703" s="285">
        <f t="shared" si="368"/>
        <v>0</v>
      </c>
      <c r="W703" s="153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28">
        <v>0</v>
      </c>
      <c r="AI703" s="30">
        <f t="shared" si="369"/>
        <v>2606915000</v>
      </c>
      <c r="AJ703" s="30">
        <f t="shared" si="370"/>
        <v>0</v>
      </c>
      <c r="AK703" s="796" t="s">
        <v>78</v>
      </c>
      <c r="AL703" s="796"/>
      <c r="AM703" s="796"/>
      <c r="AN703" s="799"/>
    </row>
    <row r="704" spans="1:40" s="38" customFormat="1" ht="24" hidden="1" customHeight="1" outlineLevel="1">
      <c r="A704" s="35"/>
      <c r="B704" s="35"/>
      <c r="C704" s="35"/>
      <c r="D704" s="35"/>
      <c r="E704" s="35"/>
      <c r="F704" s="36"/>
      <c r="G704" s="36"/>
      <c r="H704" s="37"/>
      <c r="I704" s="36"/>
      <c r="J704" s="36"/>
      <c r="K704" s="36"/>
      <c r="L704" s="35"/>
      <c r="N704" s="39"/>
      <c r="O704" s="39"/>
      <c r="P704" s="39"/>
      <c r="Q704" s="132" t="s">
        <v>58</v>
      </c>
      <c r="R704" s="41"/>
      <c r="S704" s="133">
        <f t="shared" ref="S704:AJ704" si="374">SUBTOTAL(9,S694:S703)</f>
        <v>0</v>
      </c>
      <c r="T704" s="133">
        <f t="shared" ref="T704" si="375">SUBTOTAL(9,T694:T703)</f>
        <v>0</v>
      </c>
      <c r="U704" s="133">
        <f t="shared" si="374"/>
        <v>0</v>
      </c>
      <c r="V704" s="133">
        <f t="shared" si="374"/>
        <v>0</v>
      </c>
      <c r="W704" s="133">
        <f t="shared" si="374"/>
        <v>0</v>
      </c>
      <c r="X704" s="133">
        <f t="shared" si="374"/>
        <v>0</v>
      </c>
      <c r="Y704" s="133">
        <f t="shared" si="374"/>
        <v>0</v>
      </c>
      <c r="Z704" s="133">
        <f t="shared" si="374"/>
        <v>0</v>
      </c>
      <c r="AA704" s="133">
        <f t="shared" si="374"/>
        <v>0</v>
      </c>
      <c r="AB704" s="133">
        <f t="shared" si="374"/>
        <v>0</v>
      </c>
      <c r="AC704" s="133">
        <f t="shared" si="374"/>
        <v>0</v>
      </c>
      <c r="AD704" s="133">
        <f t="shared" si="374"/>
        <v>0</v>
      </c>
      <c r="AE704" s="133">
        <f t="shared" si="374"/>
        <v>0</v>
      </c>
      <c r="AF704" s="133">
        <f t="shared" si="374"/>
        <v>0</v>
      </c>
      <c r="AG704" s="133">
        <f t="shared" si="374"/>
        <v>0</v>
      </c>
      <c r="AH704" s="133">
        <v>13358810</v>
      </c>
      <c r="AI704" s="133">
        <f t="shared" si="374"/>
        <v>0</v>
      </c>
      <c r="AJ704" s="133">
        <f t="shared" si="374"/>
        <v>0</v>
      </c>
      <c r="AK704" s="796"/>
      <c r="AL704" s="796"/>
      <c r="AM704" s="796"/>
      <c r="AN704" s="799"/>
    </row>
    <row r="705" spans="1:42" s="18" customFormat="1" ht="25.5" hidden="1" customHeight="1" outlineLevel="1">
      <c r="A705" s="35"/>
      <c r="B705" s="35"/>
      <c r="C705" s="35"/>
      <c r="D705" s="35"/>
      <c r="E705" s="35"/>
      <c r="F705" s="36"/>
      <c r="G705" s="36"/>
      <c r="H705" s="37"/>
      <c r="I705" s="36"/>
      <c r="J705" s="36"/>
      <c r="K705" s="36"/>
      <c r="L705" s="35"/>
      <c r="M705" s="38"/>
      <c r="N705" s="39"/>
      <c r="O705" s="39"/>
      <c r="P705" s="39"/>
      <c r="Q705" s="46"/>
      <c r="R705" s="42"/>
      <c r="S705" s="47"/>
      <c r="T705" s="47"/>
      <c r="U705" s="47"/>
      <c r="V705" s="47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7"/>
      <c r="AJ705" s="47"/>
      <c r="AK705" s="796"/>
      <c r="AL705" s="796"/>
      <c r="AM705" s="796"/>
      <c r="AN705" s="799"/>
    </row>
    <row r="706" spans="1:42" s="18" customFormat="1" ht="25.5" hidden="1" customHeight="1" outlineLevel="1">
      <c r="A706" s="35"/>
      <c r="B706" s="35"/>
      <c r="C706" s="35"/>
      <c r="D706" s="35"/>
      <c r="E706" s="35"/>
      <c r="F706" s="36"/>
      <c r="G706" s="36"/>
      <c r="H706" s="37"/>
      <c r="I706" s="36"/>
      <c r="J706" s="36"/>
      <c r="K706" s="36"/>
      <c r="L706" s="35"/>
      <c r="M706" s="38"/>
      <c r="N706" s="39"/>
      <c r="O706" s="39"/>
      <c r="P706" s="39"/>
      <c r="Q706" s="17" t="s">
        <v>59</v>
      </c>
      <c r="R706" s="50"/>
      <c r="S706" s="51"/>
      <c r="T706" s="51"/>
      <c r="U706" s="52"/>
      <c r="V706" s="52"/>
      <c r="W706" s="52"/>
      <c r="X706" s="52"/>
      <c r="Y706" s="52"/>
      <c r="Z706" s="53"/>
      <c r="AA706" s="53"/>
      <c r="AB706" s="53"/>
      <c r="AC706" s="53"/>
      <c r="AD706" s="53"/>
      <c r="AE706" s="53"/>
      <c r="AF706" s="53"/>
      <c r="AG706" s="53"/>
      <c r="AH706" s="53"/>
      <c r="AI706" s="52"/>
      <c r="AJ706" s="52"/>
      <c r="AK706" s="796"/>
      <c r="AL706" s="796"/>
      <c r="AM706" s="796"/>
      <c r="AN706" s="799"/>
    </row>
    <row r="707" spans="1:42" s="33" customFormat="1" ht="25.5" customHeight="1" outlineLevel="2">
      <c r="A707" s="54" t="s">
        <v>118</v>
      </c>
      <c r="B707" s="801">
        <v>31</v>
      </c>
      <c r="C707" s="729"/>
      <c r="D707" s="54" t="s">
        <v>33</v>
      </c>
      <c r="E707" s="801" t="s">
        <v>60</v>
      </c>
      <c r="F707" s="729" t="s">
        <v>84</v>
      </c>
      <c r="G707" s="55" t="s">
        <v>36</v>
      </c>
      <c r="H707" s="56" t="s">
        <v>37</v>
      </c>
      <c r="I707" s="801" t="s">
        <v>461</v>
      </c>
      <c r="J707" s="801" t="s">
        <v>461</v>
      </c>
      <c r="K707" s="57">
        <v>35</v>
      </c>
      <c r="L707" s="54" t="s">
        <v>46</v>
      </c>
      <c r="M707" s="802" t="s">
        <v>40</v>
      </c>
      <c r="N707" s="803">
        <v>40022424</v>
      </c>
      <c r="O707" s="770" t="s">
        <v>685</v>
      </c>
      <c r="P707" s="56" t="s">
        <v>752</v>
      </c>
      <c r="Q707" s="802" t="s">
        <v>479</v>
      </c>
      <c r="R707" s="146"/>
      <c r="S707" s="804">
        <v>2028090000</v>
      </c>
      <c r="T707" s="805">
        <v>0</v>
      </c>
      <c r="U707" s="805">
        <f>700000000-162434733</f>
        <v>537565267</v>
      </c>
      <c r="V707" s="805">
        <f t="shared" si="368"/>
        <v>0</v>
      </c>
      <c r="W707" s="147"/>
      <c r="X707" s="121"/>
      <c r="Y707" s="121"/>
      <c r="Z707" s="121"/>
      <c r="AA707" s="28"/>
      <c r="AB707" s="28"/>
      <c r="AC707" s="28"/>
      <c r="AD707" s="28"/>
      <c r="AE707" s="28"/>
      <c r="AF707" s="28"/>
      <c r="AG707" s="121"/>
      <c r="AH707" s="28">
        <v>0</v>
      </c>
      <c r="AI707" s="805">
        <f t="shared" si="369"/>
        <v>537565267</v>
      </c>
      <c r="AJ707" s="805">
        <f>+S707-T707-V707-AI707</f>
        <v>1490524733</v>
      </c>
      <c r="AK707" s="806" t="s">
        <v>48</v>
      </c>
      <c r="AL707" s="806" t="s">
        <v>770</v>
      </c>
      <c r="AM707" s="806"/>
      <c r="AN707" s="807"/>
      <c r="AO707" s="33" t="e">
        <f>VLOOKUP(N707,'CONVENIOS 2021'!A$1:A$53,1,FALSE)</f>
        <v>#N/A</v>
      </c>
      <c r="AP707" s="33" t="e">
        <f>VLOOKUP(N707,'CONVENIOS 2020'!A$2:A$72,1,FALSE)</f>
        <v>#N/A</v>
      </c>
    </row>
    <row r="708" spans="1:42" s="38" customFormat="1" ht="23.25" hidden="1" outlineLevel="1">
      <c r="A708" s="35"/>
      <c r="B708" s="35"/>
      <c r="C708" s="35"/>
      <c r="D708" s="35"/>
      <c r="E708" s="35"/>
      <c r="F708" s="36"/>
      <c r="G708" s="36"/>
      <c r="H708" s="37"/>
      <c r="I708" s="36"/>
      <c r="J708" s="36"/>
      <c r="K708" s="36"/>
      <c r="L708" s="35"/>
      <c r="N708" s="39"/>
      <c r="O708" s="39"/>
      <c r="P708" s="39"/>
      <c r="Q708" s="139" t="s">
        <v>67</v>
      </c>
      <c r="R708" s="41"/>
      <c r="S708" s="140">
        <f t="shared" ref="S708:AJ708" si="376">SUBTOTAL(9,S707:S707)</f>
        <v>2028090000</v>
      </c>
      <c r="T708" s="140">
        <f t="shared" ref="T708" si="377">SUBTOTAL(9,T707:T707)</f>
        <v>0</v>
      </c>
      <c r="U708" s="140">
        <f t="shared" si="376"/>
        <v>537565267</v>
      </c>
      <c r="V708" s="140">
        <f t="shared" si="376"/>
        <v>0</v>
      </c>
      <c r="W708" s="140">
        <f t="shared" si="376"/>
        <v>0</v>
      </c>
      <c r="X708" s="140">
        <f t="shared" si="376"/>
        <v>0</v>
      </c>
      <c r="Y708" s="140">
        <f t="shared" si="376"/>
        <v>0</v>
      </c>
      <c r="Z708" s="140">
        <f t="shared" si="376"/>
        <v>0</v>
      </c>
      <c r="AA708" s="140">
        <f t="shared" si="376"/>
        <v>0</v>
      </c>
      <c r="AB708" s="140">
        <f t="shared" si="376"/>
        <v>0</v>
      </c>
      <c r="AC708" s="140">
        <f t="shared" si="376"/>
        <v>0</v>
      </c>
      <c r="AD708" s="140">
        <f t="shared" si="376"/>
        <v>0</v>
      </c>
      <c r="AE708" s="140">
        <f t="shared" si="376"/>
        <v>0</v>
      </c>
      <c r="AF708" s="140">
        <f t="shared" si="376"/>
        <v>0</v>
      </c>
      <c r="AG708" s="140">
        <f t="shared" si="376"/>
        <v>0</v>
      </c>
      <c r="AH708" s="140">
        <v>0</v>
      </c>
      <c r="AI708" s="140">
        <f t="shared" si="376"/>
        <v>537565267</v>
      </c>
      <c r="AJ708" s="140">
        <f t="shared" si="376"/>
        <v>1490524733</v>
      </c>
      <c r="AK708" s="797"/>
      <c r="AL708" s="797" t="s">
        <v>63</v>
      </c>
      <c r="AM708" s="797"/>
      <c r="AN708" s="797"/>
    </row>
    <row r="709" spans="1:42" s="38" customFormat="1" ht="25.5" hidden="1" customHeight="1" outlineLevel="1">
      <c r="A709" s="35"/>
      <c r="B709" s="35"/>
      <c r="C709" s="35"/>
      <c r="D709" s="35"/>
      <c r="E709" s="35"/>
      <c r="F709" s="36"/>
      <c r="G709" s="36"/>
      <c r="H709" s="37"/>
      <c r="I709" s="36"/>
      <c r="J709" s="36"/>
      <c r="K709" s="36"/>
      <c r="L709" s="35"/>
      <c r="N709" s="39"/>
      <c r="O709" s="39"/>
      <c r="P709" s="39"/>
      <c r="Q709" s="46"/>
      <c r="R709" s="116"/>
      <c r="S709" s="47"/>
      <c r="T709" s="47"/>
      <c r="U709" s="47"/>
      <c r="V709" s="47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47"/>
      <c r="AJ709" s="47"/>
      <c r="AK709" s="797"/>
      <c r="AL709" s="797"/>
      <c r="AM709" s="797"/>
      <c r="AN709" s="797"/>
    </row>
    <row r="710" spans="1:42" s="18" customFormat="1" ht="25.5" hidden="1" customHeight="1" outlineLevel="1">
      <c r="A710" s="35"/>
      <c r="B710" s="35"/>
      <c r="C710" s="35"/>
      <c r="D710" s="35"/>
      <c r="E710" s="35"/>
      <c r="F710" s="36"/>
      <c r="G710" s="36"/>
      <c r="H710" s="37"/>
      <c r="I710" s="36"/>
      <c r="J710" s="36"/>
      <c r="K710" s="36"/>
      <c r="L710" s="35"/>
      <c r="M710" s="38"/>
      <c r="N710" s="39"/>
      <c r="O710" s="39"/>
      <c r="P710" s="39"/>
      <c r="Q710" s="17" t="s">
        <v>68</v>
      </c>
      <c r="R710" s="116"/>
      <c r="S710" s="47"/>
      <c r="T710" s="47"/>
      <c r="U710" s="47"/>
      <c r="V710" s="47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47"/>
      <c r="AJ710" s="47"/>
      <c r="AK710" s="797"/>
      <c r="AL710" s="797"/>
      <c r="AM710" s="797"/>
      <c r="AN710" s="797"/>
    </row>
    <row r="711" spans="1:42" s="33" customFormat="1" ht="25.5" customHeight="1" outlineLevel="2">
      <c r="A711" s="66"/>
      <c r="B711" s="801">
        <v>31</v>
      </c>
      <c r="C711" s="730"/>
      <c r="D711" s="66" t="s">
        <v>33</v>
      </c>
      <c r="E711" s="801" t="s">
        <v>69</v>
      </c>
      <c r="F711" s="730" t="s">
        <v>35</v>
      </c>
      <c r="G711" s="66" t="s">
        <v>36</v>
      </c>
      <c r="H711" s="68" t="s">
        <v>50</v>
      </c>
      <c r="I711" s="801" t="s">
        <v>461</v>
      </c>
      <c r="J711" s="801" t="s">
        <v>461</v>
      </c>
      <c r="K711" s="730">
        <v>35</v>
      </c>
      <c r="L711" s="66" t="s">
        <v>46</v>
      </c>
      <c r="M711" s="802" t="s">
        <v>40</v>
      </c>
      <c r="N711" s="803">
        <v>30091074</v>
      </c>
      <c r="O711" s="771" t="s">
        <v>684</v>
      </c>
      <c r="P711" s="68"/>
      <c r="Q711" s="802" t="s">
        <v>480</v>
      </c>
      <c r="R711" s="24"/>
      <c r="S711" s="804">
        <v>5484512000</v>
      </c>
      <c r="T711" s="805">
        <v>0</v>
      </c>
      <c r="U711" s="805">
        <v>130000000</v>
      </c>
      <c r="V711" s="805">
        <f t="shared" si="368"/>
        <v>0</v>
      </c>
      <c r="W711" s="29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>
        <v>0</v>
      </c>
      <c r="AI711" s="805">
        <f t="shared" si="369"/>
        <v>130000000</v>
      </c>
      <c r="AJ711" s="805">
        <f t="shared" ref="AJ711:AJ721" si="378">+S711-T711-V711-AI711</f>
        <v>5354512000</v>
      </c>
      <c r="AK711" s="806" t="s">
        <v>43</v>
      </c>
      <c r="AL711" s="806" t="s">
        <v>771</v>
      </c>
      <c r="AM711" s="806"/>
      <c r="AN711" s="807"/>
      <c r="AO711" s="33" t="e">
        <f>VLOOKUP(N711,'CONVENIOS 2021'!A$1:A$53,1,FALSE)</f>
        <v>#N/A</v>
      </c>
      <c r="AP711" s="33" t="e">
        <f>VLOOKUP(N711,'CONVENIOS 2020'!A$2:A$72,1,FALSE)</f>
        <v>#N/A</v>
      </c>
    </row>
    <row r="712" spans="1:42" s="18" customFormat="1" ht="25.5" hidden="1" customHeight="1" outlineLevel="1">
      <c r="A712" s="66" t="s">
        <v>118</v>
      </c>
      <c r="B712" s="180">
        <v>31</v>
      </c>
      <c r="C712" s="730"/>
      <c r="D712" s="66" t="s">
        <v>33</v>
      </c>
      <c r="E712" s="180" t="s">
        <v>69</v>
      </c>
      <c r="F712" s="730" t="s">
        <v>84</v>
      </c>
      <c r="G712" s="66" t="s">
        <v>36</v>
      </c>
      <c r="H712" s="68" t="s">
        <v>37</v>
      </c>
      <c r="I712" s="180" t="s">
        <v>461</v>
      </c>
      <c r="J712" s="180" t="s">
        <v>461</v>
      </c>
      <c r="K712" s="66">
        <v>35</v>
      </c>
      <c r="L712" s="66" t="s">
        <v>46</v>
      </c>
      <c r="M712" s="184" t="s">
        <v>40</v>
      </c>
      <c r="N712" s="182">
        <v>40022435</v>
      </c>
      <c r="O712" s="68"/>
      <c r="P712" s="68" t="s">
        <v>752</v>
      </c>
      <c r="Q712" s="777" t="s">
        <v>481</v>
      </c>
      <c r="R712" s="146"/>
      <c r="S712" s="188">
        <v>613500000</v>
      </c>
      <c r="T712" s="189">
        <v>0</v>
      </c>
      <c r="U712" s="189">
        <v>30675000</v>
      </c>
      <c r="V712" s="300">
        <f t="shared" si="368"/>
        <v>0</v>
      </c>
      <c r="W712" s="147"/>
      <c r="X712" s="121"/>
      <c r="Y712" s="121"/>
      <c r="Z712" s="121"/>
      <c r="AA712" s="28"/>
      <c r="AB712" s="121"/>
      <c r="AC712" s="28"/>
      <c r="AD712" s="28"/>
      <c r="AE712" s="28"/>
      <c r="AF712" s="28"/>
      <c r="AG712" s="121"/>
      <c r="AH712" s="28">
        <v>0</v>
      </c>
      <c r="AI712" s="189">
        <f t="shared" si="369"/>
        <v>30675000</v>
      </c>
      <c r="AJ712" s="189">
        <f t="shared" si="378"/>
        <v>582825000</v>
      </c>
      <c r="AK712" s="797" t="s">
        <v>48</v>
      </c>
      <c r="AL712" s="797" t="s">
        <v>66</v>
      </c>
      <c r="AM712" s="797"/>
      <c r="AN712" s="797"/>
      <c r="AO712" s="33">
        <f>VLOOKUP(N712,'CONVENIOS 2021'!A$1:A$53,1,FALSE)</f>
        <v>40022435</v>
      </c>
    </row>
    <row r="713" spans="1:42" s="33" customFormat="1" ht="25.5" customHeight="1" outlineLevel="2">
      <c r="A713" s="66"/>
      <c r="B713" s="801">
        <v>31</v>
      </c>
      <c r="C713" s="730"/>
      <c r="D713" s="66" t="s">
        <v>33</v>
      </c>
      <c r="E713" s="801" t="s">
        <v>69</v>
      </c>
      <c r="F713" s="730"/>
      <c r="G713" s="66"/>
      <c r="H713" s="68" t="s">
        <v>61</v>
      </c>
      <c r="I713" s="801" t="s">
        <v>461</v>
      </c>
      <c r="J713" s="801" t="s">
        <v>461</v>
      </c>
      <c r="K713" s="730">
        <v>35</v>
      </c>
      <c r="L713" s="66" t="s">
        <v>46</v>
      </c>
      <c r="M713" s="802" t="s">
        <v>40</v>
      </c>
      <c r="N713" s="803">
        <v>30462595</v>
      </c>
      <c r="O713" s="771"/>
      <c r="P713" s="68"/>
      <c r="Q713" s="802" t="s">
        <v>482</v>
      </c>
      <c r="R713" s="740"/>
      <c r="S713" s="804">
        <v>996652000</v>
      </c>
      <c r="T713" s="805">
        <v>0</v>
      </c>
      <c r="U713" s="805">
        <v>49832600</v>
      </c>
      <c r="V713" s="805">
        <f t="shared" si="368"/>
        <v>0</v>
      </c>
      <c r="W713" s="741"/>
      <c r="X713" s="222"/>
      <c r="Y713" s="222"/>
      <c r="Z713" s="222"/>
      <c r="AA713" s="222"/>
      <c r="AB713" s="222"/>
      <c r="AC713" s="222"/>
      <c r="AD713" s="222"/>
      <c r="AE713" s="222"/>
      <c r="AF713" s="222"/>
      <c r="AG713" s="222"/>
      <c r="AH713" s="28">
        <v>0</v>
      </c>
      <c r="AI713" s="805">
        <f t="shared" si="369"/>
        <v>49832600</v>
      </c>
      <c r="AJ713" s="805">
        <f t="shared" si="378"/>
        <v>946819400</v>
      </c>
      <c r="AK713" s="806" t="s">
        <v>43</v>
      </c>
      <c r="AL713" s="806"/>
      <c r="AM713" s="806"/>
      <c r="AN713" s="807"/>
      <c r="AO713" s="33" t="e">
        <f>VLOOKUP(N713,'CONVENIOS 2021'!A$1:A$53,1,FALSE)</f>
        <v>#N/A</v>
      </c>
      <c r="AP713" s="33" t="e">
        <f>VLOOKUP(N713,'CONVENIOS 2020'!A$2:A$72,1,FALSE)</f>
        <v>#N/A</v>
      </c>
    </row>
    <row r="714" spans="1:42" s="33" customFormat="1" ht="25.5" hidden="1" customHeight="1" outlineLevel="2">
      <c r="A714" s="66"/>
      <c r="B714" s="180">
        <v>29</v>
      </c>
      <c r="C714" s="66"/>
      <c r="D714" s="66" t="s">
        <v>92</v>
      </c>
      <c r="E714" s="180" t="s">
        <v>69</v>
      </c>
      <c r="F714" s="66"/>
      <c r="G714" s="66"/>
      <c r="H714" s="68" t="s">
        <v>45</v>
      </c>
      <c r="I714" s="180" t="s">
        <v>461</v>
      </c>
      <c r="J714" s="180" t="s">
        <v>461</v>
      </c>
      <c r="K714" s="66">
        <v>35</v>
      </c>
      <c r="L714" s="66" t="s">
        <v>46</v>
      </c>
      <c r="M714" s="184" t="s">
        <v>40</v>
      </c>
      <c r="N714" s="182">
        <v>40019624</v>
      </c>
      <c r="O714" s="68"/>
      <c r="P714" s="68"/>
      <c r="Q714" s="184" t="s">
        <v>483</v>
      </c>
      <c r="R714" s="25"/>
      <c r="S714" s="188">
        <v>275000000</v>
      </c>
      <c r="T714" s="189">
        <v>0</v>
      </c>
      <c r="U714" s="189">
        <v>275000000</v>
      </c>
      <c r="V714" s="300">
        <f t="shared" si="368"/>
        <v>0</v>
      </c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>
        <v>0</v>
      </c>
      <c r="AI714" s="189">
        <f t="shared" si="369"/>
        <v>275000000</v>
      </c>
      <c r="AJ714" s="189">
        <f t="shared" si="378"/>
        <v>0</v>
      </c>
      <c r="AK714" s="797" t="s">
        <v>48</v>
      </c>
      <c r="AL714" s="797"/>
      <c r="AM714" s="797"/>
      <c r="AN714" s="797"/>
    </row>
    <row r="715" spans="1:42" s="33" customFormat="1" ht="25.5" hidden="1" customHeight="1" outlineLevel="2">
      <c r="A715" s="66"/>
      <c r="B715" s="66">
        <v>29</v>
      </c>
      <c r="C715" s="66"/>
      <c r="D715" s="66" t="s">
        <v>92</v>
      </c>
      <c r="E715" s="66" t="s">
        <v>69</v>
      </c>
      <c r="F715" s="66"/>
      <c r="G715" s="66"/>
      <c r="H715" s="68" t="s">
        <v>45</v>
      </c>
      <c r="I715" s="66" t="s">
        <v>461</v>
      </c>
      <c r="J715" s="66" t="s">
        <v>461</v>
      </c>
      <c r="K715" s="66">
        <v>35</v>
      </c>
      <c r="L715" s="66" t="s">
        <v>46</v>
      </c>
      <c r="M715" s="70" t="s">
        <v>40</v>
      </c>
      <c r="N715" s="68">
        <v>40009147</v>
      </c>
      <c r="O715" s="68"/>
      <c r="P715" s="68"/>
      <c r="Q715" s="70" t="s">
        <v>484</v>
      </c>
      <c r="R715" s="25"/>
      <c r="S715" s="71">
        <v>1302032000</v>
      </c>
      <c r="T715" s="72">
        <v>0</v>
      </c>
      <c r="U715" s="72">
        <v>302032000</v>
      </c>
      <c r="V715" s="297">
        <f t="shared" si="368"/>
        <v>0</v>
      </c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>
        <v>0</v>
      </c>
      <c r="AI715" s="72">
        <f t="shared" si="369"/>
        <v>302032000</v>
      </c>
      <c r="AJ715" s="72">
        <f t="shared" si="378"/>
        <v>1000000000</v>
      </c>
      <c r="AK715" s="797" t="s">
        <v>48</v>
      </c>
      <c r="AL715" s="797"/>
      <c r="AM715" s="797"/>
      <c r="AN715" s="797"/>
    </row>
    <row r="716" spans="1:42" s="33" customFormat="1" ht="25.5" hidden="1" customHeight="1" outlineLevel="2">
      <c r="A716" s="66"/>
      <c r="B716" s="66">
        <v>29</v>
      </c>
      <c r="C716" s="66"/>
      <c r="D716" s="66" t="s">
        <v>92</v>
      </c>
      <c r="E716" s="66" t="s">
        <v>69</v>
      </c>
      <c r="F716" s="66"/>
      <c r="G716" s="66"/>
      <c r="H716" s="68" t="s">
        <v>45</v>
      </c>
      <c r="I716" s="66" t="s">
        <v>461</v>
      </c>
      <c r="J716" s="66" t="s">
        <v>461</v>
      </c>
      <c r="K716" s="66">
        <v>35</v>
      </c>
      <c r="L716" s="66" t="s">
        <v>46</v>
      </c>
      <c r="M716" s="70" t="s">
        <v>40</v>
      </c>
      <c r="N716" s="68">
        <v>40019750</v>
      </c>
      <c r="O716" s="68" t="s">
        <v>684</v>
      </c>
      <c r="P716" s="68"/>
      <c r="Q716" s="70" t="s">
        <v>485</v>
      </c>
      <c r="R716" s="25"/>
      <c r="S716" s="71">
        <v>539595000</v>
      </c>
      <c r="T716" s="72">
        <v>0</v>
      </c>
      <c r="U716" s="72">
        <v>539595000</v>
      </c>
      <c r="V716" s="297">
        <f t="shared" si="368"/>
        <v>0</v>
      </c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>
        <v>0</v>
      </c>
      <c r="AI716" s="72">
        <f t="shared" si="369"/>
        <v>539595000</v>
      </c>
      <c r="AJ716" s="72">
        <f t="shared" si="378"/>
        <v>0</v>
      </c>
      <c r="AK716" s="797" t="s">
        <v>48</v>
      </c>
      <c r="AL716" s="797"/>
      <c r="AM716" s="797"/>
      <c r="AN716" s="797"/>
    </row>
    <row r="717" spans="1:42" s="33" customFormat="1" ht="25.5" hidden="1" customHeight="1" outlineLevel="2">
      <c r="A717" s="66"/>
      <c r="B717" s="66">
        <v>29</v>
      </c>
      <c r="C717" s="66"/>
      <c r="D717" s="66" t="s">
        <v>92</v>
      </c>
      <c r="E717" s="66" t="s">
        <v>69</v>
      </c>
      <c r="F717" s="66"/>
      <c r="G717" s="66"/>
      <c r="H717" s="68" t="s">
        <v>45</v>
      </c>
      <c r="I717" s="66" t="s">
        <v>461</v>
      </c>
      <c r="J717" s="66" t="s">
        <v>461</v>
      </c>
      <c r="K717" s="66">
        <v>35</v>
      </c>
      <c r="L717" s="66" t="s">
        <v>46</v>
      </c>
      <c r="M717" s="70" t="s">
        <v>40</v>
      </c>
      <c r="N717" s="68">
        <v>40020318</v>
      </c>
      <c r="O717" s="68" t="s">
        <v>684</v>
      </c>
      <c r="P717" s="68"/>
      <c r="Q717" s="70" t="s">
        <v>486</v>
      </c>
      <c r="R717" s="25"/>
      <c r="S717" s="71">
        <v>531990000</v>
      </c>
      <c r="T717" s="72">
        <v>0</v>
      </c>
      <c r="U717" s="72">
        <v>531990000</v>
      </c>
      <c r="V717" s="297">
        <f t="shared" si="368"/>
        <v>0</v>
      </c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>
        <v>0</v>
      </c>
      <c r="AI717" s="72">
        <f t="shared" si="369"/>
        <v>531990000</v>
      </c>
      <c r="AJ717" s="72">
        <f t="shared" si="378"/>
        <v>0</v>
      </c>
      <c r="AK717" s="797" t="s">
        <v>48</v>
      </c>
      <c r="AL717" s="797"/>
      <c r="AM717" s="797"/>
      <c r="AN717" s="797"/>
    </row>
    <row r="718" spans="1:42" s="33" customFormat="1" ht="25.5" customHeight="1" outlineLevel="2">
      <c r="A718" s="66"/>
      <c r="B718" s="801">
        <v>31</v>
      </c>
      <c r="C718" s="730">
        <v>1</v>
      </c>
      <c r="D718" s="66" t="s">
        <v>192</v>
      </c>
      <c r="E718" s="801" t="s">
        <v>69</v>
      </c>
      <c r="F718" s="730" t="s">
        <v>35</v>
      </c>
      <c r="G718" s="66" t="s">
        <v>49</v>
      </c>
      <c r="H718" s="68" t="s">
        <v>61</v>
      </c>
      <c r="I718" s="801" t="s">
        <v>461</v>
      </c>
      <c r="J718" s="801" t="s">
        <v>461</v>
      </c>
      <c r="K718" s="730">
        <v>35</v>
      </c>
      <c r="L718" s="66" t="s">
        <v>348</v>
      </c>
      <c r="M718" s="802" t="s">
        <v>40</v>
      </c>
      <c r="N718" s="803">
        <v>40015918</v>
      </c>
      <c r="O718" s="771"/>
      <c r="P718" s="68"/>
      <c r="Q718" s="802" t="s">
        <v>487</v>
      </c>
      <c r="R718" s="24"/>
      <c r="S718" s="804">
        <v>201000000</v>
      </c>
      <c r="T718" s="805">
        <v>0</v>
      </c>
      <c r="U718" s="805">
        <v>150000000</v>
      </c>
      <c r="V718" s="805">
        <f t="shared" si="368"/>
        <v>0</v>
      </c>
      <c r="W718" s="29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>
        <v>0</v>
      </c>
      <c r="AI718" s="805">
        <f t="shared" si="369"/>
        <v>150000000</v>
      </c>
      <c r="AJ718" s="805">
        <f t="shared" si="378"/>
        <v>51000000</v>
      </c>
      <c r="AK718" s="806" t="s">
        <v>48</v>
      </c>
      <c r="AL718" s="806" t="s">
        <v>771</v>
      </c>
      <c r="AM718" s="806"/>
      <c r="AN718" s="807"/>
      <c r="AO718" s="33" t="e">
        <f>VLOOKUP(N718,'CONVENIOS 2021'!A$1:A$53,1,FALSE)</f>
        <v>#N/A</v>
      </c>
      <c r="AP718" s="33" t="e">
        <f>VLOOKUP(N718,'CONVENIOS 2020'!A$2:A$72,1,FALSE)</f>
        <v>#N/A</v>
      </c>
    </row>
    <row r="719" spans="1:42" s="33" customFormat="1" ht="25.5" customHeight="1" outlineLevel="2">
      <c r="A719" s="66"/>
      <c r="B719" s="801">
        <v>31</v>
      </c>
      <c r="C719" s="730"/>
      <c r="D719" s="66" t="s">
        <v>33</v>
      </c>
      <c r="E719" s="801" t="s">
        <v>69</v>
      </c>
      <c r="F719" s="730"/>
      <c r="G719" s="66"/>
      <c r="H719" s="68" t="s">
        <v>37</v>
      </c>
      <c r="I719" s="801" t="s">
        <v>461</v>
      </c>
      <c r="J719" s="801" t="s">
        <v>461</v>
      </c>
      <c r="K719" s="730">
        <v>35</v>
      </c>
      <c r="L719" s="66" t="s">
        <v>46</v>
      </c>
      <c r="M719" s="802" t="s">
        <v>40</v>
      </c>
      <c r="N719" s="803">
        <v>40026778</v>
      </c>
      <c r="O719" s="771"/>
      <c r="P719" s="68" t="s">
        <v>752</v>
      </c>
      <c r="Q719" s="814" t="s">
        <v>488</v>
      </c>
      <c r="R719" s="24"/>
      <c r="S719" s="804">
        <v>3350500000</v>
      </c>
      <c r="T719" s="805">
        <v>0</v>
      </c>
      <c r="U719" s="805">
        <v>140000000</v>
      </c>
      <c r="V719" s="805">
        <f t="shared" si="368"/>
        <v>0</v>
      </c>
      <c r="W719" s="29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>
        <v>0</v>
      </c>
      <c r="AI719" s="805">
        <f t="shared" si="369"/>
        <v>140000000</v>
      </c>
      <c r="AJ719" s="805">
        <f t="shared" si="378"/>
        <v>3210500000</v>
      </c>
      <c r="AK719" s="806" t="s">
        <v>48</v>
      </c>
      <c r="AL719" s="806" t="s">
        <v>771</v>
      </c>
      <c r="AM719" s="806"/>
      <c r="AN719" s="807"/>
      <c r="AO719" s="33" t="e">
        <f>VLOOKUP(N719,'CONVENIOS 2021'!A$1:A$53,1,FALSE)</f>
        <v>#N/A</v>
      </c>
      <c r="AP719" s="33" t="e">
        <f>VLOOKUP(N719,'CONVENIOS 2020'!A$2:A$72,1,FALSE)</f>
        <v>#N/A</v>
      </c>
    </row>
    <row r="720" spans="1:42" s="33" customFormat="1" ht="25.5" customHeight="1" outlineLevel="2">
      <c r="A720" s="66"/>
      <c r="B720" s="801">
        <v>31</v>
      </c>
      <c r="C720" s="730">
        <v>1</v>
      </c>
      <c r="D720" s="66" t="s">
        <v>33</v>
      </c>
      <c r="E720" s="801" t="s">
        <v>69</v>
      </c>
      <c r="F720" s="730"/>
      <c r="G720" s="66"/>
      <c r="H720" s="68" t="s">
        <v>72</v>
      </c>
      <c r="I720" s="801" t="s">
        <v>461</v>
      </c>
      <c r="J720" s="801" t="s">
        <v>461</v>
      </c>
      <c r="K720" s="730">
        <v>35</v>
      </c>
      <c r="L720" s="66" t="s">
        <v>348</v>
      </c>
      <c r="M720" s="802" t="s">
        <v>40</v>
      </c>
      <c r="N720" s="803">
        <v>40027131</v>
      </c>
      <c r="O720" s="771" t="s">
        <v>684</v>
      </c>
      <c r="P720" s="68"/>
      <c r="Q720" s="814" t="s">
        <v>489</v>
      </c>
      <c r="R720" s="24"/>
      <c r="S720" s="804">
        <v>241133000</v>
      </c>
      <c r="T720" s="805">
        <v>0</v>
      </c>
      <c r="U720" s="805">
        <v>30000000</v>
      </c>
      <c r="V720" s="805">
        <f t="shared" si="368"/>
        <v>0</v>
      </c>
      <c r="W720" s="29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>
        <v>0</v>
      </c>
      <c r="AI720" s="805">
        <f t="shared" si="369"/>
        <v>30000000</v>
      </c>
      <c r="AJ720" s="805">
        <f t="shared" si="378"/>
        <v>211133000</v>
      </c>
      <c r="AK720" s="806" t="s">
        <v>43</v>
      </c>
      <c r="AL720" s="806" t="s">
        <v>771</v>
      </c>
      <c r="AM720" s="806"/>
      <c r="AN720" s="807"/>
      <c r="AO720" s="33" t="e">
        <f>VLOOKUP(N720,'CONVENIOS 2021'!A$1:A$53,1,FALSE)</f>
        <v>#N/A</v>
      </c>
      <c r="AP720" s="33" t="e">
        <f>VLOOKUP(N720,'CONVENIOS 2020'!A$2:A$72,1,FALSE)</f>
        <v>#N/A</v>
      </c>
    </row>
    <row r="721" spans="1:42" s="38" customFormat="1" ht="25.5" customHeight="1" outlineLevel="1">
      <c r="A721" s="66"/>
      <c r="B721" s="801">
        <v>22</v>
      </c>
      <c r="C721" s="730"/>
      <c r="D721" s="66" t="s">
        <v>192</v>
      </c>
      <c r="E721" s="801" t="s">
        <v>69</v>
      </c>
      <c r="F721" s="730" t="s">
        <v>84</v>
      </c>
      <c r="G721" s="66" t="s">
        <v>49</v>
      </c>
      <c r="H721" s="68" t="s">
        <v>61</v>
      </c>
      <c r="I721" s="801" t="s">
        <v>461</v>
      </c>
      <c r="J721" s="801" t="s">
        <v>461</v>
      </c>
      <c r="K721" s="730">
        <v>35</v>
      </c>
      <c r="L721" s="66" t="s">
        <v>46</v>
      </c>
      <c r="M721" s="802" t="s">
        <v>40</v>
      </c>
      <c r="N721" s="803">
        <v>30430874</v>
      </c>
      <c r="O721" s="771"/>
      <c r="P721" s="68"/>
      <c r="Q721" s="802" t="s">
        <v>490</v>
      </c>
      <c r="R721" s="24"/>
      <c r="S721" s="804">
        <v>413944000</v>
      </c>
      <c r="T721" s="805">
        <v>0</v>
      </c>
      <c r="U721" s="805">
        <v>200000000</v>
      </c>
      <c r="V721" s="805">
        <f t="shared" si="368"/>
        <v>0</v>
      </c>
      <c r="W721" s="29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>
        <v>0</v>
      </c>
      <c r="AI721" s="805">
        <f t="shared" si="369"/>
        <v>200000000</v>
      </c>
      <c r="AJ721" s="805">
        <f t="shared" si="378"/>
        <v>213944000</v>
      </c>
      <c r="AK721" s="806" t="s">
        <v>48</v>
      </c>
      <c r="AL721" s="806" t="s">
        <v>771</v>
      </c>
      <c r="AM721" s="806"/>
      <c r="AN721" s="807"/>
      <c r="AO721" s="33" t="e">
        <f>VLOOKUP(N721,'CONVENIOS 2021'!A$1:A$53,1,FALSE)</f>
        <v>#N/A</v>
      </c>
      <c r="AP721" s="33" t="e">
        <f>VLOOKUP(N721,'CONVENIOS 2020'!A$2:A$72,1,FALSE)</f>
        <v>#N/A</v>
      </c>
    </row>
    <row r="722" spans="1:42" s="38" customFormat="1" ht="25.5" hidden="1" customHeight="1" outlineLevel="1">
      <c r="A722" s="35"/>
      <c r="B722" s="35"/>
      <c r="C722" s="35"/>
      <c r="D722" s="35"/>
      <c r="E722" s="35"/>
      <c r="F722" s="36"/>
      <c r="G722" s="36"/>
      <c r="H722" s="37"/>
      <c r="I722" s="36"/>
      <c r="J722" s="36"/>
      <c r="K722" s="36"/>
      <c r="L722" s="35"/>
      <c r="N722" s="39"/>
      <c r="O722" s="39"/>
      <c r="P722" s="39"/>
      <c r="Q722" s="134" t="s">
        <v>80</v>
      </c>
      <c r="R722" s="116"/>
      <c r="S722" s="110">
        <f t="shared" ref="S722:U722" si="379">SUBTOTAL(9,S711:S721)</f>
        <v>10687741000</v>
      </c>
      <c r="T722" s="110">
        <f t="shared" ref="T722" si="380">SUBTOTAL(9,T711:T721)</f>
        <v>0</v>
      </c>
      <c r="U722" s="110">
        <f t="shared" si="379"/>
        <v>699832600</v>
      </c>
      <c r="V722" s="110">
        <f t="shared" ref="V722:AJ722" si="381">SUBTOTAL(9,V711:V721)</f>
        <v>0</v>
      </c>
      <c r="W722" s="110">
        <f t="shared" si="381"/>
        <v>0</v>
      </c>
      <c r="X722" s="110">
        <f t="shared" si="381"/>
        <v>0</v>
      </c>
      <c r="Y722" s="110">
        <f t="shared" si="381"/>
        <v>0</v>
      </c>
      <c r="Z722" s="110">
        <f t="shared" si="381"/>
        <v>0</v>
      </c>
      <c r="AA722" s="110">
        <f t="shared" si="381"/>
        <v>0</v>
      </c>
      <c r="AB722" s="110">
        <f t="shared" si="381"/>
        <v>0</v>
      </c>
      <c r="AC722" s="110">
        <f t="shared" si="381"/>
        <v>0</v>
      </c>
      <c r="AD722" s="110">
        <f t="shared" si="381"/>
        <v>0</v>
      </c>
      <c r="AE722" s="110">
        <f t="shared" si="381"/>
        <v>0</v>
      </c>
      <c r="AF722" s="110">
        <f t="shared" si="381"/>
        <v>0</v>
      </c>
      <c r="AG722" s="110">
        <f t="shared" si="381"/>
        <v>0</v>
      </c>
      <c r="AH722" s="110">
        <v>0</v>
      </c>
      <c r="AI722" s="110">
        <f t="shared" si="381"/>
        <v>699832600</v>
      </c>
      <c r="AJ722" s="110">
        <f t="shared" si="381"/>
        <v>9987908400</v>
      </c>
      <c r="AK722" s="45"/>
    </row>
    <row r="723" spans="1:42" s="90" customFormat="1" ht="15.75" hidden="1" customHeight="1" outlineLevel="1">
      <c r="A723" s="35"/>
      <c r="B723" s="35"/>
      <c r="C723" s="35"/>
      <c r="D723" s="35"/>
      <c r="E723" s="35"/>
      <c r="F723" s="36"/>
      <c r="G723" s="36"/>
      <c r="H723" s="37"/>
      <c r="I723" s="36"/>
      <c r="J723" s="36"/>
      <c r="K723" s="36"/>
      <c r="L723" s="35"/>
      <c r="M723" s="38"/>
      <c r="N723" s="39"/>
      <c r="O723" s="39"/>
      <c r="P723" s="39"/>
      <c r="Q723" s="46"/>
      <c r="R723" s="116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5"/>
      <c r="AL723" s="38"/>
    </row>
    <row r="724" spans="1:42" s="84" customFormat="1" ht="24.75" hidden="1" customHeight="1" outlineLevel="1">
      <c r="A724" s="36"/>
      <c r="B724" s="82"/>
      <c r="C724" s="82"/>
      <c r="D724" s="36"/>
      <c r="E724" s="36"/>
      <c r="F724" s="36"/>
      <c r="G724" s="36"/>
      <c r="H724" s="37"/>
      <c r="I724" s="36"/>
      <c r="J724" s="36"/>
      <c r="K724" s="36"/>
      <c r="L724" s="82"/>
      <c r="N724" s="83"/>
      <c r="O724" s="39"/>
      <c r="P724" s="39"/>
      <c r="Q724" s="85" t="s">
        <v>491</v>
      </c>
      <c r="R724" s="111"/>
      <c r="S724" s="88">
        <f t="shared" ref="S724:U724" si="382">S704+S708+S722</f>
        <v>12715831000</v>
      </c>
      <c r="T724" s="88">
        <f t="shared" ref="T724" si="383">T704+T708+T722</f>
        <v>0</v>
      </c>
      <c r="U724" s="88">
        <f t="shared" si="382"/>
        <v>1237397867</v>
      </c>
      <c r="V724" s="88">
        <f t="shared" ref="V724:AJ724" si="384">V704+V708+V722</f>
        <v>0</v>
      </c>
      <c r="W724" s="88">
        <f t="shared" si="384"/>
        <v>0</v>
      </c>
      <c r="X724" s="88">
        <f t="shared" si="384"/>
        <v>0</v>
      </c>
      <c r="Y724" s="88">
        <f t="shared" si="384"/>
        <v>0</v>
      </c>
      <c r="Z724" s="88">
        <f t="shared" si="384"/>
        <v>0</v>
      </c>
      <c r="AA724" s="88">
        <f t="shared" si="384"/>
        <v>0</v>
      </c>
      <c r="AB724" s="88">
        <f t="shared" si="384"/>
        <v>0</v>
      </c>
      <c r="AC724" s="88">
        <f t="shared" si="384"/>
        <v>0</v>
      </c>
      <c r="AD724" s="88">
        <f t="shared" si="384"/>
        <v>0</v>
      </c>
      <c r="AE724" s="88">
        <f t="shared" si="384"/>
        <v>0</v>
      </c>
      <c r="AF724" s="88">
        <f t="shared" si="384"/>
        <v>0</v>
      </c>
      <c r="AG724" s="88">
        <f t="shared" si="384"/>
        <v>0</v>
      </c>
      <c r="AH724" s="88">
        <v>13358810</v>
      </c>
      <c r="AI724" s="88">
        <f t="shared" si="384"/>
        <v>1237397867</v>
      </c>
      <c r="AJ724" s="88">
        <f t="shared" si="384"/>
        <v>11478433133</v>
      </c>
      <c r="AK724" s="223"/>
      <c r="AL724" s="92"/>
    </row>
    <row r="725" spans="1:42" s="84" customFormat="1" ht="24.75" hidden="1" customHeight="1" outlineLevel="1">
      <c r="A725" s="36"/>
      <c r="B725" s="82"/>
      <c r="C725" s="82"/>
      <c r="D725" s="36"/>
      <c r="E725" s="36"/>
      <c r="F725" s="36"/>
      <c r="G725" s="36"/>
      <c r="H725" s="37"/>
      <c r="I725" s="36"/>
      <c r="J725" s="36"/>
      <c r="K725" s="36"/>
      <c r="L725" s="82"/>
      <c r="N725" s="83"/>
      <c r="O725" s="39"/>
      <c r="P725" s="39"/>
      <c r="Q725" s="91"/>
      <c r="R725" s="87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224"/>
      <c r="AL725" s="92"/>
    </row>
    <row r="726" spans="1:42" s="84" customFormat="1" ht="24.75" hidden="1" customHeight="1" outlineLevel="1">
      <c r="A726" s="36"/>
      <c r="B726" s="82"/>
      <c r="C726" s="82"/>
      <c r="D726" s="36"/>
      <c r="E726" s="36"/>
      <c r="F726" s="36"/>
      <c r="G726" s="36"/>
      <c r="H726" s="37"/>
      <c r="I726" s="36"/>
      <c r="J726" s="36"/>
      <c r="K726" s="36"/>
      <c r="L726" s="82"/>
      <c r="N726" s="83"/>
      <c r="O726" s="39"/>
      <c r="P726" s="39"/>
      <c r="R726" s="87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224"/>
      <c r="AL726" s="92"/>
    </row>
    <row r="727" spans="1:42" s="38" customFormat="1" ht="12" hidden="1" customHeight="1" outlineLevel="1">
      <c r="A727" s="35"/>
      <c r="B727" s="35"/>
      <c r="C727" s="35"/>
      <c r="D727" s="35"/>
      <c r="E727" s="35"/>
      <c r="F727" s="36"/>
      <c r="G727" s="36"/>
      <c r="H727" s="37"/>
      <c r="I727" s="36"/>
      <c r="J727" s="36"/>
      <c r="K727" s="36"/>
      <c r="L727" s="35"/>
      <c r="N727" s="39"/>
      <c r="O727" s="39"/>
      <c r="P727" s="39"/>
      <c r="Q727" s="161"/>
      <c r="R727" s="42"/>
      <c r="S727" s="162"/>
      <c r="T727" s="162"/>
      <c r="U727" s="162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162"/>
      <c r="AJ727" s="162"/>
      <c r="AK727" s="45"/>
      <c r="AL727" s="92"/>
    </row>
    <row r="728" spans="1:42" s="38" customFormat="1" ht="31.5" hidden="1" outlineLevel="1">
      <c r="A728" s="284" t="s">
        <v>492</v>
      </c>
      <c r="B728" s="284"/>
      <c r="C728" s="284"/>
      <c r="D728" s="284"/>
      <c r="E728" s="284"/>
      <c r="F728" s="284"/>
      <c r="G728" s="284"/>
      <c r="H728" s="284"/>
      <c r="I728" s="284"/>
      <c r="J728" s="284"/>
      <c r="K728" s="284"/>
      <c r="L728" s="284"/>
      <c r="M728" s="284"/>
      <c r="N728" s="284"/>
      <c r="O728" s="39"/>
      <c r="P728" s="39"/>
      <c r="Q728" s="136" t="s">
        <v>497</v>
      </c>
      <c r="R728" s="284"/>
      <c r="S728" s="284"/>
      <c r="T728" s="284"/>
      <c r="U728" s="284"/>
      <c r="V728" s="284"/>
      <c r="W728" s="284"/>
      <c r="X728" s="284"/>
      <c r="Y728" s="284"/>
      <c r="Z728" s="284"/>
      <c r="AA728" s="284"/>
      <c r="AB728" s="284"/>
      <c r="AC728" s="284"/>
      <c r="AD728" s="284"/>
      <c r="AE728" s="284"/>
      <c r="AF728" s="284"/>
      <c r="AG728" s="284"/>
      <c r="AH728" s="284"/>
      <c r="AI728" s="284"/>
      <c r="AJ728" s="284"/>
      <c r="AK728" s="284"/>
    </row>
    <row r="729" spans="1:42" s="33" customFormat="1" ht="23.1" hidden="1" customHeight="1" outlineLevel="2">
      <c r="A729" s="35"/>
      <c r="B729" s="35"/>
      <c r="C729" s="35"/>
      <c r="D729" s="35"/>
      <c r="E729" s="35"/>
      <c r="F729" s="36"/>
      <c r="G729" s="36"/>
      <c r="H729" s="37"/>
      <c r="I729" s="36"/>
      <c r="J729" s="36"/>
      <c r="K729" s="36"/>
      <c r="L729" s="35"/>
      <c r="M729" s="38"/>
      <c r="N729" s="39"/>
      <c r="O729" s="39"/>
      <c r="P729" s="39"/>
      <c r="Q729" s="49" t="s">
        <v>493</v>
      </c>
      <c r="R729" s="50"/>
      <c r="S729" s="51"/>
      <c r="T729" s="51"/>
      <c r="U729" s="52"/>
      <c r="V729" s="52"/>
      <c r="W729" s="52"/>
      <c r="X729" s="52"/>
      <c r="Y729" s="52"/>
      <c r="Z729" s="53"/>
      <c r="AA729" s="53"/>
      <c r="AB729" s="53"/>
      <c r="AC729" s="53"/>
      <c r="AD729" s="53"/>
      <c r="AE729" s="53"/>
      <c r="AF729" s="53"/>
      <c r="AG729" s="53"/>
      <c r="AH729" s="53"/>
      <c r="AI729" s="52"/>
      <c r="AJ729" s="52"/>
      <c r="AK729" s="45"/>
      <c r="AL729" s="38"/>
    </row>
    <row r="730" spans="1:42" s="18" customFormat="1" ht="23.1" hidden="1" customHeight="1" outlineLevel="1">
      <c r="A730" s="66" t="s">
        <v>495</v>
      </c>
      <c r="B730" s="66">
        <v>33</v>
      </c>
      <c r="C730" s="66"/>
      <c r="D730" s="66" t="s">
        <v>496</v>
      </c>
      <c r="E730" s="66" t="s">
        <v>34</v>
      </c>
      <c r="F730" s="66" t="s">
        <v>35</v>
      </c>
      <c r="G730" s="67" t="s">
        <v>318</v>
      </c>
      <c r="H730" s="68" t="s">
        <v>294</v>
      </c>
      <c r="I730" s="66" t="s">
        <v>497</v>
      </c>
      <c r="J730" s="66" t="s">
        <v>497</v>
      </c>
      <c r="K730" s="69">
        <v>36</v>
      </c>
      <c r="L730" s="66" t="s">
        <v>46</v>
      </c>
      <c r="M730" s="70" t="s">
        <v>498</v>
      </c>
      <c r="N730" s="68">
        <v>40025181</v>
      </c>
      <c r="O730" s="68" t="s">
        <v>687</v>
      </c>
      <c r="P730" s="68"/>
      <c r="Q730" s="70" t="s">
        <v>499</v>
      </c>
      <c r="R730" s="77"/>
      <c r="S730" s="71">
        <v>2000000000</v>
      </c>
      <c r="T730" s="72">
        <v>1500000000</v>
      </c>
      <c r="U730" s="72">
        <v>500000000</v>
      </c>
      <c r="V730" s="297">
        <f t="shared" si="368"/>
        <v>0</v>
      </c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28">
        <v>0</v>
      </c>
      <c r="AI730" s="72">
        <f t="shared" si="369"/>
        <v>500000000</v>
      </c>
      <c r="AJ730" s="72">
        <f t="shared" ref="AJ730:AJ735" si="385">+S730-T730-V730-AI730</f>
        <v>0</v>
      </c>
      <c r="AK730" s="73" t="s">
        <v>78</v>
      </c>
      <c r="AL730" s="165" t="s">
        <v>494</v>
      </c>
    </row>
    <row r="731" spans="1:42" s="18" customFormat="1" ht="23.1" hidden="1" customHeight="1" outlineLevel="1">
      <c r="A731" s="66" t="s">
        <v>495</v>
      </c>
      <c r="B731" s="66">
        <v>33</v>
      </c>
      <c r="C731" s="66"/>
      <c r="D731" s="66" t="s">
        <v>496</v>
      </c>
      <c r="E731" s="66" t="s">
        <v>34</v>
      </c>
      <c r="F731" s="66" t="s">
        <v>35</v>
      </c>
      <c r="G731" s="67" t="s">
        <v>318</v>
      </c>
      <c r="H731" s="68" t="s">
        <v>294</v>
      </c>
      <c r="I731" s="66" t="s">
        <v>497</v>
      </c>
      <c r="J731" s="66" t="s">
        <v>497</v>
      </c>
      <c r="K731" s="69">
        <v>36</v>
      </c>
      <c r="L731" s="66" t="s">
        <v>46</v>
      </c>
      <c r="M731" s="70" t="s">
        <v>501</v>
      </c>
      <c r="N731" s="68">
        <v>40025247</v>
      </c>
      <c r="O731" s="68" t="s">
        <v>687</v>
      </c>
      <c r="P731" s="68"/>
      <c r="Q731" s="70" t="s">
        <v>502</v>
      </c>
      <c r="R731" s="77"/>
      <c r="S731" s="71">
        <v>1000000000</v>
      </c>
      <c r="T731" s="72">
        <v>52765000</v>
      </c>
      <c r="U731" s="72">
        <v>947235000</v>
      </c>
      <c r="V731" s="297">
        <f t="shared" si="368"/>
        <v>0</v>
      </c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28">
        <v>0</v>
      </c>
      <c r="AI731" s="72">
        <f t="shared" si="369"/>
        <v>947235000</v>
      </c>
      <c r="AJ731" s="72">
        <f t="shared" si="385"/>
        <v>0</v>
      </c>
      <c r="AK731" s="73" t="s">
        <v>78</v>
      </c>
      <c r="AL731" s="32" t="s">
        <v>500</v>
      </c>
    </row>
    <row r="732" spans="1:42" s="18" customFormat="1" ht="23.1" hidden="1" customHeight="1" outlineLevel="1">
      <c r="A732" s="66" t="s">
        <v>495</v>
      </c>
      <c r="B732" s="66">
        <v>33</v>
      </c>
      <c r="C732" s="66"/>
      <c r="D732" s="66" t="s">
        <v>496</v>
      </c>
      <c r="E732" s="66" t="s">
        <v>34</v>
      </c>
      <c r="F732" s="66" t="s">
        <v>35</v>
      </c>
      <c r="G732" s="67" t="s">
        <v>318</v>
      </c>
      <c r="H732" s="68" t="s">
        <v>294</v>
      </c>
      <c r="I732" s="66" t="s">
        <v>497</v>
      </c>
      <c r="J732" s="66" t="s">
        <v>497</v>
      </c>
      <c r="K732" s="69">
        <v>36</v>
      </c>
      <c r="L732" s="66" t="s">
        <v>46</v>
      </c>
      <c r="M732" s="70" t="s">
        <v>503</v>
      </c>
      <c r="N732" s="68">
        <v>40025197</v>
      </c>
      <c r="O732" s="68" t="s">
        <v>687</v>
      </c>
      <c r="P732" s="68"/>
      <c r="Q732" s="70" t="s">
        <v>504</v>
      </c>
      <c r="R732" s="77"/>
      <c r="S732" s="71">
        <v>1750000000</v>
      </c>
      <c r="T732" s="72">
        <v>999996000</v>
      </c>
      <c r="U732" s="72">
        <v>750000000</v>
      </c>
      <c r="V732" s="297">
        <f t="shared" si="368"/>
        <v>0</v>
      </c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28">
        <v>0</v>
      </c>
      <c r="AI732" s="72">
        <f t="shared" si="369"/>
        <v>750000000</v>
      </c>
      <c r="AJ732" s="72">
        <f t="shared" si="385"/>
        <v>4000</v>
      </c>
      <c r="AK732" s="73" t="s">
        <v>78</v>
      </c>
      <c r="AL732" s="32" t="s">
        <v>500</v>
      </c>
    </row>
    <row r="733" spans="1:42" s="18" customFormat="1" ht="23.1" hidden="1" customHeight="1" outlineLevel="1">
      <c r="A733" s="66" t="s">
        <v>495</v>
      </c>
      <c r="B733" s="66">
        <v>33</v>
      </c>
      <c r="C733" s="66"/>
      <c r="D733" s="66" t="s">
        <v>496</v>
      </c>
      <c r="E733" s="66" t="s">
        <v>34</v>
      </c>
      <c r="F733" s="66" t="s">
        <v>35</v>
      </c>
      <c r="G733" s="67" t="s">
        <v>318</v>
      </c>
      <c r="H733" s="68" t="s">
        <v>294</v>
      </c>
      <c r="I733" s="66" t="s">
        <v>497</v>
      </c>
      <c r="J733" s="66" t="s">
        <v>497</v>
      </c>
      <c r="K733" s="69">
        <v>36</v>
      </c>
      <c r="L733" s="66" t="s">
        <v>46</v>
      </c>
      <c r="M733" s="70" t="s">
        <v>505</v>
      </c>
      <c r="N733" s="68">
        <v>40025326</v>
      </c>
      <c r="O733" s="68" t="s">
        <v>687</v>
      </c>
      <c r="P733" s="68"/>
      <c r="Q733" s="70" t="s">
        <v>506</v>
      </c>
      <c r="R733" s="77"/>
      <c r="S733" s="71">
        <v>250000000</v>
      </c>
      <c r="T733" s="72">
        <v>10000000</v>
      </c>
      <c r="U733" s="72">
        <v>240000000</v>
      </c>
      <c r="V733" s="297">
        <f t="shared" si="368"/>
        <v>0</v>
      </c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28">
        <v>0</v>
      </c>
      <c r="AI733" s="72">
        <f t="shared" si="369"/>
        <v>240000000</v>
      </c>
      <c r="AJ733" s="72">
        <f t="shared" si="385"/>
        <v>0</v>
      </c>
      <c r="AK733" s="73" t="s">
        <v>78</v>
      </c>
      <c r="AL733" s="32" t="s">
        <v>500</v>
      </c>
    </row>
    <row r="734" spans="1:42" s="18" customFormat="1" ht="23.1" hidden="1" customHeight="1" outlineLevel="1">
      <c r="A734" s="166" t="s">
        <v>507</v>
      </c>
      <c r="B734" s="166">
        <v>33</v>
      </c>
      <c r="C734" s="166"/>
      <c r="D734" s="166" t="s">
        <v>496</v>
      </c>
      <c r="E734" s="166" t="s">
        <v>69</v>
      </c>
      <c r="F734" s="166" t="s">
        <v>35</v>
      </c>
      <c r="G734" s="167" t="s">
        <v>318</v>
      </c>
      <c r="H734" s="177" t="s">
        <v>508</v>
      </c>
      <c r="I734" s="66" t="s">
        <v>497</v>
      </c>
      <c r="J734" s="166" t="s">
        <v>497</v>
      </c>
      <c r="K734" s="69">
        <v>36</v>
      </c>
      <c r="L734" s="166" t="s">
        <v>46</v>
      </c>
      <c r="M734" s="74" t="s">
        <v>509</v>
      </c>
      <c r="N734" s="177">
        <v>40014814</v>
      </c>
      <c r="O734" s="68"/>
      <c r="P734" s="177"/>
      <c r="Q734" s="74" t="s">
        <v>510</v>
      </c>
      <c r="R734" s="203"/>
      <c r="S734" s="75">
        <v>800000000</v>
      </c>
      <c r="T734" s="76">
        <v>0</v>
      </c>
      <c r="U734" s="76">
        <v>800000000</v>
      </c>
      <c r="V734" s="299">
        <f t="shared" si="368"/>
        <v>0</v>
      </c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28">
        <v>0</v>
      </c>
      <c r="AI734" s="72">
        <f t="shared" si="369"/>
        <v>800000000</v>
      </c>
      <c r="AJ734" s="72">
        <f t="shared" si="385"/>
        <v>0</v>
      </c>
      <c r="AK734" s="179" t="s">
        <v>78</v>
      </c>
      <c r="AL734" s="32" t="s">
        <v>500</v>
      </c>
    </row>
    <row r="735" spans="1:42" s="18" customFormat="1" ht="23.1" hidden="1" customHeight="1" outlineLevel="1">
      <c r="A735" s="66" t="s">
        <v>507</v>
      </c>
      <c r="B735" s="66">
        <v>33</v>
      </c>
      <c r="C735" s="66"/>
      <c r="D735" s="66" t="s">
        <v>496</v>
      </c>
      <c r="E735" s="66" t="s">
        <v>69</v>
      </c>
      <c r="F735" s="66" t="s">
        <v>35</v>
      </c>
      <c r="G735" s="66" t="s">
        <v>318</v>
      </c>
      <c r="H735" s="68" t="s">
        <v>294</v>
      </c>
      <c r="I735" s="66" t="s">
        <v>497</v>
      </c>
      <c r="J735" s="66" t="s">
        <v>497</v>
      </c>
      <c r="K735" s="69">
        <v>36</v>
      </c>
      <c r="L735" s="66" t="s">
        <v>46</v>
      </c>
      <c r="M735" s="70" t="s">
        <v>503</v>
      </c>
      <c r="N735" s="68">
        <v>40026403</v>
      </c>
      <c r="O735" s="68"/>
      <c r="P735" s="68"/>
      <c r="Q735" s="70" t="s">
        <v>512</v>
      </c>
      <c r="R735" s="78"/>
      <c r="S735" s="71">
        <v>500000000</v>
      </c>
      <c r="T735" s="72">
        <v>0</v>
      </c>
      <c r="U735" s="72">
        <v>500000000</v>
      </c>
      <c r="V735" s="297">
        <f t="shared" si="368"/>
        <v>0</v>
      </c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28">
        <v>0</v>
      </c>
      <c r="AI735" s="72">
        <f t="shared" si="369"/>
        <v>500000000</v>
      </c>
      <c r="AJ735" s="72">
        <f t="shared" si="385"/>
        <v>0</v>
      </c>
      <c r="AK735" s="73" t="s">
        <v>78</v>
      </c>
      <c r="AL735" s="32" t="s">
        <v>511</v>
      </c>
    </row>
    <row r="736" spans="1:42" s="18" customFormat="1" ht="23.1" hidden="1" customHeight="1" outlineLevel="1">
      <c r="A736" s="7"/>
      <c r="B736" s="7"/>
      <c r="C736" s="7"/>
      <c r="D736" s="7"/>
      <c r="E736" s="7"/>
      <c r="F736" s="7"/>
      <c r="G736" s="7"/>
      <c r="H736" s="163"/>
      <c r="I736" s="7"/>
      <c r="J736" s="7"/>
      <c r="K736" s="7"/>
      <c r="L736" s="7"/>
      <c r="M736" s="34"/>
      <c r="N736" s="163"/>
      <c r="O736" s="39"/>
      <c r="P736" s="39"/>
      <c r="Q736" s="225" t="s">
        <v>513</v>
      </c>
      <c r="R736" s="226"/>
      <c r="S736" s="81">
        <f t="shared" ref="S736:AJ736" si="386">SUBTOTAL(9,S730:S735)</f>
        <v>0</v>
      </c>
      <c r="T736" s="81">
        <f t="shared" ref="T736" si="387">SUBTOTAL(9,T730:T735)</f>
        <v>0</v>
      </c>
      <c r="U736" s="81">
        <f t="shared" si="386"/>
        <v>0</v>
      </c>
      <c r="V736" s="81">
        <f t="shared" si="386"/>
        <v>0</v>
      </c>
      <c r="W736" s="81">
        <f t="shared" si="386"/>
        <v>0</v>
      </c>
      <c r="X736" s="81">
        <f t="shared" si="386"/>
        <v>0</v>
      </c>
      <c r="Y736" s="81">
        <f t="shared" si="386"/>
        <v>0</v>
      </c>
      <c r="Z736" s="81">
        <f t="shared" si="386"/>
        <v>0</v>
      </c>
      <c r="AA736" s="81">
        <f t="shared" si="386"/>
        <v>0</v>
      </c>
      <c r="AB736" s="81">
        <f t="shared" si="386"/>
        <v>0</v>
      </c>
      <c r="AC736" s="81">
        <f t="shared" si="386"/>
        <v>0</v>
      </c>
      <c r="AD736" s="81">
        <f t="shared" si="386"/>
        <v>0</v>
      </c>
      <c r="AE736" s="81">
        <f t="shared" si="386"/>
        <v>0</v>
      </c>
      <c r="AF736" s="81">
        <f t="shared" si="386"/>
        <v>0</v>
      </c>
      <c r="AG736" s="81">
        <f t="shared" si="386"/>
        <v>0</v>
      </c>
      <c r="AH736" s="81">
        <v>0</v>
      </c>
      <c r="AI736" s="81">
        <f t="shared" si="386"/>
        <v>0</v>
      </c>
      <c r="AJ736" s="81">
        <f t="shared" si="386"/>
        <v>0</v>
      </c>
      <c r="AK736" s="227"/>
      <c r="AL736" s="32" t="s">
        <v>511</v>
      </c>
    </row>
    <row r="737" spans="1:38" s="18" customFormat="1" ht="10.5" hidden="1" customHeight="1" outlineLevel="1">
      <c r="A737" s="7"/>
      <c r="B737" s="7"/>
      <c r="C737" s="7"/>
      <c r="D737" s="7"/>
      <c r="E737" s="7"/>
      <c r="F737" s="7"/>
      <c r="G737" s="7"/>
      <c r="H737" s="163"/>
      <c r="I737" s="7"/>
      <c r="J737" s="7"/>
      <c r="K737" s="7"/>
      <c r="L737" s="7"/>
      <c r="M737" s="34"/>
      <c r="N737" s="163"/>
      <c r="O737" s="39"/>
      <c r="P737" s="39"/>
      <c r="Q737" s="34"/>
      <c r="R737" s="164"/>
      <c r="S737" s="89"/>
      <c r="T737" s="89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117"/>
      <c r="AL737" s="32"/>
    </row>
    <row r="738" spans="1:38" s="18" customFormat="1" ht="23.1" hidden="1" customHeight="1" outlineLevel="1">
      <c r="A738" s="7"/>
      <c r="B738" s="7"/>
      <c r="C738" s="7"/>
      <c r="D738" s="7"/>
      <c r="E738" s="7"/>
      <c r="F738" s="7"/>
      <c r="G738" s="7"/>
      <c r="H738" s="163"/>
      <c r="I738" s="7"/>
      <c r="J738" s="7"/>
      <c r="K738" s="7"/>
      <c r="L738" s="7"/>
      <c r="M738" s="34"/>
      <c r="N738" s="163"/>
      <c r="O738" s="39"/>
      <c r="P738" s="39"/>
      <c r="Q738" s="228" t="s">
        <v>514</v>
      </c>
      <c r="R738" s="164"/>
      <c r="S738" s="89"/>
      <c r="T738" s="89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117"/>
      <c r="AL738" s="32"/>
    </row>
    <row r="739" spans="1:38" s="18" customFormat="1" ht="23.1" hidden="1" customHeight="1" outlineLevel="1">
      <c r="A739" s="66" t="s">
        <v>433</v>
      </c>
      <c r="B739" s="66">
        <v>33</v>
      </c>
      <c r="C739" s="66"/>
      <c r="D739" s="66" t="s">
        <v>496</v>
      </c>
      <c r="E739" s="66" t="s">
        <v>34</v>
      </c>
      <c r="F739" s="66" t="s">
        <v>35</v>
      </c>
      <c r="G739" s="66" t="s">
        <v>318</v>
      </c>
      <c r="H739" s="68" t="s">
        <v>294</v>
      </c>
      <c r="I739" s="66" t="s">
        <v>497</v>
      </c>
      <c r="J739" s="66" t="s">
        <v>497</v>
      </c>
      <c r="K739" s="69">
        <v>36</v>
      </c>
      <c r="L739" s="66" t="s">
        <v>46</v>
      </c>
      <c r="M739" s="70" t="s">
        <v>498</v>
      </c>
      <c r="N739" s="68">
        <v>40019477</v>
      </c>
      <c r="O739" s="68" t="s">
        <v>687</v>
      </c>
      <c r="P739" s="68"/>
      <c r="Q739" s="70" t="s">
        <v>515</v>
      </c>
      <c r="R739" s="78"/>
      <c r="S739" s="71">
        <v>1000000000</v>
      </c>
      <c r="T739" s="72">
        <v>880000000</v>
      </c>
      <c r="U739" s="72">
        <v>120000000</v>
      </c>
      <c r="V739" s="297">
        <f t="shared" si="368"/>
        <v>0</v>
      </c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28">
        <v>0</v>
      </c>
      <c r="AI739" s="72">
        <f t="shared" si="369"/>
        <v>120000000</v>
      </c>
      <c r="AJ739" s="72">
        <f t="shared" ref="AJ739:AJ749" si="388">+S739-T739-V739-AI739</f>
        <v>0</v>
      </c>
      <c r="AK739" s="73" t="s">
        <v>78</v>
      </c>
      <c r="AL739" s="32"/>
    </row>
    <row r="740" spans="1:38" s="18" customFormat="1" ht="23.1" hidden="1" customHeight="1" outlineLevel="1">
      <c r="A740" s="66" t="s">
        <v>433</v>
      </c>
      <c r="B740" s="66">
        <v>33</v>
      </c>
      <c r="C740" s="66"/>
      <c r="D740" s="66" t="s">
        <v>496</v>
      </c>
      <c r="E740" s="66" t="s">
        <v>34</v>
      </c>
      <c r="F740" s="66" t="s">
        <v>84</v>
      </c>
      <c r="G740" s="66" t="s">
        <v>318</v>
      </c>
      <c r="H740" s="68" t="s">
        <v>516</v>
      </c>
      <c r="I740" s="66" t="s">
        <v>497</v>
      </c>
      <c r="J740" s="66" t="s">
        <v>497</v>
      </c>
      <c r="K740" s="69">
        <v>36</v>
      </c>
      <c r="L740" s="66" t="s">
        <v>46</v>
      </c>
      <c r="M740" s="70" t="s">
        <v>501</v>
      </c>
      <c r="N740" s="68">
        <v>40019474</v>
      </c>
      <c r="O740" s="68" t="s">
        <v>687</v>
      </c>
      <c r="P740" s="68"/>
      <c r="Q740" s="70" t="s">
        <v>517</v>
      </c>
      <c r="R740" s="78"/>
      <c r="S740" s="71">
        <v>120000000</v>
      </c>
      <c r="T740" s="72">
        <v>7000000</v>
      </c>
      <c r="U740" s="72">
        <v>113000000</v>
      </c>
      <c r="V740" s="297">
        <f t="shared" si="368"/>
        <v>0</v>
      </c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28">
        <v>0</v>
      </c>
      <c r="AI740" s="72">
        <f t="shared" si="369"/>
        <v>113000000</v>
      </c>
      <c r="AJ740" s="72">
        <f t="shared" si="388"/>
        <v>0</v>
      </c>
      <c r="AK740" s="73" t="s">
        <v>78</v>
      </c>
      <c r="AL740" s="32" t="s">
        <v>511</v>
      </c>
    </row>
    <row r="741" spans="1:38" s="18" customFormat="1" ht="23.1" hidden="1" customHeight="1" outlineLevel="1">
      <c r="A741" s="180" t="s">
        <v>433</v>
      </c>
      <c r="B741" s="180">
        <v>33</v>
      </c>
      <c r="C741" s="180"/>
      <c r="D741" s="180" t="s">
        <v>496</v>
      </c>
      <c r="E741" s="180" t="s">
        <v>34</v>
      </c>
      <c r="F741" s="180" t="s">
        <v>84</v>
      </c>
      <c r="G741" s="181" t="s">
        <v>318</v>
      </c>
      <c r="H741" s="182" t="s">
        <v>516</v>
      </c>
      <c r="I741" s="66" t="s">
        <v>497</v>
      </c>
      <c r="J741" s="180" t="s">
        <v>497</v>
      </c>
      <c r="K741" s="69">
        <v>36</v>
      </c>
      <c r="L741" s="180" t="s">
        <v>46</v>
      </c>
      <c r="M741" s="184" t="s">
        <v>501</v>
      </c>
      <c r="N741" s="182">
        <v>40019475</v>
      </c>
      <c r="O741" s="182" t="s">
        <v>687</v>
      </c>
      <c r="P741" s="182"/>
      <c r="Q741" s="184" t="s">
        <v>518</v>
      </c>
      <c r="R741" s="229"/>
      <c r="S741" s="188">
        <v>150000000</v>
      </c>
      <c r="T741" s="189">
        <v>13000000</v>
      </c>
      <c r="U741" s="189">
        <v>137000000</v>
      </c>
      <c r="V741" s="300">
        <f t="shared" si="368"/>
        <v>0</v>
      </c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28">
        <v>0</v>
      </c>
      <c r="AI741" s="72">
        <f t="shared" si="369"/>
        <v>137000000</v>
      </c>
      <c r="AJ741" s="72">
        <f t="shared" si="388"/>
        <v>0</v>
      </c>
      <c r="AK741" s="186" t="s">
        <v>78</v>
      </c>
      <c r="AL741" s="32" t="s">
        <v>429</v>
      </c>
    </row>
    <row r="742" spans="1:38" s="18" customFormat="1" ht="23.1" hidden="1" customHeight="1" outlineLevel="1">
      <c r="A742" s="66" t="s">
        <v>433</v>
      </c>
      <c r="B742" s="66">
        <v>33</v>
      </c>
      <c r="C742" s="66"/>
      <c r="D742" s="66" t="s">
        <v>496</v>
      </c>
      <c r="E742" s="66" t="s">
        <v>34</v>
      </c>
      <c r="F742" s="66" t="s">
        <v>84</v>
      </c>
      <c r="G742" s="67" t="s">
        <v>318</v>
      </c>
      <c r="H742" s="68" t="s">
        <v>516</v>
      </c>
      <c r="I742" s="66" t="s">
        <v>497</v>
      </c>
      <c r="J742" s="66" t="s">
        <v>497</v>
      </c>
      <c r="K742" s="69">
        <v>36</v>
      </c>
      <c r="L742" s="66" t="s">
        <v>46</v>
      </c>
      <c r="M742" s="70" t="s">
        <v>501</v>
      </c>
      <c r="N742" s="68">
        <v>40019379</v>
      </c>
      <c r="O742" s="68" t="s">
        <v>687</v>
      </c>
      <c r="P742" s="68"/>
      <c r="Q742" s="70" t="s">
        <v>519</v>
      </c>
      <c r="R742" s="77"/>
      <c r="S742" s="71">
        <v>300000000</v>
      </c>
      <c r="T742" s="72">
        <v>200000000</v>
      </c>
      <c r="U742" s="72">
        <v>100000000</v>
      </c>
      <c r="V742" s="297">
        <f t="shared" si="368"/>
        <v>0</v>
      </c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28">
        <v>0</v>
      </c>
      <c r="AI742" s="72">
        <f t="shared" si="369"/>
        <v>100000000</v>
      </c>
      <c r="AJ742" s="72">
        <f t="shared" si="388"/>
        <v>0</v>
      </c>
      <c r="AK742" s="73" t="s">
        <v>78</v>
      </c>
      <c r="AL742" s="32" t="s">
        <v>494</v>
      </c>
    </row>
    <row r="743" spans="1:38" s="18" customFormat="1" ht="23.1" hidden="1" customHeight="1" outlineLevel="1">
      <c r="A743" s="66" t="s">
        <v>433</v>
      </c>
      <c r="B743" s="66">
        <v>33</v>
      </c>
      <c r="C743" s="66"/>
      <c r="D743" s="66" t="s">
        <v>496</v>
      </c>
      <c r="E743" s="66" t="s">
        <v>34</v>
      </c>
      <c r="F743" s="66" t="s">
        <v>35</v>
      </c>
      <c r="G743" s="67" t="s">
        <v>318</v>
      </c>
      <c r="H743" s="68" t="s">
        <v>64</v>
      </c>
      <c r="I743" s="66" t="s">
        <v>497</v>
      </c>
      <c r="J743" s="66" t="s">
        <v>497</v>
      </c>
      <c r="K743" s="69">
        <v>36</v>
      </c>
      <c r="L743" s="66" t="s">
        <v>46</v>
      </c>
      <c r="M743" s="70" t="s">
        <v>503</v>
      </c>
      <c r="N743" s="68">
        <v>40019414</v>
      </c>
      <c r="O743" s="68"/>
      <c r="P743" s="68"/>
      <c r="Q743" s="70" t="s">
        <v>520</v>
      </c>
      <c r="R743" s="77"/>
      <c r="S743" s="71">
        <v>500000000</v>
      </c>
      <c r="T743" s="72">
        <v>20000000</v>
      </c>
      <c r="U743" s="72">
        <f>485000000-5000000</f>
        <v>480000000</v>
      </c>
      <c r="V743" s="297">
        <f t="shared" si="368"/>
        <v>0</v>
      </c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28">
        <v>0</v>
      </c>
      <c r="AI743" s="72">
        <f t="shared" si="369"/>
        <v>480000000</v>
      </c>
      <c r="AJ743" s="72">
        <f t="shared" si="388"/>
        <v>0</v>
      </c>
      <c r="AK743" s="73" t="s">
        <v>78</v>
      </c>
      <c r="AL743" s="32" t="s">
        <v>429</v>
      </c>
    </row>
    <row r="744" spans="1:38" s="18" customFormat="1" ht="23.1" hidden="1" customHeight="1" outlineLevel="1">
      <c r="A744" s="66" t="s">
        <v>433</v>
      </c>
      <c r="B744" s="66">
        <v>33</v>
      </c>
      <c r="C744" s="66"/>
      <c r="D744" s="66" t="s">
        <v>496</v>
      </c>
      <c r="E744" s="66" t="s">
        <v>34</v>
      </c>
      <c r="F744" s="66" t="s">
        <v>84</v>
      </c>
      <c r="G744" s="67" t="s">
        <v>318</v>
      </c>
      <c r="H744" s="68" t="s">
        <v>294</v>
      </c>
      <c r="I744" s="66" t="s">
        <v>497</v>
      </c>
      <c r="J744" s="66" t="s">
        <v>497</v>
      </c>
      <c r="K744" s="69">
        <v>36</v>
      </c>
      <c r="L744" s="66" t="s">
        <v>46</v>
      </c>
      <c r="M744" s="70" t="s">
        <v>503</v>
      </c>
      <c r="N744" s="68">
        <v>40019469</v>
      </c>
      <c r="O744" s="68"/>
      <c r="P744" s="68"/>
      <c r="Q744" s="70" t="s">
        <v>521</v>
      </c>
      <c r="R744" s="77"/>
      <c r="S744" s="71">
        <v>150000000</v>
      </c>
      <c r="T744" s="72">
        <v>20000000</v>
      </c>
      <c r="U744" s="72">
        <v>130000000</v>
      </c>
      <c r="V744" s="297">
        <f t="shared" si="368"/>
        <v>0</v>
      </c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28">
        <v>0</v>
      </c>
      <c r="AI744" s="72">
        <f t="shared" si="369"/>
        <v>130000000</v>
      </c>
      <c r="AJ744" s="72">
        <f t="shared" si="388"/>
        <v>0</v>
      </c>
      <c r="AK744" s="73" t="s">
        <v>78</v>
      </c>
      <c r="AL744" s="32" t="s">
        <v>500</v>
      </c>
    </row>
    <row r="745" spans="1:38" s="18" customFormat="1" ht="23.1" hidden="1" customHeight="1" outlineLevel="1">
      <c r="A745" s="66" t="s">
        <v>433</v>
      </c>
      <c r="B745" s="66">
        <v>33</v>
      </c>
      <c r="C745" s="66"/>
      <c r="D745" s="66" t="s">
        <v>496</v>
      </c>
      <c r="E745" s="66" t="s">
        <v>69</v>
      </c>
      <c r="F745" s="66" t="s">
        <v>35</v>
      </c>
      <c r="G745" s="67" t="s">
        <v>318</v>
      </c>
      <c r="H745" s="68" t="s">
        <v>294</v>
      </c>
      <c r="I745" s="66" t="s">
        <v>497</v>
      </c>
      <c r="J745" s="66" t="s">
        <v>497</v>
      </c>
      <c r="K745" s="69">
        <v>36</v>
      </c>
      <c r="L745" s="66" t="s">
        <v>46</v>
      </c>
      <c r="M745" s="70" t="s">
        <v>522</v>
      </c>
      <c r="N745" s="68">
        <v>40024008</v>
      </c>
      <c r="O745" s="68"/>
      <c r="P745" s="68"/>
      <c r="Q745" s="70" t="s">
        <v>523</v>
      </c>
      <c r="R745" s="77"/>
      <c r="S745" s="71">
        <v>474000000</v>
      </c>
      <c r="T745" s="72">
        <v>0</v>
      </c>
      <c r="U745" s="72">
        <v>474000000</v>
      </c>
      <c r="V745" s="297">
        <f t="shared" si="368"/>
        <v>0</v>
      </c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28">
        <v>0</v>
      </c>
      <c r="AI745" s="72">
        <f t="shared" si="369"/>
        <v>474000000</v>
      </c>
      <c r="AJ745" s="72">
        <f t="shared" si="388"/>
        <v>0</v>
      </c>
      <c r="AK745" s="73" t="s">
        <v>78</v>
      </c>
      <c r="AL745" s="32" t="s">
        <v>429</v>
      </c>
    </row>
    <row r="746" spans="1:38" s="18" customFormat="1" ht="23.1" hidden="1" customHeight="1" outlineLevel="1">
      <c r="A746" s="166" t="s">
        <v>433</v>
      </c>
      <c r="B746" s="166">
        <v>33</v>
      </c>
      <c r="C746" s="166"/>
      <c r="D746" s="166" t="s">
        <v>496</v>
      </c>
      <c r="E746" s="166" t="s">
        <v>69</v>
      </c>
      <c r="F746" s="166" t="s">
        <v>35</v>
      </c>
      <c r="G746" s="167" t="s">
        <v>318</v>
      </c>
      <c r="H746" s="177" t="s">
        <v>85</v>
      </c>
      <c r="I746" s="66" t="s">
        <v>497</v>
      </c>
      <c r="J746" s="166" t="s">
        <v>497</v>
      </c>
      <c r="K746" s="69">
        <v>36</v>
      </c>
      <c r="L746" s="166" t="s">
        <v>46</v>
      </c>
      <c r="M746" s="74" t="s">
        <v>522</v>
      </c>
      <c r="N746" s="177">
        <v>40015477</v>
      </c>
      <c r="O746" s="68"/>
      <c r="P746" s="177"/>
      <c r="Q746" s="74" t="s">
        <v>524</v>
      </c>
      <c r="R746" s="203"/>
      <c r="S746" s="75">
        <v>456000000</v>
      </c>
      <c r="T746" s="76">
        <v>0</v>
      </c>
      <c r="U746" s="76">
        <v>456000000</v>
      </c>
      <c r="V746" s="299">
        <f t="shared" si="368"/>
        <v>0</v>
      </c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28">
        <v>0</v>
      </c>
      <c r="AI746" s="72">
        <f t="shared" si="369"/>
        <v>456000000</v>
      </c>
      <c r="AJ746" s="72">
        <f t="shared" si="388"/>
        <v>0</v>
      </c>
      <c r="AK746" s="179" t="s">
        <v>78</v>
      </c>
      <c r="AL746" s="32" t="s">
        <v>494</v>
      </c>
    </row>
    <row r="747" spans="1:38" s="18" customFormat="1" ht="23.1" hidden="1" customHeight="1" outlineLevel="1">
      <c r="A747" s="66" t="s">
        <v>433</v>
      </c>
      <c r="B747" s="66">
        <v>33</v>
      </c>
      <c r="C747" s="66"/>
      <c r="D747" s="66" t="s">
        <v>496</v>
      </c>
      <c r="E747" s="66" t="s">
        <v>34</v>
      </c>
      <c r="F747" s="66" t="s">
        <v>84</v>
      </c>
      <c r="G747" s="66" t="s">
        <v>318</v>
      </c>
      <c r="H747" s="68" t="s">
        <v>294</v>
      </c>
      <c r="I747" s="66" t="s">
        <v>497</v>
      </c>
      <c r="J747" s="66" t="s">
        <v>497</v>
      </c>
      <c r="K747" s="69">
        <v>36</v>
      </c>
      <c r="L747" s="66" t="s">
        <v>46</v>
      </c>
      <c r="M747" s="70" t="s">
        <v>525</v>
      </c>
      <c r="N747" s="68">
        <v>40019440</v>
      </c>
      <c r="O747" s="68"/>
      <c r="P747" s="68"/>
      <c r="Q747" s="70" t="s">
        <v>526</v>
      </c>
      <c r="R747" s="78"/>
      <c r="S747" s="71">
        <v>130000000</v>
      </c>
      <c r="T747" s="72">
        <v>10000000</v>
      </c>
      <c r="U747" s="72">
        <v>110000000</v>
      </c>
      <c r="V747" s="297">
        <f t="shared" si="368"/>
        <v>0</v>
      </c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28">
        <v>0</v>
      </c>
      <c r="AI747" s="72">
        <f t="shared" si="369"/>
        <v>110000000</v>
      </c>
      <c r="AJ747" s="72">
        <f t="shared" si="388"/>
        <v>10000000</v>
      </c>
      <c r="AK747" s="73" t="s">
        <v>78</v>
      </c>
      <c r="AL747" s="32" t="s">
        <v>500</v>
      </c>
    </row>
    <row r="748" spans="1:38" s="18" customFormat="1" ht="23.1" hidden="1" customHeight="1" outlineLevel="1">
      <c r="A748" s="66" t="s">
        <v>433</v>
      </c>
      <c r="B748" s="66">
        <v>33</v>
      </c>
      <c r="C748" s="66"/>
      <c r="D748" s="66" t="s">
        <v>496</v>
      </c>
      <c r="E748" s="66" t="s">
        <v>34</v>
      </c>
      <c r="F748" s="66" t="s">
        <v>35</v>
      </c>
      <c r="G748" s="66" t="s">
        <v>318</v>
      </c>
      <c r="H748" s="68" t="s">
        <v>294</v>
      </c>
      <c r="I748" s="66" t="s">
        <v>497</v>
      </c>
      <c r="J748" s="66" t="s">
        <v>497</v>
      </c>
      <c r="K748" s="69">
        <v>36</v>
      </c>
      <c r="L748" s="66" t="s">
        <v>46</v>
      </c>
      <c r="M748" s="70" t="s">
        <v>527</v>
      </c>
      <c r="N748" s="68">
        <v>40019444</v>
      </c>
      <c r="O748" s="68" t="s">
        <v>687</v>
      </c>
      <c r="P748" s="68"/>
      <c r="Q748" s="70" t="s">
        <v>528</v>
      </c>
      <c r="R748" s="78"/>
      <c r="S748" s="71">
        <v>200000000</v>
      </c>
      <c r="T748" s="72">
        <v>3999977</v>
      </c>
      <c r="U748" s="72">
        <v>185000000</v>
      </c>
      <c r="V748" s="297">
        <f t="shared" si="368"/>
        <v>0</v>
      </c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28">
        <v>0</v>
      </c>
      <c r="AI748" s="72">
        <f t="shared" si="369"/>
        <v>185000000</v>
      </c>
      <c r="AJ748" s="72">
        <f t="shared" si="388"/>
        <v>11000023</v>
      </c>
      <c r="AK748" s="73" t="s">
        <v>78</v>
      </c>
      <c r="AL748" s="32" t="s">
        <v>500</v>
      </c>
    </row>
    <row r="749" spans="1:38" s="18" customFormat="1" ht="23.1" hidden="1" customHeight="1" outlineLevel="1">
      <c r="A749" s="66" t="s">
        <v>433</v>
      </c>
      <c r="B749" s="66">
        <v>33</v>
      </c>
      <c r="C749" s="66"/>
      <c r="D749" s="66" t="s">
        <v>496</v>
      </c>
      <c r="E749" s="66" t="s">
        <v>34</v>
      </c>
      <c r="F749" s="66" t="s">
        <v>35</v>
      </c>
      <c r="G749" s="66" t="s">
        <v>318</v>
      </c>
      <c r="H749" s="68" t="s">
        <v>64</v>
      </c>
      <c r="I749" s="66" t="s">
        <v>497</v>
      </c>
      <c r="J749" s="66" t="s">
        <v>497</v>
      </c>
      <c r="K749" s="69">
        <v>36</v>
      </c>
      <c r="L749" s="66" t="s">
        <v>46</v>
      </c>
      <c r="M749" s="70" t="s">
        <v>529</v>
      </c>
      <c r="N749" s="68">
        <v>40019414</v>
      </c>
      <c r="O749" s="68"/>
      <c r="P749" s="68"/>
      <c r="Q749" s="70" t="s">
        <v>530</v>
      </c>
      <c r="R749" s="78"/>
      <c r="S749" s="71">
        <v>1300000000</v>
      </c>
      <c r="T749" s="72">
        <v>20000000</v>
      </c>
      <c r="U749" s="72">
        <f>900000000-130000000+5000000</f>
        <v>775000000</v>
      </c>
      <c r="V749" s="297">
        <f t="shared" si="368"/>
        <v>0</v>
      </c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28">
        <v>0</v>
      </c>
      <c r="AI749" s="72">
        <f t="shared" si="369"/>
        <v>775000000</v>
      </c>
      <c r="AJ749" s="72">
        <f t="shared" si="388"/>
        <v>505000000</v>
      </c>
      <c r="AK749" s="73" t="s">
        <v>78</v>
      </c>
      <c r="AL749" s="32" t="s">
        <v>500</v>
      </c>
    </row>
    <row r="750" spans="1:38" s="18" customFormat="1" ht="23.1" hidden="1" customHeight="1" outlineLevel="1">
      <c r="A750" s="7"/>
      <c r="B750" s="7"/>
      <c r="C750" s="7"/>
      <c r="D750" s="7"/>
      <c r="E750" s="7"/>
      <c r="F750" s="7"/>
      <c r="G750" s="7"/>
      <c r="H750" s="163"/>
      <c r="I750" s="7"/>
      <c r="J750" s="7"/>
      <c r="K750" s="7"/>
      <c r="L750" s="7"/>
      <c r="M750" s="34"/>
      <c r="N750" s="163"/>
      <c r="O750" s="39"/>
      <c r="P750" s="39"/>
      <c r="Q750" s="230" t="s">
        <v>531</v>
      </c>
      <c r="R750" s="231"/>
      <c r="S750" s="110">
        <f t="shared" ref="S750:AJ750" si="389">SUBTOTAL(9,S739:S749)</f>
        <v>0</v>
      </c>
      <c r="T750" s="110">
        <f t="shared" ref="T750" si="390">SUBTOTAL(9,T739:T749)</f>
        <v>0</v>
      </c>
      <c r="U750" s="110">
        <f t="shared" si="389"/>
        <v>0</v>
      </c>
      <c r="V750" s="110">
        <f t="shared" si="389"/>
        <v>0</v>
      </c>
      <c r="W750" s="110">
        <f t="shared" si="389"/>
        <v>0</v>
      </c>
      <c r="X750" s="110">
        <f t="shared" si="389"/>
        <v>0</v>
      </c>
      <c r="Y750" s="110">
        <f t="shared" si="389"/>
        <v>0</v>
      </c>
      <c r="Z750" s="110">
        <f t="shared" si="389"/>
        <v>0</v>
      </c>
      <c r="AA750" s="110">
        <f t="shared" si="389"/>
        <v>0</v>
      </c>
      <c r="AB750" s="110">
        <f t="shared" si="389"/>
        <v>0</v>
      </c>
      <c r="AC750" s="110">
        <f t="shared" si="389"/>
        <v>0</v>
      </c>
      <c r="AD750" s="110">
        <f t="shared" si="389"/>
        <v>0</v>
      </c>
      <c r="AE750" s="110">
        <f t="shared" si="389"/>
        <v>0</v>
      </c>
      <c r="AF750" s="110">
        <f t="shared" si="389"/>
        <v>0</v>
      </c>
      <c r="AG750" s="110">
        <f t="shared" si="389"/>
        <v>0</v>
      </c>
      <c r="AH750" s="110">
        <v>0</v>
      </c>
      <c r="AI750" s="110">
        <f t="shared" si="389"/>
        <v>0</v>
      </c>
      <c r="AJ750" s="110">
        <f t="shared" si="389"/>
        <v>0</v>
      </c>
      <c r="AK750" s="227"/>
      <c r="AL750" s="32" t="s">
        <v>511</v>
      </c>
    </row>
    <row r="751" spans="1:38" s="38" customFormat="1" ht="9" hidden="1" customHeight="1" outlineLevel="1">
      <c r="A751" s="7"/>
      <c r="B751" s="7"/>
      <c r="C751" s="7"/>
      <c r="D751" s="7"/>
      <c r="E751" s="7"/>
      <c r="F751" s="7"/>
      <c r="G751" s="7"/>
      <c r="H751" s="163"/>
      <c r="I751" s="7"/>
      <c r="J751" s="7"/>
      <c r="K751" s="7"/>
      <c r="L751" s="7"/>
      <c r="M751" s="34"/>
      <c r="N751" s="163"/>
      <c r="O751" s="39"/>
      <c r="P751" s="39"/>
      <c r="Q751" s="34"/>
      <c r="R751" s="164"/>
      <c r="S751" s="89"/>
      <c r="T751" s="89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117"/>
      <c r="AL751" s="165"/>
    </row>
    <row r="752" spans="1:38" s="38" customFormat="1" ht="23.1" hidden="1" customHeight="1" outlineLevel="1">
      <c r="A752" s="7"/>
      <c r="B752" s="7"/>
      <c r="C752" s="7"/>
      <c r="D752" s="7"/>
      <c r="E752" s="7"/>
      <c r="F752" s="7"/>
      <c r="G752" s="7"/>
      <c r="H752" s="163"/>
      <c r="I752" s="7"/>
      <c r="J752" s="7"/>
      <c r="K752" s="7"/>
      <c r="L752" s="7"/>
      <c r="M752" s="34"/>
      <c r="N752" s="163"/>
      <c r="O752" s="39"/>
      <c r="P752" s="39"/>
      <c r="Q752" s="228" t="s">
        <v>532</v>
      </c>
      <c r="R752" s="164"/>
      <c r="S752" s="89"/>
      <c r="T752" s="89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117"/>
      <c r="AL752" s="34"/>
    </row>
    <row r="753" spans="1:38" s="18" customFormat="1" ht="23.1" hidden="1" customHeight="1" outlineLevel="1">
      <c r="A753" s="66" t="s">
        <v>118</v>
      </c>
      <c r="B753" s="66">
        <v>33</v>
      </c>
      <c r="C753" s="66"/>
      <c r="D753" s="66" t="s">
        <v>496</v>
      </c>
      <c r="E753" s="66" t="s">
        <v>69</v>
      </c>
      <c r="F753" s="66" t="s">
        <v>35</v>
      </c>
      <c r="G753" s="66" t="s">
        <v>318</v>
      </c>
      <c r="H753" s="68" t="s">
        <v>294</v>
      </c>
      <c r="I753" s="66" t="s">
        <v>497</v>
      </c>
      <c r="J753" s="66" t="s">
        <v>497</v>
      </c>
      <c r="K753" s="69">
        <v>36</v>
      </c>
      <c r="L753" s="66" t="s">
        <v>46</v>
      </c>
      <c r="M753" s="70" t="s">
        <v>533</v>
      </c>
      <c r="N753" s="68">
        <v>40025947</v>
      </c>
      <c r="O753" s="68"/>
      <c r="P753" s="68"/>
      <c r="Q753" s="70" t="s">
        <v>534</v>
      </c>
      <c r="R753" s="78"/>
      <c r="S753" s="71">
        <v>248000000</v>
      </c>
      <c r="T753" s="72">
        <v>0</v>
      </c>
      <c r="U753" s="72">
        <v>248000000</v>
      </c>
      <c r="V753" s="297">
        <f t="shared" si="368"/>
        <v>0</v>
      </c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28">
        <v>0</v>
      </c>
      <c r="AI753" s="72">
        <f t="shared" si="369"/>
        <v>248000000</v>
      </c>
      <c r="AJ753" s="72">
        <f>+S753-T753-V753-AI753</f>
        <v>0</v>
      </c>
      <c r="AK753" s="73" t="s">
        <v>78</v>
      </c>
      <c r="AL753" s="34"/>
    </row>
    <row r="754" spans="1:38" s="18" customFormat="1" ht="23.1" hidden="1" customHeight="1" outlineLevel="1">
      <c r="A754" s="66" t="s">
        <v>118</v>
      </c>
      <c r="B754" s="66">
        <v>33</v>
      </c>
      <c r="C754" s="66"/>
      <c r="D754" s="66" t="s">
        <v>496</v>
      </c>
      <c r="E754" s="66" t="s">
        <v>34</v>
      </c>
      <c r="F754" s="66" t="s">
        <v>35</v>
      </c>
      <c r="G754" s="66" t="s">
        <v>318</v>
      </c>
      <c r="H754" s="68" t="s">
        <v>294</v>
      </c>
      <c r="I754" s="66" t="s">
        <v>497</v>
      </c>
      <c r="J754" s="66" t="s">
        <v>497</v>
      </c>
      <c r="K754" s="69">
        <v>36</v>
      </c>
      <c r="L754" s="66" t="s">
        <v>46</v>
      </c>
      <c r="M754" s="70" t="s">
        <v>535</v>
      </c>
      <c r="N754" s="68">
        <v>40022229</v>
      </c>
      <c r="O754" s="68" t="s">
        <v>687</v>
      </c>
      <c r="P754" s="68"/>
      <c r="Q754" s="70" t="s">
        <v>536</v>
      </c>
      <c r="R754" s="78"/>
      <c r="S754" s="71">
        <v>1500000000</v>
      </c>
      <c r="T754" s="72">
        <v>434689139</v>
      </c>
      <c r="U754" s="72">
        <f>700000000+312765000</f>
        <v>1012765000</v>
      </c>
      <c r="V754" s="297">
        <f t="shared" si="368"/>
        <v>0</v>
      </c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28">
        <v>0</v>
      </c>
      <c r="AI754" s="72">
        <f t="shared" si="369"/>
        <v>1012765000</v>
      </c>
      <c r="AJ754" s="72">
        <f>+S754-T754-V754-AI754</f>
        <v>52545861</v>
      </c>
      <c r="AK754" s="73" t="s">
        <v>78</v>
      </c>
      <c r="AL754" s="165" t="s">
        <v>511</v>
      </c>
    </row>
    <row r="755" spans="1:38" s="18" customFormat="1" ht="23.1" hidden="1" customHeight="1" outlineLevel="1">
      <c r="A755" s="7"/>
      <c r="B755" s="7"/>
      <c r="C755" s="7"/>
      <c r="D755" s="7"/>
      <c r="E755" s="7"/>
      <c r="F755" s="7"/>
      <c r="G755" s="7"/>
      <c r="H755" s="163"/>
      <c r="I755" s="7"/>
      <c r="J755" s="7"/>
      <c r="K755" s="7"/>
      <c r="L755" s="7"/>
      <c r="M755" s="34"/>
      <c r="N755" s="163"/>
      <c r="O755" s="39"/>
      <c r="P755" s="39"/>
      <c r="Q755" s="230" t="s">
        <v>537</v>
      </c>
      <c r="R755" s="231"/>
      <c r="S755" s="110">
        <f>SUBTOTAL(9,S753:S754)</f>
        <v>0</v>
      </c>
      <c r="T755" s="110">
        <f>SUBTOTAL(9,T753:T754)</f>
        <v>0</v>
      </c>
      <c r="U755" s="110">
        <f t="shared" ref="U755:AJ755" si="391">SUBTOTAL(9,U753:U754)</f>
        <v>0</v>
      </c>
      <c r="V755" s="110">
        <f t="shared" si="391"/>
        <v>0</v>
      </c>
      <c r="W755" s="110">
        <f t="shared" si="391"/>
        <v>0</v>
      </c>
      <c r="X755" s="110">
        <f t="shared" si="391"/>
        <v>0</v>
      </c>
      <c r="Y755" s="110">
        <f t="shared" si="391"/>
        <v>0</v>
      </c>
      <c r="Z755" s="110">
        <f t="shared" si="391"/>
        <v>0</v>
      </c>
      <c r="AA755" s="110">
        <f t="shared" si="391"/>
        <v>0</v>
      </c>
      <c r="AB755" s="110">
        <f t="shared" si="391"/>
        <v>0</v>
      </c>
      <c r="AC755" s="110">
        <f t="shared" si="391"/>
        <v>0</v>
      </c>
      <c r="AD755" s="110">
        <f t="shared" si="391"/>
        <v>0</v>
      </c>
      <c r="AE755" s="110">
        <f t="shared" si="391"/>
        <v>0</v>
      </c>
      <c r="AF755" s="110">
        <f t="shared" si="391"/>
        <v>0</v>
      </c>
      <c r="AG755" s="110">
        <f t="shared" si="391"/>
        <v>0</v>
      </c>
      <c r="AH755" s="110">
        <v>0</v>
      </c>
      <c r="AI755" s="110">
        <f t="shared" si="391"/>
        <v>0</v>
      </c>
      <c r="AJ755" s="110">
        <f t="shared" si="391"/>
        <v>0</v>
      </c>
      <c r="AK755" s="117"/>
      <c r="AL755" s="232" t="s">
        <v>429</v>
      </c>
    </row>
    <row r="756" spans="1:38" s="38" customFormat="1" ht="10.5" hidden="1" customHeight="1" outlineLevel="1">
      <c r="A756" s="7"/>
      <c r="B756" s="7"/>
      <c r="C756" s="7"/>
      <c r="D756" s="7"/>
      <c r="E756" s="7"/>
      <c r="F756" s="7"/>
      <c r="G756" s="7"/>
      <c r="H756" s="163"/>
      <c r="I756" s="7"/>
      <c r="J756" s="7"/>
      <c r="K756" s="7"/>
      <c r="L756" s="7"/>
      <c r="M756" s="34"/>
      <c r="N756" s="163"/>
      <c r="O756" s="39"/>
      <c r="P756" s="39"/>
      <c r="Q756" s="34"/>
      <c r="R756" s="164"/>
      <c r="S756" s="89"/>
      <c r="T756" s="89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117"/>
      <c r="AL756" s="34"/>
    </row>
    <row r="757" spans="1:38" s="38" customFormat="1" ht="10.5" hidden="1" customHeight="1" outlineLevel="1">
      <c r="A757" s="7"/>
      <c r="B757" s="7"/>
      <c r="C757" s="7"/>
      <c r="D757" s="7"/>
      <c r="E757" s="7"/>
      <c r="F757" s="7"/>
      <c r="G757" s="7"/>
      <c r="H757" s="163"/>
      <c r="I757" s="7"/>
      <c r="J757" s="7"/>
      <c r="K757" s="7"/>
      <c r="L757" s="7"/>
      <c r="M757" s="34"/>
      <c r="N757" s="163"/>
      <c r="O757" s="39"/>
      <c r="P757" s="39"/>
      <c r="Q757" s="34"/>
      <c r="R757" s="164"/>
      <c r="S757" s="89"/>
      <c r="T757" s="89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117"/>
      <c r="AL757" s="34"/>
    </row>
    <row r="758" spans="1:38" s="33" customFormat="1" ht="25.5" hidden="1" customHeight="1" outlineLevel="2">
      <c r="A758" s="35"/>
      <c r="B758" s="35"/>
      <c r="C758" s="35"/>
      <c r="D758" s="35"/>
      <c r="E758" s="35"/>
      <c r="F758" s="36"/>
      <c r="G758" s="36"/>
      <c r="H758" s="37"/>
      <c r="I758" s="36"/>
      <c r="J758" s="36"/>
      <c r="K758" s="36"/>
      <c r="L758" s="35"/>
      <c r="M758" s="38"/>
      <c r="N758" s="39"/>
      <c r="O758" s="39"/>
      <c r="P758" s="39"/>
      <c r="Q758" s="17" t="s">
        <v>538</v>
      </c>
      <c r="R758" s="50"/>
      <c r="S758" s="51"/>
      <c r="T758" s="51"/>
      <c r="U758" s="52"/>
      <c r="V758" s="52"/>
      <c r="W758" s="52"/>
      <c r="X758" s="52"/>
      <c r="Y758" s="52"/>
      <c r="Z758" s="53"/>
      <c r="AA758" s="53"/>
      <c r="AB758" s="53"/>
      <c r="AC758" s="53"/>
      <c r="AD758" s="53"/>
      <c r="AE758" s="53"/>
      <c r="AF758" s="53"/>
      <c r="AG758" s="53"/>
      <c r="AH758" s="53"/>
      <c r="AI758" s="52"/>
      <c r="AJ758" s="52"/>
      <c r="AK758" s="45"/>
      <c r="AL758" s="34"/>
    </row>
    <row r="759" spans="1:38" s="33" customFormat="1" ht="25.5" hidden="1" customHeight="1" outlineLevel="2">
      <c r="A759" s="54" t="s">
        <v>280</v>
      </c>
      <c r="B759" s="54">
        <v>33</v>
      </c>
      <c r="C759" s="54"/>
      <c r="D759" s="54" t="s">
        <v>496</v>
      </c>
      <c r="E759" s="54" t="s">
        <v>34</v>
      </c>
      <c r="F759" s="54" t="s">
        <v>84</v>
      </c>
      <c r="G759" s="55" t="s">
        <v>318</v>
      </c>
      <c r="H759" s="56" t="s">
        <v>508</v>
      </c>
      <c r="I759" s="54" t="s">
        <v>497</v>
      </c>
      <c r="J759" s="54" t="s">
        <v>497</v>
      </c>
      <c r="K759" s="57">
        <v>36</v>
      </c>
      <c r="L759" s="54" t="s">
        <v>280</v>
      </c>
      <c r="M759" s="220" t="s">
        <v>509</v>
      </c>
      <c r="N759" s="56">
        <v>30341275</v>
      </c>
      <c r="O759" s="56" t="s">
        <v>687</v>
      </c>
      <c r="P759" s="56"/>
      <c r="Q759" s="58" t="s">
        <v>539</v>
      </c>
      <c r="R759" s="62"/>
      <c r="S759" s="59">
        <v>203000000</v>
      </c>
      <c r="T759" s="60">
        <v>184613176</v>
      </c>
      <c r="U759" s="60">
        <v>15686600</v>
      </c>
      <c r="V759" s="294">
        <f t="shared" ref="V759:V806" si="392">+SUM(W759:AH759)</f>
        <v>0</v>
      </c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28">
        <v>0</v>
      </c>
      <c r="AI759" s="60">
        <f t="shared" ref="AI759:AI806" si="393">+U759-V759</f>
        <v>15686600</v>
      </c>
      <c r="AJ759" s="60">
        <f t="shared" ref="AJ759:AJ769" si="394">+S759-T759-V759-AI759</f>
        <v>2700224</v>
      </c>
      <c r="AK759" s="61" t="s">
        <v>78</v>
      </c>
      <c r="AL759" s="165" t="s">
        <v>44</v>
      </c>
    </row>
    <row r="760" spans="1:38" s="33" customFormat="1" ht="25.5" hidden="1" customHeight="1" outlineLevel="2">
      <c r="A760" s="54" t="s">
        <v>280</v>
      </c>
      <c r="B760" s="54">
        <v>33</v>
      </c>
      <c r="C760" s="54"/>
      <c r="D760" s="54" t="s">
        <v>496</v>
      </c>
      <c r="E760" s="54" t="s">
        <v>34</v>
      </c>
      <c r="F760" s="54" t="s">
        <v>84</v>
      </c>
      <c r="G760" s="55" t="s">
        <v>318</v>
      </c>
      <c r="H760" s="56" t="s">
        <v>61</v>
      </c>
      <c r="I760" s="54" t="s">
        <v>497</v>
      </c>
      <c r="J760" s="54" t="s">
        <v>497</v>
      </c>
      <c r="K760" s="57">
        <v>36</v>
      </c>
      <c r="L760" s="54" t="s">
        <v>280</v>
      </c>
      <c r="M760" s="220" t="s">
        <v>509</v>
      </c>
      <c r="N760" s="56">
        <v>30341329</v>
      </c>
      <c r="O760" s="56" t="s">
        <v>687</v>
      </c>
      <c r="P760" s="56"/>
      <c r="Q760" s="58" t="s">
        <v>540</v>
      </c>
      <c r="R760" s="62"/>
      <c r="S760" s="59">
        <v>309000000</v>
      </c>
      <c r="T760" s="60">
        <v>301181123</v>
      </c>
      <c r="U760" s="60">
        <f>40000000-32181123</f>
        <v>7818877</v>
      </c>
      <c r="V760" s="294">
        <f t="shared" si="392"/>
        <v>0</v>
      </c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28">
        <v>0</v>
      </c>
      <c r="AI760" s="60">
        <f t="shared" si="393"/>
        <v>7818877</v>
      </c>
      <c r="AJ760" s="60">
        <f t="shared" si="394"/>
        <v>0</v>
      </c>
      <c r="AK760" s="61" t="s">
        <v>78</v>
      </c>
      <c r="AL760" s="32" t="s">
        <v>44</v>
      </c>
    </row>
    <row r="761" spans="1:38" s="33" customFormat="1" ht="25.5" hidden="1" customHeight="1" outlineLevel="2">
      <c r="A761" s="54" t="s">
        <v>280</v>
      </c>
      <c r="B761" s="54">
        <v>33</v>
      </c>
      <c r="C761" s="54"/>
      <c r="D761" s="54" t="s">
        <v>496</v>
      </c>
      <c r="E761" s="54" t="s">
        <v>34</v>
      </c>
      <c r="F761" s="54"/>
      <c r="G761" s="55"/>
      <c r="H761" s="56" t="s">
        <v>294</v>
      </c>
      <c r="I761" s="54" t="s">
        <v>497</v>
      </c>
      <c r="J761" s="54" t="s">
        <v>497</v>
      </c>
      <c r="K761" s="57">
        <v>36</v>
      </c>
      <c r="L761" s="54" t="s">
        <v>280</v>
      </c>
      <c r="M761" s="58" t="s">
        <v>509</v>
      </c>
      <c r="N761" s="56">
        <v>30341323</v>
      </c>
      <c r="O761" s="56" t="s">
        <v>687</v>
      </c>
      <c r="P761" s="56"/>
      <c r="Q761" s="58" t="s">
        <v>541</v>
      </c>
      <c r="R761" s="62"/>
      <c r="S761" s="59">
        <v>190000000</v>
      </c>
      <c r="T761" s="60">
        <v>189316581</v>
      </c>
      <c r="U761" s="60">
        <v>683419</v>
      </c>
      <c r="V761" s="293">
        <f t="shared" si="392"/>
        <v>0</v>
      </c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28">
        <v>0</v>
      </c>
      <c r="AI761" s="60">
        <f t="shared" si="393"/>
        <v>683419</v>
      </c>
      <c r="AJ761" s="60">
        <f t="shared" si="394"/>
        <v>0</v>
      </c>
      <c r="AK761" s="61" t="s">
        <v>78</v>
      </c>
      <c r="AL761" s="32" t="s">
        <v>44</v>
      </c>
    </row>
    <row r="762" spans="1:38" s="33" customFormat="1" ht="25.5" hidden="1" customHeight="1" outlineLevel="2">
      <c r="A762" s="54" t="s">
        <v>280</v>
      </c>
      <c r="B762" s="54">
        <v>33</v>
      </c>
      <c r="C762" s="54"/>
      <c r="D762" s="54" t="s">
        <v>496</v>
      </c>
      <c r="E762" s="54" t="s">
        <v>34</v>
      </c>
      <c r="F762" s="54" t="s">
        <v>84</v>
      </c>
      <c r="G762" s="55" t="s">
        <v>318</v>
      </c>
      <c r="H762" s="56" t="s">
        <v>508</v>
      </c>
      <c r="I762" s="54" t="s">
        <v>497</v>
      </c>
      <c r="J762" s="54" t="s">
        <v>497</v>
      </c>
      <c r="K762" s="57">
        <v>36</v>
      </c>
      <c r="L762" s="54" t="s">
        <v>280</v>
      </c>
      <c r="M762" s="220" t="s">
        <v>542</v>
      </c>
      <c r="N762" s="56">
        <v>30341175</v>
      </c>
      <c r="O762" s="56" t="s">
        <v>687</v>
      </c>
      <c r="P762" s="56"/>
      <c r="Q762" s="58" t="s">
        <v>543</v>
      </c>
      <c r="R762" s="62"/>
      <c r="S762" s="59">
        <v>600000000</v>
      </c>
      <c r="T762" s="60">
        <v>296299083</v>
      </c>
      <c r="U762" s="60">
        <f>80000000+32181123</f>
        <v>112181123</v>
      </c>
      <c r="V762" s="294">
        <f t="shared" si="392"/>
        <v>0</v>
      </c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28">
        <v>0</v>
      </c>
      <c r="AI762" s="60">
        <f t="shared" si="393"/>
        <v>112181123</v>
      </c>
      <c r="AJ762" s="60">
        <f t="shared" si="394"/>
        <v>191519794</v>
      </c>
      <c r="AK762" s="61" t="s">
        <v>78</v>
      </c>
      <c r="AL762" s="32"/>
    </row>
    <row r="763" spans="1:38" s="33" customFormat="1" ht="25.5" hidden="1" customHeight="1" outlineLevel="2">
      <c r="A763" s="54" t="s">
        <v>280</v>
      </c>
      <c r="B763" s="54">
        <v>33</v>
      </c>
      <c r="C763" s="54"/>
      <c r="D763" s="54" t="s">
        <v>496</v>
      </c>
      <c r="E763" s="54" t="s">
        <v>34</v>
      </c>
      <c r="F763" s="54" t="s">
        <v>84</v>
      </c>
      <c r="G763" s="55" t="s">
        <v>318</v>
      </c>
      <c r="H763" s="56" t="s">
        <v>508</v>
      </c>
      <c r="I763" s="54" t="s">
        <v>497</v>
      </c>
      <c r="J763" s="54" t="s">
        <v>497</v>
      </c>
      <c r="K763" s="57">
        <v>36</v>
      </c>
      <c r="L763" s="54" t="s">
        <v>280</v>
      </c>
      <c r="M763" s="220" t="s">
        <v>542</v>
      </c>
      <c r="N763" s="56">
        <v>30419826</v>
      </c>
      <c r="O763" s="56" t="s">
        <v>687</v>
      </c>
      <c r="P763" s="56"/>
      <c r="Q763" s="58" t="s">
        <v>544</v>
      </c>
      <c r="R763" s="62"/>
      <c r="S763" s="59">
        <v>315000000</v>
      </c>
      <c r="T763" s="60">
        <v>307367807</v>
      </c>
      <c r="U763" s="60">
        <f>94000000-86367807</f>
        <v>7632193</v>
      </c>
      <c r="V763" s="294">
        <f t="shared" si="392"/>
        <v>0</v>
      </c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28">
        <v>0</v>
      </c>
      <c r="AI763" s="60">
        <f t="shared" si="393"/>
        <v>7632193</v>
      </c>
      <c r="AJ763" s="60">
        <f t="shared" si="394"/>
        <v>0</v>
      </c>
      <c r="AK763" s="61" t="s">
        <v>78</v>
      </c>
      <c r="AL763" s="32" t="s">
        <v>44</v>
      </c>
    </row>
    <row r="764" spans="1:38" s="33" customFormat="1" ht="25.5" hidden="1" customHeight="1" outlineLevel="2">
      <c r="A764" s="54" t="s">
        <v>280</v>
      </c>
      <c r="B764" s="54">
        <v>33</v>
      </c>
      <c r="C764" s="54"/>
      <c r="D764" s="54" t="s">
        <v>496</v>
      </c>
      <c r="E764" s="54" t="s">
        <v>34</v>
      </c>
      <c r="F764" s="54" t="s">
        <v>84</v>
      </c>
      <c r="G764" s="55" t="s">
        <v>318</v>
      </c>
      <c r="H764" s="56" t="s">
        <v>508</v>
      </c>
      <c r="I764" s="54" t="s">
        <v>497</v>
      </c>
      <c r="J764" s="54" t="s">
        <v>497</v>
      </c>
      <c r="K764" s="57">
        <v>36</v>
      </c>
      <c r="L764" s="54" t="s">
        <v>280</v>
      </c>
      <c r="M764" s="220" t="s">
        <v>542</v>
      </c>
      <c r="N764" s="56">
        <v>30341173</v>
      </c>
      <c r="O764" s="56" t="s">
        <v>687</v>
      </c>
      <c r="P764" s="56"/>
      <c r="Q764" s="58" t="s">
        <v>545</v>
      </c>
      <c r="R764" s="62"/>
      <c r="S764" s="59">
        <v>450000000</v>
      </c>
      <c r="T764" s="60">
        <v>294207260</v>
      </c>
      <c r="U764" s="60">
        <f>50000000+86367807</f>
        <v>136367807</v>
      </c>
      <c r="V764" s="294">
        <f t="shared" si="392"/>
        <v>0</v>
      </c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28">
        <v>0</v>
      </c>
      <c r="AI764" s="60">
        <f t="shared" si="393"/>
        <v>136367807</v>
      </c>
      <c r="AJ764" s="60">
        <f t="shared" si="394"/>
        <v>19424933</v>
      </c>
      <c r="AK764" s="61" t="s">
        <v>78</v>
      </c>
      <c r="AL764" s="32" t="s">
        <v>44</v>
      </c>
    </row>
    <row r="765" spans="1:38" s="33" customFormat="1" ht="25.5" hidden="1" customHeight="1" outlineLevel="2">
      <c r="A765" s="54" t="s">
        <v>280</v>
      </c>
      <c r="B765" s="54">
        <v>33</v>
      </c>
      <c r="C765" s="54"/>
      <c r="D765" s="54" t="s">
        <v>496</v>
      </c>
      <c r="E765" s="54" t="s">
        <v>34</v>
      </c>
      <c r="F765" s="54" t="s">
        <v>84</v>
      </c>
      <c r="G765" s="55" t="s">
        <v>318</v>
      </c>
      <c r="H765" s="56" t="s">
        <v>508</v>
      </c>
      <c r="I765" s="54" t="s">
        <v>497</v>
      </c>
      <c r="J765" s="54" t="s">
        <v>497</v>
      </c>
      <c r="K765" s="57">
        <v>36</v>
      </c>
      <c r="L765" s="54" t="s">
        <v>280</v>
      </c>
      <c r="M765" s="220" t="s">
        <v>542</v>
      </c>
      <c r="N765" s="56">
        <v>30329922</v>
      </c>
      <c r="O765" s="56" t="s">
        <v>687</v>
      </c>
      <c r="P765" s="56"/>
      <c r="Q765" s="58" t="s">
        <v>546</v>
      </c>
      <c r="R765" s="62"/>
      <c r="S765" s="59">
        <v>530000000</v>
      </c>
      <c r="T765" s="60">
        <v>296632948</v>
      </c>
      <c r="U765" s="60">
        <v>50000000</v>
      </c>
      <c r="V765" s="294">
        <f t="shared" si="392"/>
        <v>0</v>
      </c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28">
        <v>0</v>
      </c>
      <c r="AI765" s="60">
        <f t="shared" si="393"/>
        <v>50000000</v>
      </c>
      <c r="AJ765" s="60">
        <f t="shared" si="394"/>
        <v>183367052</v>
      </c>
      <c r="AK765" s="61" t="s">
        <v>78</v>
      </c>
      <c r="AL765" s="32" t="s">
        <v>44</v>
      </c>
    </row>
    <row r="766" spans="1:38" s="33" customFormat="1" ht="25.5" hidden="1" customHeight="1" outlineLevel="2">
      <c r="A766" s="54" t="s">
        <v>280</v>
      </c>
      <c r="B766" s="54">
        <v>33</v>
      </c>
      <c r="C766" s="54"/>
      <c r="D766" s="54" t="s">
        <v>496</v>
      </c>
      <c r="E766" s="54" t="s">
        <v>34</v>
      </c>
      <c r="F766" s="54" t="s">
        <v>84</v>
      </c>
      <c r="G766" s="55" t="s">
        <v>318</v>
      </c>
      <c r="H766" s="56" t="s">
        <v>508</v>
      </c>
      <c r="I766" s="54" t="s">
        <v>497</v>
      </c>
      <c r="J766" s="54" t="s">
        <v>497</v>
      </c>
      <c r="K766" s="57">
        <v>36</v>
      </c>
      <c r="L766" s="54" t="s">
        <v>280</v>
      </c>
      <c r="M766" s="220" t="s">
        <v>547</v>
      </c>
      <c r="N766" s="56">
        <v>30341424</v>
      </c>
      <c r="O766" s="56" t="s">
        <v>687</v>
      </c>
      <c r="P766" s="56"/>
      <c r="Q766" s="58" t="s">
        <v>548</v>
      </c>
      <c r="R766" s="62"/>
      <c r="S766" s="59">
        <v>169500000</v>
      </c>
      <c r="T766" s="60">
        <v>126296879</v>
      </c>
      <c r="U766" s="60">
        <f>45000000-1796879</f>
        <v>43203121</v>
      </c>
      <c r="V766" s="294">
        <f t="shared" si="392"/>
        <v>0</v>
      </c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28">
        <v>0</v>
      </c>
      <c r="AI766" s="60">
        <f t="shared" si="393"/>
        <v>43203121</v>
      </c>
      <c r="AJ766" s="60">
        <f t="shared" si="394"/>
        <v>0</v>
      </c>
      <c r="AK766" s="61" t="s">
        <v>78</v>
      </c>
      <c r="AL766" s="32" t="s">
        <v>44</v>
      </c>
    </row>
    <row r="767" spans="1:38" s="33" customFormat="1" ht="25.5" hidden="1" customHeight="1" outlineLevel="2">
      <c r="A767" s="54" t="s">
        <v>280</v>
      </c>
      <c r="B767" s="54">
        <v>33</v>
      </c>
      <c r="C767" s="54"/>
      <c r="D767" s="54" t="s">
        <v>496</v>
      </c>
      <c r="E767" s="54" t="s">
        <v>34</v>
      </c>
      <c r="F767" s="54" t="s">
        <v>84</v>
      </c>
      <c r="G767" s="55" t="s">
        <v>318</v>
      </c>
      <c r="H767" s="56" t="s">
        <v>508</v>
      </c>
      <c r="I767" s="54" t="s">
        <v>497</v>
      </c>
      <c r="J767" s="54" t="s">
        <v>497</v>
      </c>
      <c r="K767" s="57">
        <v>36</v>
      </c>
      <c r="L767" s="54" t="s">
        <v>280</v>
      </c>
      <c r="M767" s="220" t="s">
        <v>547</v>
      </c>
      <c r="N767" s="56">
        <v>30341439</v>
      </c>
      <c r="O767" s="56" t="s">
        <v>687</v>
      </c>
      <c r="P767" s="56"/>
      <c r="Q767" s="58" t="s">
        <v>549</v>
      </c>
      <c r="R767" s="62"/>
      <c r="S767" s="59">
        <v>210000000</v>
      </c>
      <c r="T767" s="60">
        <v>30782899</v>
      </c>
      <c r="U767" s="60">
        <f>80000000+1796879+14592778</f>
        <v>96389657</v>
      </c>
      <c r="V767" s="294">
        <f t="shared" si="392"/>
        <v>0</v>
      </c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28">
        <v>0</v>
      </c>
      <c r="AI767" s="60">
        <f t="shared" si="393"/>
        <v>96389657</v>
      </c>
      <c r="AJ767" s="60">
        <f t="shared" si="394"/>
        <v>82827444</v>
      </c>
      <c r="AK767" s="61" t="s">
        <v>78</v>
      </c>
      <c r="AL767" s="32" t="s">
        <v>44</v>
      </c>
    </row>
    <row r="768" spans="1:38" s="33" customFormat="1" ht="25.5" hidden="1" customHeight="1" outlineLevel="2">
      <c r="A768" s="54" t="s">
        <v>280</v>
      </c>
      <c r="B768" s="54">
        <v>33</v>
      </c>
      <c r="C768" s="54"/>
      <c r="D768" s="54" t="s">
        <v>496</v>
      </c>
      <c r="E768" s="54" t="s">
        <v>34</v>
      </c>
      <c r="F768" s="54" t="s">
        <v>84</v>
      </c>
      <c r="G768" s="55" t="s">
        <v>318</v>
      </c>
      <c r="H768" s="56" t="s">
        <v>294</v>
      </c>
      <c r="I768" s="54" t="s">
        <v>497</v>
      </c>
      <c r="J768" s="54" t="s">
        <v>497</v>
      </c>
      <c r="K768" s="57">
        <v>36</v>
      </c>
      <c r="L768" s="54" t="s">
        <v>280</v>
      </c>
      <c r="M768" s="220" t="s">
        <v>550</v>
      </c>
      <c r="N768" s="56">
        <v>30337226</v>
      </c>
      <c r="O768" s="56" t="s">
        <v>687</v>
      </c>
      <c r="P768" s="56"/>
      <c r="Q768" s="58" t="s">
        <v>551</v>
      </c>
      <c r="R768" s="62"/>
      <c r="S768" s="59">
        <v>1275000000</v>
      </c>
      <c r="T768" s="60">
        <v>1249784880</v>
      </c>
      <c r="U768" s="60">
        <v>24000000</v>
      </c>
      <c r="V768" s="294">
        <f t="shared" si="392"/>
        <v>0</v>
      </c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28">
        <v>0</v>
      </c>
      <c r="AI768" s="60">
        <f t="shared" si="393"/>
        <v>24000000</v>
      </c>
      <c r="AJ768" s="60">
        <f t="shared" si="394"/>
        <v>1215120</v>
      </c>
      <c r="AK768" s="61" t="s">
        <v>78</v>
      </c>
      <c r="AL768" s="32" t="s">
        <v>44</v>
      </c>
    </row>
    <row r="769" spans="1:38" s="33" customFormat="1" ht="25.5" hidden="1" customHeight="1" outlineLevel="2">
      <c r="A769" s="54" t="s">
        <v>280</v>
      </c>
      <c r="B769" s="54">
        <v>33</v>
      </c>
      <c r="C769" s="54"/>
      <c r="D769" s="54" t="s">
        <v>496</v>
      </c>
      <c r="E769" s="54" t="s">
        <v>34</v>
      </c>
      <c r="F769" s="54" t="s">
        <v>84</v>
      </c>
      <c r="G769" s="54" t="s">
        <v>49</v>
      </c>
      <c r="H769" s="56" t="s">
        <v>61</v>
      </c>
      <c r="I769" s="54" t="s">
        <v>497</v>
      </c>
      <c r="J769" s="54" t="s">
        <v>497</v>
      </c>
      <c r="K769" s="57">
        <v>36</v>
      </c>
      <c r="L769" s="54" t="s">
        <v>280</v>
      </c>
      <c r="M769" s="58" t="s">
        <v>552</v>
      </c>
      <c r="N769" s="56">
        <v>30426980</v>
      </c>
      <c r="O769" s="597" t="s">
        <v>687</v>
      </c>
      <c r="P769" s="597"/>
      <c r="Q769" s="98" t="s">
        <v>553</v>
      </c>
      <c r="R769" s="194"/>
      <c r="S769" s="99">
        <v>500000000</v>
      </c>
      <c r="T769" s="100">
        <v>325273549</v>
      </c>
      <c r="U769" s="100">
        <f>200000000-10680771-14592778</f>
        <v>174726451</v>
      </c>
      <c r="V769" s="295">
        <f t="shared" si="392"/>
        <v>0</v>
      </c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28">
        <v>0</v>
      </c>
      <c r="AI769" s="100">
        <f t="shared" si="393"/>
        <v>174726451</v>
      </c>
      <c r="AJ769" s="100">
        <f t="shared" si="394"/>
        <v>0</v>
      </c>
      <c r="AK769" s="61" t="s">
        <v>78</v>
      </c>
      <c r="AL769" s="32" t="s">
        <v>44</v>
      </c>
    </row>
    <row r="770" spans="1:38" s="33" customFormat="1" ht="25.5" hidden="1" customHeight="1" outlineLevel="2">
      <c r="A770" s="7"/>
      <c r="B770" s="7"/>
      <c r="C770" s="7"/>
      <c r="D770" s="7"/>
      <c r="E770" s="7"/>
      <c r="F770" s="7"/>
      <c r="G770" s="7"/>
      <c r="H770" s="163"/>
      <c r="I770" s="7"/>
      <c r="J770" s="7"/>
      <c r="K770" s="7"/>
      <c r="L770" s="7"/>
      <c r="M770" s="34"/>
      <c r="N770" s="163"/>
      <c r="O770" s="39"/>
      <c r="P770" s="39"/>
      <c r="Q770" s="233" t="s">
        <v>554</v>
      </c>
      <c r="R770" s="234"/>
      <c r="S770" s="65">
        <f t="shared" ref="S770:AJ770" si="395">SUBTOTAL(9,S759:S769)</f>
        <v>0</v>
      </c>
      <c r="T770" s="65">
        <f t="shared" ref="T770" si="396">SUBTOTAL(9,T759:T769)</f>
        <v>0</v>
      </c>
      <c r="U770" s="65">
        <f t="shared" si="395"/>
        <v>0</v>
      </c>
      <c r="V770" s="65">
        <f t="shared" si="395"/>
        <v>0</v>
      </c>
      <c r="W770" s="65">
        <f t="shared" si="395"/>
        <v>0</v>
      </c>
      <c r="X770" s="65">
        <f t="shared" si="395"/>
        <v>0</v>
      </c>
      <c r="Y770" s="65">
        <f t="shared" si="395"/>
        <v>0</v>
      </c>
      <c r="Z770" s="65">
        <f t="shared" si="395"/>
        <v>0</v>
      </c>
      <c r="AA770" s="65">
        <f t="shared" si="395"/>
        <v>0</v>
      </c>
      <c r="AB770" s="65">
        <f t="shared" si="395"/>
        <v>0</v>
      </c>
      <c r="AC770" s="65">
        <f t="shared" si="395"/>
        <v>0</v>
      </c>
      <c r="AD770" s="65">
        <f t="shared" si="395"/>
        <v>0</v>
      </c>
      <c r="AE770" s="65">
        <f t="shared" si="395"/>
        <v>0</v>
      </c>
      <c r="AF770" s="65">
        <f t="shared" si="395"/>
        <v>0</v>
      </c>
      <c r="AG770" s="65">
        <f t="shared" si="395"/>
        <v>0</v>
      </c>
      <c r="AH770" s="65">
        <v>0</v>
      </c>
      <c r="AI770" s="65">
        <f t="shared" si="395"/>
        <v>0</v>
      </c>
      <c r="AJ770" s="65">
        <f t="shared" si="395"/>
        <v>0</v>
      </c>
      <c r="AK770" s="117"/>
      <c r="AL770" s="32" t="s">
        <v>44</v>
      </c>
    </row>
    <row r="771" spans="1:38" s="38" customFormat="1" ht="10.5" hidden="1" customHeight="1" outlineLevel="1">
      <c r="A771" s="7"/>
      <c r="B771" s="7"/>
      <c r="C771" s="7"/>
      <c r="D771" s="7"/>
      <c r="E771" s="7"/>
      <c r="F771" s="7"/>
      <c r="G771" s="7"/>
      <c r="H771" s="163"/>
      <c r="I771" s="7"/>
      <c r="J771" s="7"/>
      <c r="K771" s="7"/>
      <c r="L771" s="7"/>
      <c r="M771" s="34"/>
      <c r="N771" s="163"/>
      <c r="O771" s="39"/>
      <c r="P771" s="39"/>
      <c r="Q771" s="34"/>
      <c r="R771" s="164"/>
      <c r="S771" s="89"/>
      <c r="T771" s="89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117"/>
      <c r="AL771" s="165"/>
    </row>
    <row r="772" spans="1:38" s="38" customFormat="1" ht="5.25" hidden="1" customHeight="1" outlineLevel="1">
      <c r="A772" s="7"/>
      <c r="B772" s="7"/>
      <c r="C772" s="7"/>
      <c r="D772" s="7"/>
      <c r="E772" s="7"/>
      <c r="F772" s="7"/>
      <c r="G772" s="7"/>
      <c r="H772" s="163"/>
      <c r="I772" s="7"/>
      <c r="J772" s="7"/>
      <c r="K772" s="7"/>
      <c r="L772" s="7"/>
      <c r="M772" s="34"/>
      <c r="N772" s="163"/>
      <c r="O772" s="39"/>
      <c r="P772" s="39"/>
      <c r="Q772" s="34"/>
      <c r="R772" s="164"/>
      <c r="S772" s="89"/>
      <c r="T772" s="89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117"/>
      <c r="AL772" s="34"/>
    </row>
    <row r="773" spans="1:38" s="34" customFormat="1" ht="25.5" hidden="1" customHeight="1" outlineLevel="2">
      <c r="A773" s="7"/>
      <c r="B773" s="7"/>
      <c r="C773" s="7"/>
      <c r="D773" s="7"/>
      <c r="E773" s="7"/>
      <c r="F773" s="7"/>
      <c r="G773" s="7"/>
      <c r="H773" s="163"/>
      <c r="I773" s="7"/>
      <c r="J773" s="7"/>
      <c r="K773" s="7"/>
      <c r="L773" s="7"/>
      <c r="N773" s="163"/>
      <c r="O773" s="39"/>
      <c r="P773" s="39"/>
      <c r="Q773" s="17" t="s">
        <v>555</v>
      </c>
      <c r="R773" s="164"/>
      <c r="S773" s="89"/>
      <c r="T773" s="89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117"/>
    </row>
    <row r="774" spans="1:38" s="33" customFormat="1" ht="25.5" hidden="1" customHeight="1" outlineLevel="2">
      <c r="A774" s="19"/>
      <c r="B774" s="19">
        <v>33</v>
      </c>
      <c r="C774" s="19"/>
      <c r="D774" s="19" t="s">
        <v>496</v>
      </c>
      <c r="E774" s="19" t="s">
        <v>34</v>
      </c>
      <c r="F774" s="19" t="s">
        <v>84</v>
      </c>
      <c r="G774" s="19" t="s">
        <v>318</v>
      </c>
      <c r="H774" s="21" t="s">
        <v>61</v>
      </c>
      <c r="I774" s="19" t="s">
        <v>497</v>
      </c>
      <c r="J774" s="19" t="s">
        <v>497</v>
      </c>
      <c r="K774" s="19">
        <v>36</v>
      </c>
      <c r="L774" s="19" t="s">
        <v>46</v>
      </c>
      <c r="M774" s="23" t="s">
        <v>509</v>
      </c>
      <c r="N774" s="21">
        <v>30485206</v>
      </c>
      <c r="O774" s="21" t="s">
        <v>687</v>
      </c>
      <c r="P774" s="21"/>
      <c r="Q774" s="23" t="s">
        <v>556</v>
      </c>
      <c r="R774" s="152"/>
      <c r="S774" s="26">
        <v>202400000</v>
      </c>
      <c r="T774" s="30">
        <v>37349999</v>
      </c>
      <c r="U774" s="30">
        <v>40000000</v>
      </c>
      <c r="V774" s="286">
        <f t="shared" si="392"/>
        <v>0</v>
      </c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28">
        <v>0</v>
      </c>
      <c r="AI774" s="30">
        <f t="shared" si="393"/>
        <v>40000000</v>
      </c>
      <c r="AJ774" s="30">
        <f t="shared" ref="AJ774:AJ795" si="397">+S774-T774-V774-AI774</f>
        <v>125050001</v>
      </c>
      <c r="AK774" s="31" t="s">
        <v>78</v>
      </c>
      <c r="AL774" s="34"/>
    </row>
    <row r="775" spans="1:38" s="33" customFormat="1" ht="25.5" hidden="1" customHeight="1" outlineLevel="2">
      <c r="A775" s="19"/>
      <c r="B775" s="235">
        <v>33</v>
      </c>
      <c r="C775" s="235"/>
      <c r="D775" s="235" t="s">
        <v>496</v>
      </c>
      <c r="E775" s="235" t="s">
        <v>34</v>
      </c>
      <c r="F775" s="235" t="s">
        <v>84</v>
      </c>
      <c r="G775" s="235" t="s">
        <v>318</v>
      </c>
      <c r="H775" s="236" t="s">
        <v>508</v>
      </c>
      <c r="I775" s="19" t="s">
        <v>497</v>
      </c>
      <c r="J775" s="235" t="s">
        <v>497</v>
      </c>
      <c r="K775" s="19">
        <v>36</v>
      </c>
      <c r="L775" s="235" t="s">
        <v>46</v>
      </c>
      <c r="M775" s="237" t="s">
        <v>509</v>
      </c>
      <c r="N775" s="236">
        <v>40014803</v>
      </c>
      <c r="O775" s="236" t="s">
        <v>687</v>
      </c>
      <c r="P775" s="236"/>
      <c r="Q775" s="237" t="s">
        <v>557</v>
      </c>
      <c r="R775" s="238"/>
      <c r="S775" s="239">
        <v>764464240</v>
      </c>
      <c r="T775" s="240">
        <v>219937838</v>
      </c>
      <c r="U775" s="240">
        <v>100000000</v>
      </c>
      <c r="V775" s="290">
        <f t="shared" si="392"/>
        <v>0</v>
      </c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8">
        <v>0</v>
      </c>
      <c r="AI775" s="240">
        <f t="shared" si="393"/>
        <v>100000000</v>
      </c>
      <c r="AJ775" s="240">
        <f t="shared" si="397"/>
        <v>444526402</v>
      </c>
      <c r="AK775" s="241" t="s">
        <v>78</v>
      </c>
      <c r="AL775" s="232" t="s">
        <v>44</v>
      </c>
    </row>
    <row r="776" spans="1:38" s="33" customFormat="1" ht="25.5" hidden="1" customHeight="1" outlineLevel="2">
      <c r="A776" s="19"/>
      <c r="B776" s="19">
        <v>33</v>
      </c>
      <c r="C776" s="19"/>
      <c r="D776" s="19" t="s">
        <v>496</v>
      </c>
      <c r="E776" s="19" t="s">
        <v>34</v>
      </c>
      <c r="F776" s="19" t="s">
        <v>84</v>
      </c>
      <c r="G776" s="20" t="s">
        <v>318</v>
      </c>
      <c r="H776" s="21" t="s">
        <v>508</v>
      </c>
      <c r="I776" s="19" t="s">
        <v>497</v>
      </c>
      <c r="J776" s="19" t="s">
        <v>497</v>
      </c>
      <c r="K776" s="19">
        <v>36</v>
      </c>
      <c r="L776" s="19" t="s">
        <v>46</v>
      </c>
      <c r="M776" s="23" t="s">
        <v>509</v>
      </c>
      <c r="N776" s="21">
        <v>30433775</v>
      </c>
      <c r="O776" s="21" t="s">
        <v>687</v>
      </c>
      <c r="P776" s="21"/>
      <c r="Q776" s="23" t="s">
        <v>558</v>
      </c>
      <c r="R776" s="151"/>
      <c r="S776" s="26">
        <v>500000000</v>
      </c>
      <c r="T776" s="30">
        <v>495707192</v>
      </c>
      <c r="U776" s="30">
        <v>4292808</v>
      </c>
      <c r="V776" s="286">
        <f t="shared" si="392"/>
        <v>0</v>
      </c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28">
        <v>0</v>
      </c>
      <c r="AI776" s="30">
        <f t="shared" si="393"/>
        <v>4292808</v>
      </c>
      <c r="AJ776" s="30">
        <f t="shared" si="397"/>
        <v>0</v>
      </c>
      <c r="AK776" s="31" t="s">
        <v>78</v>
      </c>
      <c r="AL776" s="32" t="s">
        <v>44</v>
      </c>
    </row>
    <row r="777" spans="1:38" s="18" customFormat="1" ht="25.5" hidden="1" customHeight="1" outlineLevel="1">
      <c r="A777" s="19"/>
      <c r="B777" s="19">
        <v>33</v>
      </c>
      <c r="C777" s="19"/>
      <c r="D777" s="19" t="s">
        <v>496</v>
      </c>
      <c r="E777" s="19" t="s">
        <v>34</v>
      </c>
      <c r="F777" s="19" t="s">
        <v>84</v>
      </c>
      <c r="G777" s="20" t="s">
        <v>318</v>
      </c>
      <c r="H777" s="21" t="s">
        <v>508</v>
      </c>
      <c r="I777" s="19" t="s">
        <v>497</v>
      </c>
      <c r="J777" s="19" t="s">
        <v>497</v>
      </c>
      <c r="K777" s="19">
        <v>36</v>
      </c>
      <c r="L777" s="19" t="s">
        <v>46</v>
      </c>
      <c r="M777" s="23" t="s">
        <v>547</v>
      </c>
      <c r="N777" s="21">
        <v>30482027</v>
      </c>
      <c r="O777" s="200" t="s">
        <v>687</v>
      </c>
      <c r="P777" s="200"/>
      <c r="Q777" s="112" t="s">
        <v>559</v>
      </c>
      <c r="R777" s="242"/>
      <c r="S777" s="26">
        <v>500000000</v>
      </c>
      <c r="T777" s="30">
        <v>481749364</v>
      </c>
      <c r="U777" s="30">
        <f>40000000-21749364</f>
        <v>18250636</v>
      </c>
      <c r="V777" s="286">
        <f t="shared" si="392"/>
        <v>0</v>
      </c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28">
        <v>0</v>
      </c>
      <c r="AI777" s="30">
        <f t="shared" si="393"/>
        <v>18250636</v>
      </c>
      <c r="AJ777" s="30">
        <f t="shared" si="397"/>
        <v>0</v>
      </c>
      <c r="AK777" s="31" t="s">
        <v>78</v>
      </c>
      <c r="AL777" s="32" t="s">
        <v>44</v>
      </c>
    </row>
    <row r="778" spans="1:38" s="33" customFormat="1" ht="25.5" hidden="1" customHeight="1" outlineLevel="2">
      <c r="A778" s="19"/>
      <c r="B778" s="19">
        <v>33</v>
      </c>
      <c r="C778" s="19"/>
      <c r="D778" s="19" t="s">
        <v>496</v>
      </c>
      <c r="E778" s="19" t="s">
        <v>34</v>
      </c>
      <c r="F778" s="19" t="s">
        <v>84</v>
      </c>
      <c r="G778" s="20" t="s">
        <v>318</v>
      </c>
      <c r="H778" s="21" t="s">
        <v>508</v>
      </c>
      <c r="I778" s="19" t="s">
        <v>497</v>
      </c>
      <c r="J778" s="19" t="s">
        <v>497</v>
      </c>
      <c r="K778" s="19">
        <v>36</v>
      </c>
      <c r="L778" s="19" t="s">
        <v>46</v>
      </c>
      <c r="M778" s="23" t="s">
        <v>547</v>
      </c>
      <c r="N778" s="21">
        <v>30482019</v>
      </c>
      <c r="O778" s="21" t="s">
        <v>687</v>
      </c>
      <c r="P778" s="21"/>
      <c r="Q778" s="23" t="s">
        <v>560</v>
      </c>
      <c r="R778" s="151"/>
      <c r="S778" s="26">
        <v>400000000</v>
      </c>
      <c r="T778" s="30">
        <v>181514893</v>
      </c>
      <c r="U778" s="30">
        <f>50000000+21749364</f>
        <v>71749364</v>
      </c>
      <c r="V778" s="286">
        <f t="shared" si="392"/>
        <v>0</v>
      </c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28">
        <v>0</v>
      </c>
      <c r="AI778" s="30">
        <f t="shared" si="393"/>
        <v>71749364</v>
      </c>
      <c r="AJ778" s="30">
        <f t="shared" si="397"/>
        <v>146735743</v>
      </c>
      <c r="AK778" s="31" t="s">
        <v>78</v>
      </c>
      <c r="AL778" s="123"/>
    </row>
    <row r="779" spans="1:38" s="33" customFormat="1" ht="23.1" hidden="1" customHeight="1" outlineLevel="2">
      <c r="A779" s="19"/>
      <c r="B779" s="19">
        <v>33</v>
      </c>
      <c r="C779" s="19"/>
      <c r="D779" s="19" t="s">
        <v>496</v>
      </c>
      <c r="E779" s="19" t="s">
        <v>34</v>
      </c>
      <c r="F779" s="19" t="s">
        <v>84</v>
      </c>
      <c r="G779" s="19" t="s">
        <v>508</v>
      </c>
      <c r="H779" s="21" t="s">
        <v>508</v>
      </c>
      <c r="I779" s="19" t="s">
        <v>497</v>
      </c>
      <c r="J779" s="19" t="s">
        <v>497</v>
      </c>
      <c r="K779" s="19">
        <v>36</v>
      </c>
      <c r="L779" s="19" t="s">
        <v>46</v>
      </c>
      <c r="M779" s="23" t="s">
        <v>542</v>
      </c>
      <c r="N779" s="21">
        <v>40012343</v>
      </c>
      <c r="O779" s="21"/>
      <c r="P779" s="21"/>
      <c r="Q779" s="23" t="s">
        <v>561</v>
      </c>
      <c r="R779" s="152"/>
      <c r="S779" s="26">
        <v>2256500000</v>
      </c>
      <c r="T779" s="30">
        <v>150000000</v>
      </c>
      <c r="U779" s="30">
        <v>100000000</v>
      </c>
      <c r="V779" s="286">
        <f t="shared" si="392"/>
        <v>0</v>
      </c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28">
        <v>0</v>
      </c>
      <c r="AI779" s="30">
        <f t="shared" si="393"/>
        <v>100000000</v>
      </c>
      <c r="AJ779" s="30">
        <f t="shared" si="397"/>
        <v>2006500000</v>
      </c>
      <c r="AK779" s="31" t="s">
        <v>78</v>
      </c>
      <c r="AL779" s="32" t="s">
        <v>44</v>
      </c>
    </row>
    <row r="780" spans="1:38" s="33" customFormat="1" ht="25.5" hidden="1" customHeight="1" outlineLevel="2">
      <c r="A780" s="19"/>
      <c r="B780" s="19">
        <v>33</v>
      </c>
      <c r="C780" s="19"/>
      <c r="D780" s="19" t="s">
        <v>496</v>
      </c>
      <c r="E780" s="19" t="s">
        <v>34</v>
      </c>
      <c r="F780" s="19" t="s">
        <v>84</v>
      </c>
      <c r="G780" s="20" t="s">
        <v>49</v>
      </c>
      <c r="H780" s="21" t="s">
        <v>61</v>
      </c>
      <c r="I780" s="19" t="s">
        <v>497</v>
      </c>
      <c r="J780" s="19" t="s">
        <v>497</v>
      </c>
      <c r="K780" s="19">
        <v>36</v>
      </c>
      <c r="L780" s="19" t="s">
        <v>46</v>
      </c>
      <c r="M780" s="23" t="s">
        <v>562</v>
      </c>
      <c r="N780" s="21">
        <v>30136320</v>
      </c>
      <c r="O780" s="21" t="s">
        <v>687</v>
      </c>
      <c r="P780" s="21"/>
      <c r="Q780" s="23" t="s">
        <v>563</v>
      </c>
      <c r="R780" s="151"/>
      <c r="S780" s="26">
        <v>600000000</v>
      </c>
      <c r="T780" s="30">
        <v>317817757</v>
      </c>
      <c r="U780" s="30">
        <v>50000000</v>
      </c>
      <c r="V780" s="286">
        <f t="shared" si="392"/>
        <v>0</v>
      </c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28">
        <v>0</v>
      </c>
      <c r="AI780" s="30">
        <f t="shared" si="393"/>
        <v>50000000</v>
      </c>
      <c r="AJ780" s="30">
        <f t="shared" si="397"/>
        <v>232182243</v>
      </c>
      <c r="AK780" s="31" t="s">
        <v>78</v>
      </c>
      <c r="AL780" s="32" t="s">
        <v>66</v>
      </c>
    </row>
    <row r="781" spans="1:38" s="33" customFormat="1" ht="23.1" hidden="1" customHeight="1" outlineLevel="2">
      <c r="A781" s="19"/>
      <c r="B781" s="19">
        <v>33</v>
      </c>
      <c r="C781" s="19"/>
      <c r="D781" s="19" t="s">
        <v>496</v>
      </c>
      <c r="E781" s="19" t="s">
        <v>34</v>
      </c>
      <c r="F781" s="19" t="s">
        <v>84</v>
      </c>
      <c r="G781" s="19" t="s">
        <v>318</v>
      </c>
      <c r="H781" s="21" t="s">
        <v>64</v>
      </c>
      <c r="I781" s="19" t="s">
        <v>497</v>
      </c>
      <c r="J781" s="19" t="s">
        <v>497</v>
      </c>
      <c r="K781" s="19">
        <v>36</v>
      </c>
      <c r="L781" s="19" t="s">
        <v>46</v>
      </c>
      <c r="M781" s="23" t="s">
        <v>562</v>
      </c>
      <c r="N781" s="21">
        <v>40005399</v>
      </c>
      <c r="O781" s="21"/>
      <c r="P781" s="21"/>
      <c r="Q781" s="23" t="s">
        <v>564</v>
      </c>
      <c r="R781" s="152"/>
      <c r="S781" s="26">
        <v>2212769231</v>
      </c>
      <c r="T781" s="30">
        <v>308004725</v>
      </c>
      <c r="U781" s="30">
        <v>300000000</v>
      </c>
      <c r="V781" s="286">
        <f t="shared" si="392"/>
        <v>0</v>
      </c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28">
        <v>0</v>
      </c>
      <c r="AI781" s="30">
        <f t="shared" si="393"/>
        <v>300000000</v>
      </c>
      <c r="AJ781" s="30">
        <f t="shared" si="397"/>
        <v>1604764506</v>
      </c>
      <c r="AK781" s="31" t="s">
        <v>78</v>
      </c>
      <c r="AL781" s="32" t="s">
        <v>44</v>
      </c>
    </row>
    <row r="782" spans="1:38" s="33" customFormat="1" ht="25.5" hidden="1" customHeight="1" outlineLevel="2">
      <c r="A782" s="19"/>
      <c r="B782" s="19">
        <v>33</v>
      </c>
      <c r="C782" s="19"/>
      <c r="D782" s="19" t="s">
        <v>496</v>
      </c>
      <c r="E782" s="19" t="s">
        <v>34</v>
      </c>
      <c r="F782" s="19" t="s">
        <v>84</v>
      </c>
      <c r="G782" s="20" t="s">
        <v>318</v>
      </c>
      <c r="H782" s="21" t="s">
        <v>508</v>
      </c>
      <c r="I782" s="19" t="s">
        <v>497</v>
      </c>
      <c r="J782" s="19" t="s">
        <v>497</v>
      </c>
      <c r="K782" s="19">
        <v>36</v>
      </c>
      <c r="L782" s="19" t="s">
        <v>46</v>
      </c>
      <c r="M782" s="23" t="s">
        <v>498</v>
      </c>
      <c r="N782" s="21">
        <v>30349427</v>
      </c>
      <c r="O782" s="21" t="s">
        <v>687</v>
      </c>
      <c r="P782" s="21"/>
      <c r="Q782" s="23" t="s">
        <v>565</v>
      </c>
      <c r="R782" s="151"/>
      <c r="S782" s="26">
        <v>540800000</v>
      </c>
      <c r="T782" s="30">
        <v>518502126</v>
      </c>
      <c r="U782" s="30">
        <f>24500000-2202126</f>
        <v>22297874</v>
      </c>
      <c r="V782" s="286">
        <f t="shared" si="392"/>
        <v>0</v>
      </c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28">
        <v>0</v>
      </c>
      <c r="AI782" s="30">
        <f t="shared" si="393"/>
        <v>22297874</v>
      </c>
      <c r="AJ782" s="30">
        <f t="shared" si="397"/>
        <v>0</v>
      </c>
      <c r="AK782" s="31" t="s">
        <v>78</v>
      </c>
      <c r="AL782" s="32" t="s">
        <v>66</v>
      </c>
    </row>
    <row r="783" spans="1:38" s="33" customFormat="1" ht="25.5" hidden="1" customHeight="1" outlineLevel="2">
      <c r="A783" s="19"/>
      <c r="B783" s="19">
        <v>33</v>
      </c>
      <c r="C783" s="19"/>
      <c r="D783" s="19" t="s">
        <v>496</v>
      </c>
      <c r="E783" s="19" t="s">
        <v>34</v>
      </c>
      <c r="F783" s="19" t="s">
        <v>84</v>
      </c>
      <c r="G783" s="20" t="s">
        <v>318</v>
      </c>
      <c r="H783" s="21" t="s">
        <v>294</v>
      </c>
      <c r="I783" s="19" t="s">
        <v>497</v>
      </c>
      <c r="J783" s="19" t="s">
        <v>497</v>
      </c>
      <c r="K783" s="19">
        <v>36</v>
      </c>
      <c r="L783" s="19" t="s">
        <v>46</v>
      </c>
      <c r="M783" s="23" t="s">
        <v>498</v>
      </c>
      <c r="N783" s="21">
        <v>30440729</v>
      </c>
      <c r="O783" s="21" t="s">
        <v>687</v>
      </c>
      <c r="P783" s="21"/>
      <c r="Q783" s="23" t="s">
        <v>566</v>
      </c>
      <c r="R783" s="151"/>
      <c r="S783" s="26">
        <v>320000000</v>
      </c>
      <c r="T783" s="30">
        <v>308425504</v>
      </c>
      <c r="U783" s="30">
        <f>22004496-10430000</f>
        <v>11574496</v>
      </c>
      <c r="V783" s="286">
        <f t="shared" si="392"/>
        <v>0</v>
      </c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28">
        <v>0</v>
      </c>
      <c r="AI783" s="30">
        <f t="shared" si="393"/>
        <v>11574496</v>
      </c>
      <c r="AJ783" s="30">
        <f t="shared" si="397"/>
        <v>0</v>
      </c>
      <c r="AK783" s="31" t="s">
        <v>78</v>
      </c>
      <c r="AL783" s="32" t="s">
        <v>44</v>
      </c>
    </row>
    <row r="784" spans="1:38" s="33" customFormat="1" ht="25.5" hidden="1" customHeight="1" outlineLevel="2">
      <c r="A784" s="19"/>
      <c r="B784" s="19">
        <v>33</v>
      </c>
      <c r="C784" s="19"/>
      <c r="D784" s="19" t="s">
        <v>496</v>
      </c>
      <c r="E784" s="19" t="s">
        <v>34</v>
      </c>
      <c r="F784" s="19" t="s">
        <v>84</v>
      </c>
      <c r="G784" s="20" t="s">
        <v>318</v>
      </c>
      <c r="H784" s="21" t="s">
        <v>508</v>
      </c>
      <c r="I784" s="19" t="s">
        <v>497</v>
      </c>
      <c r="J784" s="19" t="s">
        <v>497</v>
      </c>
      <c r="K784" s="19">
        <v>36</v>
      </c>
      <c r="L784" s="19" t="s">
        <v>46</v>
      </c>
      <c r="M784" s="23" t="s">
        <v>498</v>
      </c>
      <c r="N784" s="21">
        <v>30351343</v>
      </c>
      <c r="O784" s="21" t="s">
        <v>687</v>
      </c>
      <c r="P784" s="21"/>
      <c r="Q784" s="23" t="s">
        <v>567</v>
      </c>
      <c r="R784" s="151"/>
      <c r="S784" s="26">
        <v>450000000</v>
      </c>
      <c r="T784" s="30">
        <v>265000072</v>
      </c>
      <c r="U784" s="30">
        <f>40000000+2202126+10430000</f>
        <v>52632126</v>
      </c>
      <c r="V784" s="286">
        <f t="shared" si="392"/>
        <v>0</v>
      </c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28">
        <v>0</v>
      </c>
      <c r="AI784" s="30">
        <f t="shared" si="393"/>
        <v>52632126</v>
      </c>
      <c r="AJ784" s="30">
        <f t="shared" si="397"/>
        <v>132367802</v>
      </c>
      <c r="AK784" s="31" t="s">
        <v>78</v>
      </c>
      <c r="AL784" s="32" t="s">
        <v>44</v>
      </c>
    </row>
    <row r="785" spans="1:38" s="33" customFormat="1" ht="25.5" hidden="1" customHeight="1" outlineLevel="2">
      <c r="A785" s="19"/>
      <c r="B785" s="19">
        <v>33</v>
      </c>
      <c r="C785" s="19"/>
      <c r="D785" s="19" t="s">
        <v>496</v>
      </c>
      <c r="E785" s="19" t="s">
        <v>34</v>
      </c>
      <c r="F785" s="19" t="s">
        <v>84</v>
      </c>
      <c r="G785" s="20" t="s">
        <v>318</v>
      </c>
      <c r="H785" s="21" t="s">
        <v>508</v>
      </c>
      <c r="I785" s="19" t="s">
        <v>497</v>
      </c>
      <c r="J785" s="19" t="s">
        <v>497</v>
      </c>
      <c r="K785" s="19">
        <v>36</v>
      </c>
      <c r="L785" s="19" t="s">
        <v>46</v>
      </c>
      <c r="M785" s="23" t="s">
        <v>568</v>
      </c>
      <c r="N785" s="21">
        <v>30343724</v>
      </c>
      <c r="O785" s="21" t="s">
        <v>687</v>
      </c>
      <c r="P785" s="21"/>
      <c r="Q785" s="23" t="s">
        <v>569</v>
      </c>
      <c r="R785" s="151"/>
      <c r="S785" s="26">
        <v>1336907233</v>
      </c>
      <c r="T785" s="30">
        <v>1336907233</v>
      </c>
      <c r="U785" s="30">
        <v>0</v>
      </c>
      <c r="V785" s="286">
        <f t="shared" si="392"/>
        <v>0</v>
      </c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28">
        <v>0</v>
      </c>
      <c r="AI785" s="30">
        <f t="shared" si="393"/>
        <v>0</v>
      </c>
      <c r="AJ785" s="30">
        <f t="shared" si="397"/>
        <v>0</v>
      </c>
      <c r="AK785" s="31" t="s">
        <v>78</v>
      </c>
      <c r="AL785" s="32" t="s">
        <v>44</v>
      </c>
    </row>
    <row r="786" spans="1:38" s="33" customFormat="1" ht="25.5" hidden="1" customHeight="1" outlineLevel="2">
      <c r="A786" s="19"/>
      <c r="B786" s="19">
        <v>33</v>
      </c>
      <c r="C786" s="19"/>
      <c r="D786" s="19" t="s">
        <v>496</v>
      </c>
      <c r="E786" s="19" t="s">
        <v>34</v>
      </c>
      <c r="F786" s="19" t="s">
        <v>84</v>
      </c>
      <c r="G786" s="20" t="s">
        <v>318</v>
      </c>
      <c r="H786" s="21" t="s">
        <v>516</v>
      </c>
      <c r="I786" s="19" t="s">
        <v>497</v>
      </c>
      <c r="J786" s="19" t="s">
        <v>497</v>
      </c>
      <c r="K786" s="19">
        <v>36</v>
      </c>
      <c r="L786" s="19" t="s">
        <v>46</v>
      </c>
      <c r="M786" s="23" t="s">
        <v>570</v>
      </c>
      <c r="N786" s="21">
        <v>30398233</v>
      </c>
      <c r="O786" s="21" t="s">
        <v>687</v>
      </c>
      <c r="P786" s="21"/>
      <c r="Q786" s="31" t="s">
        <v>571</v>
      </c>
      <c r="R786" s="151"/>
      <c r="S786" s="26">
        <v>900000000</v>
      </c>
      <c r="T786" s="30">
        <v>630041157</v>
      </c>
      <c r="U786" s="30">
        <v>50000000</v>
      </c>
      <c r="V786" s="286">
        <f t="shared" si="392"/>
        <v>0</v>
      </c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28">
        <v>0</v>
      </c>
      <c r="AI786" s="30">
        <f t="shared" si="393"/>
        <v>50000000</v>
      </c>
      <c r="AJ786" s="30">
        <f t="shared" si="397"/>
        <v>219958843</v>
      </c>
      <c r="AK786" s="31" t="s">
        <v>78</v>
      </c>
      <c r="AL786" s="32" t="s">
        <v>44</v>
      </c>
    </row>
    <row r="787" spans="1:38" s="33" customFormat="1" ht="25.5" hidden="1" customHeight="1" outlineLevel="2">
      <c r="A787" s="19"/>
      <c r="B787" s="19">
        <v>33</v>
      </c>
      <c r="C787" s="19"/>
      <c r="D787" s="19" t="s">
        <v>496</v>
      </c>
      <c r="E787" s="19" t="s">
        <v>34</v>
      </c>
      <c r="F787" s="19" t="s">
        <v>84</v>
      </c>
      <c r="G787" s="20" t="s">
        <v>318</v>
      </c>
      <c r="H787" s="21" t="s">
        <v>294</v>
      </c>
      <c r="I787" s="19" t="s">
        <v>497</v>
      </c>
      <c r="J787" s="19" t="s">
        <v>497</v>
      </c>
      <c r="K787" s="19">
        <v>36</v>
      </c>
      <c r="L787" s="19" t="s">
        <v>46</v>
      </c>
      <c r="M787" s="23" t="s">
        <v>550</v>
      </c>
      <c r="N787" s="21">
        <v>30342025</v>
      </c>
      <c r="O787" s="21" t="s">
        <v>687</v>
      </c>
      <c r="P787" s="21"/>
      <c r="Q787" s="23" t="s">
        <v>572</v>
      </c>
      <c r="R787" s="151"/>
      <c r="S787" s="26">
        <v>700000000</v>
      </c>
      <c r="T787" s="30">
        <v>698800385</v>
      </c>
      <c r="U787" s="30">
        <f>4000000-2800385</f>
        <v>1199615</v>
      </c>
      <c r="V787" s="286">
        <f t="shared" si="392"/>
        <v>0</v>
      </c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28">
        <v>0</v>
      </c>
      <c r="AI787" s="30">
        <f t="shared" si="393"/>
        <v>1199615</v>
      </c>
      <c r="AJ787" s="30">
        <f t="shared" si="397"/>
        <v>0</v>
      </c>
      <c r="AK787" s="31" t="s">
        <v>78</v>
      </c>
      <c r="AL787" s="32" t="s">
        <v>44</v>
      </c>
    </row>
    <row r="788" spans="1:38" s="33" customFormat="1" ht="25.5" hidden="1" customHeight="1" outlineLevel="2">
      <c r="A788" s="19"/>
      <c r="B788" s="19">
        <v>33</v>
      </c>
      <c r="C788" s="19"/>
      <c r="D788" s="19" t="s">
        <v>496</v>
      </c>
      <c r="E788" s="19" t="s">
        <v>34</v>
      </c>
      <c r="F788" s="19" t="s">
        <v>84</v>
      </c>
      <c r="G788" s="20" t="s">
        <v>49</v>
      </c>
      <c r="H788" s="21" t="s">
        <v>508</v>
      </c>
      <c r="I788" s="19" t="s">
        <v>497</v>
      </c>
      <c r="J788" s="19" t="s">
        <v>497</v>
      </c>
      <c r="K788" s="19">
        <v>36</v>
      </c>
      <c r="L788" s="19" t="s">
        <v>46</v>
      </c>
      <c r="M788" s="23" t="s">
        <v>573</v>
      </c>
      <c r="N788" s="21">
        <v>30434988</v>
      </c>
      <c r="O788" s="21" t="s">
        <v>687</v>
      </c>
      <c r="P788" s="21"/>
      <c r="Q788" s="23" t="s">
        <v>574</v>
      </c>
      <c r="R788" s="151"/>
      <c r="S788" s="26">
        <v>2000000000</v>
      </c>
      <c r="T788" s="30">
        <v>1184780439</v>
      </c>
      <c r="U788" s="30">
        <f>70000000+2800385</f>
        <v>72800385</v>
      </c>
      <c r="V788" s="286">
        <f t="shared" si="392"/>
        <v>0</v>
      </c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28">
        <v>0</v>
      </c>
      <c r="AI788" s="30">
        <f t="shared" si="393"/>
        <v>72800385</v>
      </c>
      <c r="AJ788" s="30">
        <f t="shared" si="397"/>
        <v>742419176</v>
      </c>
      <c r="AK788" s="31" t="s">
        <v>78</v>
      </c>
      <c r="AL788" s="32" t="s">
        <v>44</v>
      </c>
    </row>
    <row r="789" spans="1:38" s="33" customFormat="1" ht="25.5" hidden="1" customHeight="1" outlineLevel="2">
      <c r="A789" s="19"/>
      <c r="B789" s="19">
        <v>33</v>
      </c>
      <c r="C789" s="19"/>
      <c r="D789" s="19" t="s">
        <v>496</v>
      </c>
      <c r="E789" s="19" t="s">
        <v>34</v>
      </c>
      <c r="F789" s="19" t="s">
        <v>84</v>
      </c>
      <c r="G789" s="20" t="s">
        <v>318</v>
      </c>
      <c r="H789" s="21" t="s">
        <v>294</v>
      </c>
      <c r="I789" s="19" t="s">
        <v>497</v>
      </c>
      <c r="J789" s="19" t="s">
        <v>497</v>
      </c>
      <c r="K789" s="19">
        <v>36</v>
      </c>
      <c r="L789" s="19" t="s">
        <v>46</v>
      </c>
      <c r="M789" s="23" t="s">
        <v>525</v>
      </c>
      <c r="N789" s="21">
        <v>30461825</v>
      </c>
      <c r="O789" s="21" t="s">
        <v>687</v>
      </c>
      <c r="P789" s="21"/>
      <c r="Q789" s="23" t="s">
        <v>575</v>
      </c>
      <c r="R789" s="151"/>
      <c r="S789" s="26">
        <v>172830000</v>
      </c>
      <c r="T789" s="30">
        <v>140492250</v>
      </c>
      <c r="U789" s="30">
        <v>31000000</v>
      </c>
      <c r="V789" s="286">
        <f t="shared" si="392"/>
        <v>0</v>
      </c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28">
        <v>0</v>
      </c>
      <c r="AI789" s="30">
        <f t="shared" si="393"/>
        <v>31000000</v>
      </c>
      <c r="AJ789" s="30">
        <f t="shared" si="397"/>
        <v>1337750</v>
      </c>
      <c r="AK789" s="31" t="s">
        <v>78</v>
      </c>
      <c r="AL789" s="32" t="s">
        <v>44</v>
      </c>
    </row>
    <row r="790" spans="1:38" s="33" customFormat="1" ht="25.5" hidden="1" customHeight="1" outlineLevel="2">
      <c r="A790" s="19"/>
      <c r="B790" s="19">
        <v>33</v>
      </c>
      <c r="C790" s="19"/>
      <c r="D790" s="19" t="s">
        <v>496</v>
      </c>
      <c r="E790" s="19" t="s">
        <v>34</v>
      </c>
      <c r="F790" s="19" t="s">
        <v>84</v>
      </c>
      <c r="G790" s="20" t="s">
        <v>49</v>
      </c>
      <c r="H790" s="21" t="s">
        <v>61</v>
      </c>
      <c r="I790" s="19" t="s">
        <v>497</v>
      </c>
      <c r="J790" s="19" t="s">
        <v>497</v>
      </c>
      <c r="K790" s="19">
        <v>36</v>
      </c>
      <c r="L790" s="19" t="s">
        <v>46</v>
      </c>
      <c r="M790" s="23" t="s">
        <v>552</v>
      </c>
      <c r="N790" s="21">
        <v>40004275</v>
      </c>
      <c r="O790" s="21" t="s">
        <v>687</v>
      </c>
      <c r="P790" s="21"/>
      <c r="Q790" s="23" t="s">
        <v>576</v>
      </c>
      <c r="R790" s="151"/>
      <c r="S790" s="26">
        <v>1200000000</v>
      </c>
      <c r="T790" s="30">
        <v>269146592</v>
      </c>
      <c r="U790" s="30">
        <f>100000000+2800000</f>
        <v>102800000</v>
      </c>
      <c r="V790" s="286">
        <f t="shared" si="392"/>
        <v>0</v>
      </c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28">
        <v>0</v>
      </c>
      <c r="AI790" s="30">
        <f t="shared" si="393"/>
        <v>102800000</v>
      </c>
      <c r="AJ790" s="30">
        <f t="shared" si="397"/>
        <v>828053408</v>
      </c>
      <c r="AK790" s="31" t="s">
        <v>78</v>
      </c>
      <c r="AL790" s="32" t="s">
        <v>44</v>
      </c>
    </row>
    <row r="791" spans="1:38" s="33" customFormat="1" ht="25.5" hidden="1" customHeight="1" outlineLevel="2">
      <c r="A791" s="19"/>
      <c r="B791" s="19">
        <v>33</v>
      </c>
      <c r="C791" s="19"/>
      <c r="D791" s="19" t="s">
        <v>496</v>
      </c>
      <c r="E791" s="19" t="s">
        <v>34</v>
      </c>
      <c r="F791" s="19" t="s">
        <v>84</v>
      </c>
      <c r="G791" s="20" t="s">
        <v>49</v>
      </c>
      <c r="H791" s="21" t="s">
        <v>516</v>
      </c>
      <c r="I791" s="19" t="s">
        <v>497</v>
      </c>
      <c r="J791" s="19" t="s">
        <v>497</v>
      </c>
      <c r="K791" s="19">
        <v>36</v>
      </c>
      <c r="L791" s="19" t="s">
        <v>46</v>
      </c>
      <c r="M791" s="23" t="s">
        <v>501</v>
      </c>
      <c r="N791" s="21">
        <v>40016769</v>
      </c>
      <c r="O791" s="21" t="s">
        <v>687</v>
      </c>
      <c r="P791" s="21"/>
      <c r="Q791" s="23" t="s">
        <v>577</v>
      </c>
      <c r="R791" s="151"/>
      <c r="S791" s="26">
        <v>1000000000</v>
      </c>
      <c r="T791" s="30">
        <v>580625000</v>
      </c>
      <c r="U791" s="30">
        <v>50000000</v>
      </c>
      <c r="V791" s="286">
        <f t="shared" si="392"/>
        <v>0</v>
      </c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28">
        <v>0</v>
      </c>
      <c r="AI791" s="30">
        <f t="shared" si="393"/>
        <v>50000000</v>
      </c>
      <c r="AJ791" s="30">
        <f t="shared" si="397"/>
        <v>369375000</v>
      </c>
      <c r="AK791" s="31" t="s">
        <v>78</v>
      </c>
      <c r="AL791" s="32" t="s">
        <v>44</v>
      </c>
    </row>
    <row r="792" spans="1:38" s="33" customFormat="1" ht="25.5" hidden="1" customHeight="1" outlineLevel="2">
      <c r="A792" s="198"/>
      <c r="B792" s="198">
        <v>33</v>
      </c>
      <c r="C792" s="198"/>
      <c r="D792" s="198" t="s">
        <v>496</v>
      </c>
      <c r="E792" s="198" t="s">
        <v>34</v>
      </c>
      <c r="F792" s="198"/>
      <c r="G792" s="199"/>
      <c r="H792" s="200" t="s">
        <v>61</v>
      </c>
      <c r="I792" s="19" t="s">
        <v>497</v>
      </c>
      <c r="J792" s="198" t="s">
        <v>497</v>
      </c>
      <c r="K792" s="19">
        <v>36</v>
      </c>
      <c r="L792" s="198" t="s">
        <v>46</v>
      </c>
      <c r="M792" s="112" t="s">
        <v>503</v>
      </c>
      <c r="N792" s="200">
        <v>30482658</v>
      </c>
      <c r="O792" s="200" t="s">
        <v>687</v>
      </c>
      <c r="P792" s="200"/>
      <c r="Q792" s="112" t="s">
        <v>578</v>
      </c>
      <c r="R792" s="242"/>
      <c r="S792" s="113">
        <v>230000000</v>
      </c>
      <c r="T792" s="114">
        <v>228800000</v>
      </c>
      <c r="U792" s="114">
        <f>4000000-2800000</f>
        <v>1200000</v>
      </c>
      <c r="V792" s="291">
        <f t="shared" si="392"/>
        <v>0</v>
      </c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28">
        <v>0</v>
      </c>
      <c r="AI792" s="114">
        <f t="shared" si="393"/>
        <v>1200000</v>
      </c>
      <c r="AJ792" s="114">
        <f t="shared" si="397"/>
        <v>0</v>
      </c>
      <c r="AK792" s="202" t="s">
        <v>78</v>
      </c>
      <c r="AL792" s="32" t="s">
        <v>44</v>
      </c>
    </row>
    <row r="793" spans="1:38" s="33" customFormat="1" ht="25.5" hidden="1" customHeight="1" outlineLevel="2">
      <c r="A793" s="19"/>
      <c r="B793" s="19">
        <v>33</v>
      </c>
      <c r="C793" s="19"/>
      <c r="D793" s="19" t="s">
        <v>496</v>
      </c>
      <c r="E793" s="19" t="s">
        <v>34</v>
      </c>
      <c r="F793" s="19"/>
      <c r="G793" s="19"/>
      <c r="H793" s="21" t="s">
        <v>294</v>
      </c>
      <c r="I793" s="19" t="s">
        <v>497</v>
      </c>
      <c r="J793" s="19" t="s">
        <v>497</v>
      </c>
      <c r="K793" s="19">
        <v>36</v>
      </c>
      <c r="L793" s="19" t="s">
        <v>46</v>
      </c>
      <c r="M793" s="23" t="s">
        <v>503</v>
      </c>
      <c r="N793" s="21">
        <v>30484364</v>
      </c>
      <c r="O793" s="21" t="s">
        <v>687</v>
      </c>
      <c r="P793" s="21"/>
      <c r="Q793" s="23" t="s">
        <v>579</v>
      </c>
      <c r="R793" s="152"/>
      <c r="S793" s="26">
        <v>230000000</v>
      </c>
      <c r="T793" s="30">
        <v>226000000</v>
      </c>
      <c r="U793" s="30">
        <v>4000000</v>
      </c>
      <c r="V793" s="286">
        <f t="shared" si="392"/>
        <v>0</v>
      </c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28">
        <v>0</v>
      </c>
      <c r="AI793" s="30">
        <f t="shared" si="393"/>
        <v>4000000</v>
      </c>
      <c r="AJ793" s="30">
        <f t="shared" si="397"/>
        <v>0</v>
      </c>
      <c r="AK793" s="31" t="s">
        <v>78</v>
      </c>
      <c r="AL793" s="32"/>
    </row>
    <row r="794" spans="1:38" s="33" customFormat="1" ht="23.1" hidden="1" customHeight="1" outlineLevel="2">
      <c r="A794" s="19"/>
      <c r="B794" s="19">
        <v>33</v>
      </c>
      <c r="C794" s="19"/>
      <c r="D794" s="19" t="s">
        <v>496</v>
      </c>
      <c r="E794" s="19" t="s">
        <v>34</v>
      </c>
      <c r="F794" s="19" t="s">
        <v>84</v>
      </c>
      <c r="G794" s="19" t="s">
        <v>49</v>
      </c>
      <c r="H794" s="21" t="s">
        <v>516</v>
      </c>
      <c r="I794" s="19" t="s">
        <v>497</v>
      </c>
      <c r="J794" s="19" t="s">
        <v>497</v>
      </c>
      <c r="K794" s="19">
        <v>36</v>
      </c>
      <c r="L794" s="19" t="s">
        <v>46</v>
      </c>
      <c r="M794" s="23" t="s">
        <v>580</v>
      </c>
      <c r="N794" s="209">
        <v>30485056</v>
      </c>
      <c r="O794" s="21"/>
      <c r="P794" s="21"/>
      <c r="Q794" s="23" t="s">
        <v>581</v>
      </c>
      <c r="R794" s="152"/>
      <c r="S794" s="26">
        <v>327800000</v>
      </c>
      <c r="T794" s="30">
        <v>90000000</v>
      </c>
      <c r="U794" s="30">
        <v>50000000</v>
      </c>
      <c r="V794" s="286">
        <f t="shared" si="392"/>
        <v>0</v>
      </c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28">
        <v>0</v>
      </c>
      <c r="AI794" s="30">
        <f t="shared" si="393"/>
        <v>50000000</v>
      </c>
      <c r="AJ794" s="30">
        <f t="shared" si="397"/>
        <v>187800000</v>
      </c>
      <c r="AK794" s="31" t="s">
        <v>78</v>
      </c>
      <c r="AL794" s="32"/>
    </row>
    <row r="795" spans="1:38" s="33" customFormat="1" ht="25.5" hidden="1" customHeight="1" outlineLevel="2">
      <c r="A795" s="19"/>
      <c r="B795" s="19">
        <v>33</v>
      </c>
      <c r="C795" s="19"/>
      <c r="D795" s="19" t="s">
        <v>496</v>
      </c>
      <c r="E795" s="19" t="s">
        <v>34</v>
      </c>
      <c r="F795" s="19" t="s">
        <v>582</v>
      </c>
      <c r="G795" s="19" t="s">
        <v>85</v>
      </c>
      <c r="H795" s="21" t="s">
        <v>85</v>
      </c>
      <c r="I795" s="19" t="s">
        <v>497</v>
      </c>
      <c r="J795" s="19" t="s">
        <v>497</v>
      </c>
      <c r="K795" s="19">
        <v>36</v>
      </c>
      <c r="L795" s="19" t="s">
        <v>46</v>
      </c>
      <c r="M795" s="23" t="s">
        <v>583</v>
      </c>
      <c r="N795" s="21">
        <v>40015599</v>
      </c>
      <c r="O795" s="21" t="s">
        <v>687</v>
      </c>
      <c r="P795" s="21"/>
      <c r="Q795" s="23" t="s">
        <v>584</v>
      </c>
      <c r="R795" s="152"/>
      <c r="S795" s="26">
        <v>200000000</v>
      </c>
      <c r="T795" s="30">
        <v>84385968</v>
      </c>
      <c r="U795" s="30">
        <v>30000000</v>
      </c>
      <c r="V795" s="286">
        <f t="shared" si="392"/>
        <v>0</v>
      </c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28">
        <v>0</v>
      </c>
      <c r="AI795" s="30">
        <f t="shared" si="393"/>
        <v>30000000</v>
      </c>
      <c r="AJ795" s="30">
        <f t="shared" si="397"/>
        <v>85614032</v>
      </c>
      <c r="AK795" s="31" t="s">
        <v>78</v>
      </c>
      <c r="AL795" s="32" t="s">
        <v>429</v>
      </c>
    </row>
    <row r="796" spans="1:38" s="33" customFormat="1" ht="25.5" hidden="1" customHeight="1" outlineLevel="2">
      <c r="A796" s="7"/>
      <c r="B796" s="7"/>
      <c r="C796" s="7"/>
      <c r="D796" s="7"/>
      <c r="E796" s="7"/>
      <c r="F796" s="7"/>
      <c r="G796" s="7"/>
      <c r="H796" s="163"/>
      <c r="I796" s="7"/>
      <c r="J796" s="7"/>
      <c r="K796" s="7"/>
      <c r="L796" s="7"/>
      <c r="M796" s="34"/>
      <c r="N796" s="163"/>
      <c r="O796" s="39"/>
      <c r="P796" s="39"/>
      <c r="Q796" s="243" t="s">
        <v>585</v>
      </c>
      <c r="R796" s="152"/>
      <c r="S796" s="44">
        <f t="shared" ref="S796:AJ796" si="398">SUBTOTAL(9,S774:S795)</f>
        <v>0</v>
      </c>
      <c r="T796" s="44">
        <f t="shared" ref="T796" si="399">SUBTOTAL(9,T774:T795)</f>
        <v>0</v>
      </c>
      <c r="U796" s="44">
        <f t="shared" si="398"/>
        <v>0</v>
      </c>
      <c r="V796" s="44">
        <f t="shared" si="398"/>
        <v>0</v>
      </c>
      <c r="W796" s="44">
        <f t="shared" si="398"/>
        <v>0</v>
      </c>
      <c r="X796" s="44">
        <f t="shared" si="398"/>
        <v>0</v>
      </c>
      <c r="Y796" s="44">
        <f t="shared" si="398"/>
        <v>0</v>
      </c>
      <c r="Z796" s="44">
        <f t="shared" si="398"/>
        <v>0</v>
      </c>
      <c r="AA796" s="44">
        <f t="shared" si="398"/>
        <v>0</v>
      </c>
      <c r="AB796" s="44">
        <f t="shared" si="398"/>
        <v>0</v>
      </c>
      <c r="AC796" s="44">
        <f t="shared" si="398"/>
        <v>0</v>
      </c>
      <c r="AD796" s="44">
        <f t="shared" si="398"/>
        <v>0</v>
      </c>
      <c r="AE796" s="44">
        <f t="shared" si="398"/>
        <v>0</v>
      </c>
      <c r="AF796" s="44">
        <f t="shared" si="398"/>
        <v>0</v>
      </c>
      <c r="AG796" s="44">
        <f t="shared" si="398"/>
        <v>0</v>
      </c>
      <c r="AH796" s="44">
        <v>0</v>
      </c>
      <c r="AI796" s="44">
        <f t="shared" si="398"/>
        <v>0</v>
      </c>
      <c r="AJ796" s="44">
        <f t="shared" si="398"/>
        <v>0</v>
      </c>
      <c r="AK796" s="117"/>
      <c r="AL796" s="32" t="s">
        <v>44</v>
      </c>
    </row>
    <row r="797" spans="1:38" s="34" customFormat="1" ht="10.5" hidden="1" customHeight="1" outlineLevel="2">
      <c r="A797" s="7"/>
      <c r="B797" s="7"/>
      <c r="C797" s="7"/>
      <c r="D797" s="7"/>
      <c r="E797" s="7"/>
      <c r="F797" s="7"/>
      <c r="G797" s="7"/>
      <c r="H797" s="163"/>
      <c r="I797" s="7"/>
      <c r="J797" s="7"/>
      <c r="K797" s="7"/>
      <c r="L797" s="7"/>
      <c r="N797" s="163"/>
      <c r="O797" s="39"/>
      <c r="P797" s="39"/>
      <c r="R797" s="164"/>
      <c r="S797" s="89"/>
      <c r="T797" s="89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117"/>
      <c r="AL797" s="725"/>
    </row>
    <row r="798" spans="1:38" s="33" customFormat="1" ht="25.5" hidden="1" customHeight="1" outlineLevel="2">
      <c r="A798" s="244"/>
      <c r="B798" s="244"/>
      <c r="C798" s="244"/>
      <c r="D798" s="244"/>
      <c r="E798" s="244"/>
      <c r="F798" s="244"/>
      <c r="G798" s="244"/>
      <c r="H798" s="245"/>
      <c r="I798" s="244"/>
      <c r="J798" s="244"/>
      <c r="K798" s="244"/>
      <c r="L798" s="244"/>
      <c r="M798" s="246"/>
      <c r="N798" s="245"/>
      <c r="O798" s="39"/>
      <c r="P798" s="39"/>
      <c r="Q798" s="49" t="s">
        <v>586</v>
      </c>
      <c r="R798" s="247"/>
      <c r="S798" s="89"/>
      <c r="T798" s="89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117"/>
      <c r="AL798" s="34"/>
    </row>
    <row r="799" spans="1:38" s="18" customFormat="1" ht="23.1" hidden="1" customHeight="1" outlineLevel="1">
      <c r="A799" s="19"/>
      <c r="B799" s="19">
        <v>33</v>
      </c>
      <c r="C799" s="19"/>
      <c r="D799" s="19" t="s">
        <v>496</v>
      </c>
      <c r="E799" s="19" t="s">
        <v>69</v>
      </c>
      <c r="F799" s="19" t="s">
        <v>35</v>
      </c>
      <c r="G799" s="19" t="s">
        <v>318</v>
      </c>
      <c r="H799" s="21" t="s">
        <v>294</v>
      </c>
      <c r="I799" s="19" t="s">
        <v>497</v>
      </c>
      <c r="J799" s="19" t="s">
        <v>497</v>
      </c>
      <c r="K799" s="19">
        <v>36</v>
      </c>
      <c r="L799" s="19" t="s">
        <v>46</v>
      </c>
      <c r="M799" s="23" t="s">
        <v>498</v>
      </c>
      <c r="N799" s="21">
        <v>40026513</v>
      </c>
      <c r="O799" s="21"/>
      <c r="P799" s="21"/>
      <c r="Q799" s="23" t="s">
        <v>587</v>
      </c>
      <c r="R799" s="152"/>
      <c r="S799" s="26">
        <v>49960000</v>
      </c>
      <c r="T799" s="30">
        <v>0</v>
      </c>
      <c r="U799" s="30">
        <v>49960000</v>
      </c>
      <c r="V799" s="286">
        <f t="shared" si="392"/>
        <v>0</v>
      </c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28">
        <v>0</v>
      </c>
      <c r="AI799" s="30">
        <f t="shared" si="393"/>
        <v>49960000</v>
      </c>
      <c r="AJ799" s="30">
        <f t="shared" ref="AJ799:AJ806" si="400">+S799-T799-V799-AI799</f>
        <v>0</v>
      </c>
      <c r="AK799" s="31" t="s">
        <v>78</v>
      </c>
      <c r="AL799" s="232"/>
    </row>
    <row r="800" spans="1:38" s="18" customFormat="1" ht="23.1" hidden="1" customHeight="1" outlineLevel="1">
      <c r="A800" s="19"/>
      <c r="B800" s="19">
        <v>33</v>
      </c>
      <c r="C800" s="19"/>
      <c r="D800" s="19" t="s">
        <v>496</v>
      </c>
      <c r="E800" s="19" t="s">
        <v>69</v>
      </c>
      <c r="F800" s="19"/>
      <c r="G800" s="19"/>
      <c r="H800" s="21" t="s">
        <v>508</v>
      </c>
      <c r="I800" s="19" t="s">
        <v>497</v>
      </c>
      <c r="J800" s="19" t="s">
        <v>497</v>
      </c>
      <c r="K800" s="19">
        <v>36</v>
      </c>
      <c r="L800" s="19" t="s">
        <v>46</v>
      </c>
      <c r="M800" s="23" t="s">
        <v>542</v>
      </c>
      <c r="N800" s="21">
        <v>40024244</v>
      </c>
      <c r="O800" s="21"/>
      <c r="P800" s="21"/>
      <c r="Q800" s="23" t="s">
        <v>588</v>
      </c>
      <c r="R800" s="152"/>
      <c r="S800" s="26">
        <v>322800000</v>
      </c>
      <c r="T800" s="30">
        <v>0</v>
      </c>
      <c r="U800" s="30">
        <v>20000000</v>
      </c>
      <c r="V800" s="286">
        <f t="shared" si="392"/>
        <v>0</v>
      </c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28">
        <v>0</v>
      </c>
      <c r="AI800" s="30">
        <f t="shared" si="393"/>
        <v>20000000</v>
      </c>
      <c r="AJ800" s="30">
        <f t="shared" si="400"/>
        <v>302800000</v>
      </c>
      <c r="AK800" s="31" t="s">
        <v>78</v>
      </c>
      <c r="AL800" s="232" t="s">
        <v>494</v>
      </c>
    </row>
    <row r="801" spans="1:38" s="33" customFormat="1" ht="23.1" hidden="1" customHeight="1" outlineLevel="2">
      <c r="A801" s="19"/>
      <c r="B801" s="19">
        <v>33</v>
      </c>
      <c r="C801" s="19"/>
      <c r="D801" s="19" t="s">
        <v>496</v>
      </c>
      <c r="E801" s="19" t="s">
        <v>69</v>
      </c>
      <c r="F801" s="19" t="s">
        <v>84</v>
      </c>
      <c r="G801" s="19" t="s">
        <v>318</v>
      </c>
      <c r="H801" s="21" t="s">
        <v>508</v>
      </c>
      <c r="I801" s="19" t="s">
        <v>497</v>
      </c>
      <c r="J801" s="19" t="s">
        <v>497</v>
      </c>
      <c r="K801" s="19">
        <v>36</v>
      </c>
      <c r="L801" s="19" t="s">
        <v>46</v>
      </c>
      <c r="M801" s="23" t="s">
        <v>542</v>
      </c>
      <c r="N801" s="21">
        <v>40014466</v>
      </c>
      <c r="O801" s="21"/>
      <c r="P801" s="21"/>
      <c r="Q801" s="23" t="s">
        <v>589</v>
      </c>
      <c r="R801" s="152"/>
      <c r="S801" s="26">
        <v>2040000000</v>
      </c>
      <c r="T801" s="30">
        <v>0</v>
      </c>
      <c r="U801" s="30">
        <v>45000000</v>
      </c>
      <c r="V801" s="286">
        <f t="shared" si="392"/>
        <v>0</v>
      </c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28">
        <v>0</v>
      </c>
      <c r="AI801" s="30">
        <f t="shared" si="393"/>
        <v>45000000</v>
      </c>
      <c r="AJ801" s="30">
        <f t="shared" si="400"/>
        <v>1995000000</v>
      </c>
      <c r="AK801" s="31" t="s">
        <v>78</v>
      </c>
      <c r="AL801" s="32"/>
    </row>
    <row r="802" spans="1:38" s="33" customFormat="1" ht="23.1" hidden="1" customHeight="1" outlineLevel="2">
      <c r="A802" s="19"/>
      <c r="B802" s="19">
        <v>33</v>
      </c>
      <c r="C802" s="19"/>
      <c r="D802" s="19" t="s">
        <v>496</v>
      </c>
      <c r="E802" s="19" t="s">
        <v>69</v>
      </c>
      <c r="F802" s="19"/>
      <c r="G802" s="19" t="s">
        <v>318</v>
      </c>
      <c r="H802" s="21" t="s">
        <v>508</v>
      </c>
      <c r="I802" s="19" t="s">
        <v>497</v>
      </c>
      <c r="J802" s="19" t="s">
        <v>497</v>
      </c>
      <c r="K802" s="19">
        <v>36</v>
      </c>
      <c r="L802" s="19" t="s">
        <v>46</v>
      </c>
      <c r="M802" s="23" t="s">
        <v>509</v>
      </c>
      <c r="N802" s="21">
        <v>30485196</v>
      </c>
      <c r="O802" s="21"/>
      <c r="P802" s="21"/>
      <c r="Q802" s="23" t="s">
        <v>591</v>
      </c>
      <c r="R802" s="152"/>
      <c r="S802" s="26">
        <v>359099000</v>
      </c>
      <c r="T802" s="30">
        <v>0</v>
      </c>
      <c r="U802" s="30">
        <v>50000000</v>
      </c>
      <c r="V802" s="286">
        <f t="shared" si="392"/>
        <v>0</v>
      </c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28">
        <v>0</v>
      </c>
      <c r="AI802" s="30">
        <f t="shared" si="393"/>
        <v>50000000</v>
      </c>
      <c r="AJ802" s="30">
        <f t="shared" si="400"/>
        <v>309099000</v>
      </c>
      <c r="AK802" s="31" t="s">
        <v>78</v>
      </c>
      <c r="AL802" s="32" t="s">
        <v>44</v>
      </c>
    </row>
    <row r="803" spans="1:38" s="33" customFormat="1" ht="23.1" hidden="1" customHeight="1" outlineLevel="2">
      <c r="A803" s="19"/>
      <c r="B803" s="19">
        <v>33</v>
      </c>
      <c r="C803" s="19"/>
      <c r="D803" s="19" t="s">
        <v>496</v>
      </c>
      <c r="E803" s="19" t="s">
        <v>69</v>
      </c>
      <c r="F803" s="19"/>
      <c r="G803" s="19" t="s">
        <v>318</v>
      </c>
      <c r="H803" s="21" t="s">
        <v>508</v>
      </c>
      <c r="I803" s="19" t="s">
        <v>497</v>
      </c>
      <c r="J803" s="19" t="s">
        <v>497</v>
      </c>
      <c r="K803" s="19">
        <v>36</v>
      </c>
      <c r="L803" s="19" t="s">
        <v>46</v>
      </c>
      <c r="M803" s="23" t="s">
        <v>509</v>
      </c>
      <c r="N803" s="21">
        <v>40014809</v>
      </c>
      <c r="O803" s="21"/>
      <c r="P803" s="21"/>
      <c r="Q803" s="23" t="s">
        <v>592</v>
      </c>
      <c r="R803" s="152"/>
      <c r="S803" s="26">
        <v>1025998000</v>
      </c>
      <c r="T803" s="30">
        <v>0</v>
      </c>
      <c r="U803" s="30">
        <v>50000000</v>
      </c>
      <c r="V803" s="286">
        <f t="shared" si="392"/>
        <v>0</v>
      </c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28">
        <v>0</v>
      </c>
      <c r="AI803" s="30">
        <f t="shared" si="393"/>
        <v>50000000</v>
      </c>
      <c r="AJ803" s="30">
        <f t="shared" si="400"/>
        <v>975998000</v>
      </c>
      <c r="AK803" s="31" t="s">
        <v>78</v>
      </c>
      <c r="AL803" s="32"/>
    </row>
    <row r="804" spans="1:38" s="18" customFormat="1" ht="23.1" hidden="1" customHeight="1" outlineLevel="1">
      <c r="A804" s="19"/>
      <c r="B804" s="19">
        <v>33</v>
      </c>
      <c r="C804" s="19"/>
      <c r="D804" s="19" t="s">
        <v>496</v>
      </c>
      <c r="E804" s="19" t="s">
        <v>69</v>
      </c>
      <c r="F804" s="19" t="s">
        <v>84</v>
      </c>
      <c r="G804" s="19" t="s">
        <v>293</v>
      </c>
      <c r="H804" s="21" t="s">
        <v>294</v>
      </c>
      <c r="I804" s="19" t="s">
        <v>497</v>
      </c>
      <c r="J804" s="19" t="s">
        <v>497</v>
      </c>
      <c r="K804" s="19">
        <v>36</v>
      </c>
      <c r="L804" s="19" t="s">
        <v>46</v>
      </c>
      <c r="M804" s="23" t="s">
        <v>550</v>
      </c>
      <c r="N804" s="21">
        <v>40017839</v>
      </c>
      <c r="O804" s="21"/>
      <c r="P804" s="21"/>
      <c r="Q804" s="23" t="s">
        <v>593</v>
      </c>
      <c r="R804" s="152"/>
      <c r="S804" s="26">
        <v>100000000</v>
      </c>
      <c r="T804" s="30">
        <v>0</v>
      </c>
      <c r="U804" s="30">
        <v>50000000</v>
      </c>
      <c r="V804" s="286">
        <f t="shared" si="392"/>
        <v>0</v>
      </c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28">
        <v>0</v>
      </c>
      <c r="AI804" s="30">
        <f t="shared" si="393"/>
        <v>50000000</v>
      </c>
      <c r="AJ804" s="30">
        <f t="shared" si="400"/>
        <v>50000000</v>
      </c>
      <c r="AK804" s="31" t="s">
        <v>78</v>
      </c>
      <c r="AL804" s="32"/>
    </row>
    <row r="805" spans="1:38" s="18" customFormat="1" ht="23.1" hidden="1" customHeight="1" outlineLevel="1">
      <c r="A805" s="19"/>
      <c r="B805" s="19">
        <v>33</v>
      </c>
      <c r="C805" s="19"/>
      <c r="D805" s="19" t="s">
        <v>496</v>
      </c>
      <c r="E805" s="19" t="s">
        <v>69</v>
      </c>
      <c r="F805" s="19" t="s">
        <v>35</v>
      </c>
      <c r="G805" s="19" t="s">
        <v>318</v>
      </c>
      <c r="H805" s="21" t="s">
        <v>294</v>
      </c>
      <c r="I805" s="19" t="s">
        <v>497</v>
      </c>
      <c r="J805" s="19" t="s">
        <v>497</v>
      </c>
      <c r="K805" s="19">
        <v>36</v>
      </c>
      <c r="L805" s="19" t="s">
        <v>46</v>
      </c>
      <c r="M805" s="23" t="s">
        <v>594</v>
      </c>
      <c r="N805" s="209">
        <v>40013039</v>
      </c>
      <c r="O805" s="21"/>
      <c r="P805" s="21"/>
      <c r="Q805" s="23" t="s">
        <v>595</v>
      </c>
      <c r="R805" s="152"/>
      <c r="S805" s="26">
        <v>1300000000</v>
      </c>
      <c r="T805" s="30">
        <v>0</v>
      </c>
      <c r="U805" s="30">
        <f>50000000+50000000</f>
        <v>100000000</v>
      </c>
      <c r="V805" s="286">
        <f t="shared" si="392"/>
        <v>0</v>
      </c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28">
        <v>0</v>
      </c>
      <c r="AI805" s="30">
        <f t="shared" si="393"/>
        <v>100000000</v>
      </c>
      <c r="AJ805" s="30">
        <f t="shared" si="400"/>
        <v>1200000000</v>
      </c>
      <c r="AK805" s="31" t="s">
        <v>78</v>
      </c>
      <c r="AL805" s="32" t="s">
        <v>494</v>
      </c>
    </row>
    <row r="806" spans="1:38" s="18" customFormat="1" ht="23.1" hidden="1" customHeight="1" outlineLevel="1">
      <c r="A806" s="19"/>
      <c r="B806" s="19">
        <v>33</v>
      </c>
      <c r="C806" s="19"/>
      <c r="D806" s="19" t="s">
        <v>590</v>
      </c>
      <c r="E806" s="19" t="s">
        <v>69</v>
      </c>
      <c r="F806" s="19" t="s">
        <v>84</v>
      </c>
      <c r="G806" s="19" t="s">
        <v>49</v>
      </c>
      <c r="H806" s="21" t="s">
        <v>61</v>
      </c>
      <c r="I806" s="19" t="s">
        <v>497</v>
      </c>
      <c r="J806" s="19" t="s">
        <v>497</v>
      </c>
      <c r="K806" s="19">
        <v>36</v>
      </c>
      <c r="L806" s="19" t="s">
        <v>590</v>
      </c>
      <c r="M806" s="23" t="s">
        <v>590</v>
      </c>
      <c r="N806" s="209" t="s">
        <v>590</v>
      </c>
      <c r="O806" s="209" t="s">
        <v>686</v>
      </c>
      <c r="P806" s="209"/>
      <c r="Q806" s="23" t="s">
        <v>596</v>
      </c>
      <c r="R806" s="152"/>
      <c r="S806" s="26">
        <v>1577281000</v>
      </c>
      <c r="T806" s="30">
        <v>0</v>
      </c>
      <c r="U806" s="30">
        <v>1577281000</v>
      </c>
      <c r="V806" s="286">
        <f t="shared" si="392"/>
        <v>0</v>
      </c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>
        <f t="shared" si="393"/>
        <v>1577281000</v>
      </c>
      <c r="AJ806" s="30">
        <f t="shared" si="400"/>
        <v>0</v>
      </c>
      <c r="AK806" s="31" t="s">
        <v>78</v>
      </c>
      <c r="AL806" s="32" t="s">
        <v>511</v>
      </c>
    </row>
    <row r="807" spans="1:38" s="18" customFormat="1" ht="23.1" hidden="1" customHeight="1" outlineLevel="1">
      <c r="A807" s="7"/>
      <c r="B807" s="7"/>
      <c r="C807" s="7"/>
      <c r="D807" s="7"/>
      <c r="E807" s="7"/>
      <c r="F807" s="7"/>
      <c r="G807" s="7"/>
      <c r="H807" s="163"/>
      <c r="I807" s="7"/>
      <c r="J807" s="7"/>
      <c r="K807" s="7"/>
      <c r="L807" s="7"/>
      <c r="M807" s="34"/>
      <c r="N807" s="163"/>
      <c r="O807" s="163"/>
      <c r="P807" s="163"/>
      <c r="Q807" s="243" t="s">
        <v>597</v>
      </c>
      <c r="R807" s="248"/>
      <c r="S807" s="44">
        <f>SUBTOTAL(9,S799:S806)</f>
        <v>0</v>
      </c>
      <c r="T807" s="44">
        <f>SUBTOTAL(9,T799:T806)</f>
        <v>0</v>
      </c>
      <c r="U807" s="44">
        <f t="shared" ref="U807" si="401">SUBTOTAL(9,U799:U806)</f>
        <v>0</v>
      </c>
      <c r="V807" s="44">
        <f t="shared" ref="V807:AJ807" si="402">SUBTOTAL(9,V799:V806)</f>
        <v>0</v>
      </c>
      <c r="W807" s="44">
        <f t="shared" si="402"/>
        <v>0</v>
      </c>
      <c r="X807" s="44">
        <f t="shared" si="402"/>
        <v>0</v>
      </c>
      <c r="Y807" s="44">
        <f t="shared" si="402"/>
        <v>0</v>
      </c>
      <c r="Z807" s="44">
        <f t="shared" si="402"/>
        <v>0</v>
      </c>
      <c r="AA807" s="44">
        <f t="shared" si="402"/>
        <v>0</v>
      </c>
      <c r="AB807" s="44">
        <f t="shared" si="402"/>
        <v>0</v>
      </c>
      <c r="AC807" s="44">
        <f t="shared" si="402"/>
        <v>0</v>
      </c>
      <c r="AD807" s="44">
        <f t="shared" si="402"/>
        <v>0</v>
      </c>
      <c r="AE807" s="44">
        <f t="shared" si="402"/>
        <v>0</v>
      </c>
      <c r="AF807" s="44">
        <f t="shared" si="402"/>
        <v>0</v>
      </c>
      <c r="AG807" s="44">
        <f t="shared" si="402"/>
        <v>0</v>
      </c>
      <c r="AH807" s="44">
        <v>0</v>
      </c>
      <c r="AI807" s="44">
        <f t="shared" si="402"/>
        <v>0</v>
      </c>
      <c r="AJ807" s="44">
        <f t="shared" si="402"/>
        <v>0</v>
      </c>
      <c r="AK807" s="117"/>
      <c r="AL807" s="123"/>
    </row>
    <row r="808" spans="1:38" s="38" customFormat="1" ht="10.5" hidden="1" customHeight="1" outlineLevel="1">
      <c r="A808" s="7"/>
      <c r="B808" s="7"/>
      <c r="C808" s="7"/>
      <c r="D808" s="7"/>
      <c r="E808" s="7"/>
      <c r="F808" s="7"/>
      <c r="G808" s="7"/>
      <c r="H808" s="163"/>
      <c r="I808" s="7"/>
      <c r="J808" s="7"/>
      <c r="K808" s="7"/>
      <c r="L808" s="7"/>
      <c r="M808" s="34"/>
      <c r="N808" s="163"/>
      <c r="O808" s="163"/>
      <c r="P808" s="163"/>
      <c r="Q808" s="34"/>
      <c r="R808" s="164"/>
      <c r="S808" s="89"/>
      <c r="T808" s="89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117"/>
    </row>
    <row r="809" spans="1:38" s="38" customFormat="1" ht="26.25" hidden="1" customHeight="1" outlineLevel="1">
      <c r="A809" s="35"/>
      <c r="B809" s="35"/>
      <c r="C809" s="35"/>
      <c r="D809" s="35"/>
      <c r="E809" s="35"/>
      <c r="F809" s="36"/>
      <c r="G809" s="36"/>
      <c r="H809" s="37"/>
      <c r="I809" s="36"/>
      <c r="J809" s="36"/>
      <c r="K809" s="36"/>
      <c r="L809" s="35"/>
      <c r="N809" s="39"/>
      <c r="O809" s="39"/>
      <c r="P809" s="39"/>
      <c r="Q809" s="85" t="s">
        <v>598</v>
      </c>
      <c r="R809" s="249"/>
      <c r="S809" s="88">
        <f>S807+S755+S750+S736+S770+S796</f>
        <v>0</v>
      </c>
      <c r="T809" s="88">
        <f>T807+T755+T750+T736+T770+T796</f>
        <v>0</v>
      </c>
      <c r="U809" s="88">
        <f>U807+U755+U750+U736+U770+U796</f>
        <v>0</v>
      </c>
      <c r="V809" s="88">
        <f t="shared" ref="V809:AJ809" si="403">V807+V755+V750+V736+V770+V796</f>
        <v>0</v>
      </c>
      <c r="W809" s="88">
        <f t="shared" si="403"/>
        <v>0</v>
      </c>
      <c r="X809" s="88">
        <f t="shared" si="403"/>
        <v>0</v>
      </c>
      <c r="Y809" s="88">
        <f t="shared" si="403"/>
        <v>0</v>
      </c>
      <c r="Z809" s="88">
        <f t="shared" si="403"/>
        <v>0</v>
      </c>
      <c r="AA809" s="88">
        <f t="shared" si="403"/>
        <v>0</v>
      </c>
      <c r="AB809" s="88">
        <f t="shared" si="403"/>
        <v>0</v>
      </c>
      <c r="AC809" s="88">
        <f t="shared" si="403"/>
        <v>0</v>
      </c>
      <c r="AD809" s="88">
        <f t="shared" si="403"/>
        <v>0</v>
      </c>
      <c r="AE809" s="88">
        <f t="shared" si="403"/>
        <v>0</v>
      </c>
      <c r="AF809" s="88">
        <f t="shared" si="403"/>
        <v>0</v>
      </c>
      <c r="AG809" s="88">
        <f t="shared" si="403"/>
        <v>0</v>
      </c>
      <c r="AH809" s="88">
        <v>0</v>
      </c>
      <c r="AI809" s="88">
        <f t="shared" si="403"/>
        <v>0</v>
      </c>
      <c r="AJ809" s="88">
        <f t="shared" si="403"/>
        <v>0</v>
      </c>
      <c r="AK809" s="45"/>
    </row>
    <row r="810" spans="1:38" s="90" customFormat="1" ht="10.5" hidden="1" customHeight="1">
      <c r="A810" s="36"/>
      <c r="B810" s="82"/>
      <c r="C810" s="82"/>
      <c r="D810" s="36"/>
      <c r="E810" s="36"/>
      <c r="F810" s="36"/>
      <c r="G810" s="36"/>
      <c r="H810" s="37"/>
      <c r="I810" s="36"/>
      <c r="J810" s="36"/>
      <c r="K810" s="36"/>
      <c r="L810" s="82"/>
      <c r="M810" s="84"/>
      <c r="N810" s="83"/>
      <c r="O810" s="83"/>
      <c r="P810" s="83"/>
      <c r="Q810" s="250"/>
      <c r="R810" s="87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117"/>
    </row>
    <row r="811" spans="1:38" s="84" customFormat="1" ht="24.75" hidden="1" customHeight="1">
      <c r="A811" s="251"/>
      <c r="B811" s="252" t="s">
        <v>599</v>
      </c>
      <c r="C811" s="252"/>
      <c r="D811" s="253"/>
      <c r="E811" s="253"/>
      <c r="F811" s="253"/>
      <c r="G811" s="253"/>
      <c r="H811" s="254"/>
      <c r="I811" s="253"/>
      <c r="J811" s="255"/>
      <c r="K811" s="253"/>
      <c r="L811" s="82"/>
      <c r="N811" s="83"/>
      <c r="O811" s="83"/>
      <c r="P811" s="83"/>
      <c r="Q811" s="256" t="s">
        <v>600</v>
      </c>
      <c r="R811" s="111"/>
      <c r="S811" s="88">
        <f t="shared" ref="S811:AJ811" si="404">S809+S724+S690+S587+S387+S167</f>
        <v>80516978364</v>
      </c>
      <c r="T811" s="88">
        <f t="shared" si="404"/>
        <v>5205202393</v>
      </c>
      <c r="U811" s="88">
        <f t="shared" si="404"/>
        <v>16011760875.000031</v>
      </c>
      <c r="V811" s="88">
        <f t="shared" si="404"/>
        <v>3475362579</v>
      </c>
      <c r="W811" s="88">
        <f t="shared" si="404"/>
        <v>0</v>
      </c>
      <c r="X811" s="88">
        <f t="shared" si="404"/>
        <v>0</v>
      </c>
      <c r="Y811" s="88">
        <f t="shared" si="404"/>
        <v>0</v>
      </c>
      <c r="Z811" s="88">
        <f t="shared" si="404"/>
        <v>0</v>
      </c>
      <c r="AA811" s="88">
        <f t="shared" si="404"/>
        <v>0</v>
      </c>
      <c r="AB811" s="88">
        <f t="shared" si="404"/>
        <v>0</v>
      </c>
      <c r="AC811" s="88">
        <f t="shared" si="404"/>
        <v>0</v>
      </c>
      <c r="AD811" s="88">
        <f t="shared" si="404"/>
        <v>0</v>
      </c>
      <c r="AE811" s="88">
        <f t="shared" si="404"/>
        <v>0</v>
      </c>
      <c r="AF811" s="88">
        <f t="shared" si="404"/>
        <v>0</v>
      </c>
      <c r="AG811" s="88">
        <f t="shared" si="404"/>
        <v>0</v>
      </c>
      <c r="AH811" s="88">
        <v>6032412713</v>
      </c>
      <c r="AI811" s="88">
        <f t="shared" si="404"/>
        <v>12536398296.000031</v>
      </c>
      <c r="AJ811" s="88">
        <f t="shared" si="404"/>
        <v>59300015095.999969</v>
      </c>
      <c r="AK811" s="257"/>
    </row>
    <row r="812" spans="1:38" s="16" customFormat="1" ht="8.25" hidden="1" customHeight="1">
      <c r="A812" s="251"/>
      <c r="B812" s="82"/>
      <c r="C812" s="82"/>
      <c r="D812" s="251"/>
      <c r="E812" s="251"/>
      <c r="F812" s="251"/>
      <c r="G812" s="251"/>
      <c r="H812" s="258"/>
      <c r="I812" s="251"/>
      <c r="J812" s="259"/>
      <c r="K812" s="251"/>
      <c r="L812" s="82"/>
      <c r="M812" s="84"/>
      <c r="N812" s="83"/>
      <c r="O812" s="83"/>
      <c r="P812" s="83"/>
      <c r="Q812" s="250"/>
      <c r="R812" s="87"/>
      <c r="S812" s="92"/>
      <c r="T812" s="92"/>
      <c r="U812" s="16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117"/>
    </row>
    <row r="813" spans="1:38" s="16" customFormat="1" ht="25.5" hidden="1" customHeight="1">
      <c r="A813" s="253"/>
      <c r="B813" s="253"/>
      <c r="C813" s="253"/>
      <c r="D813" s="253"/>
      <c r="E813" s="253"/>
      <c r="F813" s="253"/>
      <c r="G813" s="253"/>
      <c r="H813" s="254"/>
      <c r="I813" s="253"/>
      <c r="J813" s="255"/>
      <c r="K813" s="253"/>
      <c r="L813" s="253"/>
      <c r="M813" s="260" t="s">
        <v>0</v>
      </c>
      <c r="N813" s="261"/>
      <c r="O813" s="261"/>
      <c r="P813" s="261"/>
      <c r="Q813" s="262"/>
      <c r="R813" s="263"/>
      <c r="S813" s="264" t="s">
        <v>601</v>
      </c>
      <c r="T813" s="265"/>
      <c r="U813" s="269"/>
      <c r="V813" s="268"/>
      <c r="W813" s="266"/>
      <c r="X813" s="266"/>
      <c r="Y813" s="266"/>
      <c r="Z813" s="266"/>
      <c r="AA813" s="266"/>
      <c r="AB813" s="266"/>
      <c r="AC813" s="266"/>
      <c r="AD813" s="267"/>
      <c r="AE813" s="267"/>
      <c r="AF813" s="266"/>
      <c r="AG813" s="266"/>
      <c r="AH813" s="266"/>
      <c r="AI813" s="268"/>
      <c r="AJ813" s="268"/>
      <c r="AK813" s="270"/>
    </row>
    <row r="814" spans="1:38" s="16" customFormat="1" ht="12" hidden="1" customHeight="1">
      <c r="A814" s="253"/>
      <c r="B814" s="253"/>
      <c r="C814" s="253"/>
      <c r="D814" s="253"/>
      <c r="E814" s="253"/>
      <c r="F814" s="253"/>
      <c r="G814" s="253"/>
      <c r="H814" s="254"/>
      <c r="I814" s="253"/>
      <c r="J814" s="255"/>
      <c r="K814" s="253"/>
      <c r="L814" s="253"/>
      <c r="M814" s="271" t="s">
        <v>602</v>
      </c>
      <c r="N814" s="272"/>
      <c r="O814" s="272"/>
      <c r="P814" s="272"/>
      <c r="Q814" s="273"/>
      <c r="R814" s="274"/>
      <c r="S814" s="275" t="s">
        <v>603</v>
      </c>
      <c r="T814" s="265"/>
      <c r="U814" s="268"/>
      <c r="V814" s="268"/>
      <c r="W814" s="266"/>
      <c r="X814" s="266"/>
      <c r="Y814" s="266"/>
      <c r="Z814" s="266"/>
      <c r="AA814" s="266"/>
      <c r="AB814" s="266"/>
      <c r="AC814" s="266"/>
      <c r="AD814" s="267"/>
      <c r="AE814" s="267"/>
      <c r="AF814" s="266"/>
      <c r="AG814" s="266"/>
      <c r="AH814" s="266"/>
      <c r="AI814" s="268"/>
      <c r="AJ814" s="268"/>
      <c r="AK814" s="276"/>
    </row>
    <row r="815" spans="1:38" s="16" customFormat="1" ht="12" hidden="1" customHeight="1">
      <c r="A815" s="253"/>
      <c r="B815" s="253"/>
      <c r="C815" s="253"/>
      <c r="D815" s="253"/>
      <c r="E815" s="253"/>
      <c r="F815" s="253"/>
      <c r="G815" s="253"/>
      <c r="H815" s="254"/>
      <c r="I815" s="253"/>
      <c r="J815" s="255"/>
      <c r="K815" s="253"/>
      <c r="L815" s="253"/>
      <c r="M815" s="271" t="s">
        <v>604</v>
      </c>
      <c r="N815" s="272"/>
      <c r="O815" s="272"/>
      <c r="P815" s="272"/>
      <c r="Q815" s="273"/>
      <c r="R815" s="274"/>
      <c r="S815" s="275" t="s">
        <v>605</v>
      </c>
      <c r="T815" s="265"/>
      <c r="U815" s="268"/>
      <c r="V815" s="268"/>
      <c r="W815" s="266"/>
      <c r="X815" s="266"/>
      <c r="Y815" s="266"/>
      <c r="Z815" s="266"/>
      <c r="AA815" s="266"/>
      <c r="AB815" s="266"/>
      <c r="AC815" s="266"/>
      <c r="AD815" s="267"/>
      <c r="AE815" s="267"/>
      <c r="AF815" s="266"/>
      <c r="AG815" s="266"/>
      <c r="AH815" s="266"/>
      <c r="AI815" s="268"/>
      <c r="AJ815" s="268"/>
      <c r="AK815" s="276"/>
    </row>
    <row r="816" spans="1:38" s="16" customFormat="1" ht="12" hidden="1" customHeight="1">
      <c r="A816" s="253"/>
      <c r="B816" s="253"/>
      <c r="C816" s="253"/>
      <c r="D816" s="253"/>
      <c r="E816" s="253"/>
      <c r="F816" s="253"/>
      <c r="G816" s="253"/>
      <c r="H816" s="254"/>
      <c r="I816" s="253"/>
      <c r="J816" s="255"/>
      <c r="K816" s="253"/>
      <c r="L816" s="253"/>
      <c r="M816" s="271" t="s">
        <v>606</v>
      </c>
      <c r="N816" s="272"/>
      <c r="O816" s="272"/>
      <c r="P816" s="272"/>
      <c r="Q816" s="273"/>
      <c r="R816" s="274"/>
      <c r="S816" s="275" t="s">
        <v>607</v>
      </c>
      <c r="T816" s="265"/>
      <c r="U816" s="268"/>
      <c r="V816" s="268"/>
      <c r="W816" s="266"/>
      <c r="X816" s="266"/>
      <c r="Y816" s="266"/>
      <c r="Z816" s="266"/>
      <c r="AA816" s="266"/>
      <c r="AB816" s="266"/>
      <c r="AC816" s="266"/>
      <c r="AD816" s="267"/>
      <c r="AE816" s="267"/>
      <c r="AF816" s="266"/>
      <c r="AG816" s="266"/>
      <c r="AH816" s="266"/>
      <c r="AI816" s="268"/>
      <c r="AJ816" s="268"/>
      <c r="AK816" s="276"/>
    </row>
    <row r="817" spans="1:37" s="16" customFormat="1" ht="12" hidden="1" customHeight="1">
      <c r="A817" s="253"/>
      <c r="B817" s="253"/>
      <c r="C817" s="253"/>
      <c r="D817" s="253"/>
      <c r="E817" s="253"/>
      <c r="F817" s="253"/>
      <c r="G817" s="253"/>
      <c r="H817" s="254"/>
      <c r="I817" s="253"/>
      <c r="J817" s="255"/>
      <c r="K817" s="253"/>
      <c r="L817" s="253"/>
      <c r="M817" s="271" t="s">
        <v>608</v>
      </c>
      <c r="N817" s="272"/>
      <c r="O817" s="272"/>
      <c r="P817" s="272"/>
      <c r="Q817" s="273"/>
      <c r="R817" s="274"/>
      <c r="S817" s="275" t="s">
        <v>609</v>
      </c>
      <c r="T817" s="265"/>
      <c r="U817" s="268"/>
      <c r="V817" s="268"/>
      <c r="W817" s="266"/>
      <c r="X817" s="266"/>
      <c r="Y817" s="266"/>
      <c r="Z817" s="266"/>
      <c r="AA817" s="266"/>
      <c r="AB817" s="266"/>
      <c r="AC817" s="266"/>
      <c r="AD817" s="267"/>
      <c r="AE817" s="267"/>
      <c r="AF817" s="266"/>
      <c r="AG817" s="266"/>
      <c r="AH817" s="266"/>
      <c r="AI817" s="268"/>
      <c r="AJ817" s="268"/>
      <c r="AK817" s="276"/>
    </row>
    <row r="818" spans="1:37" s="16" customFormat="1" ht="12" hidden="1" customHeight="1">
      <c r="A818" s="253"/>
      <c r="B818" s="253"/>
      <c r="C818" s="253"/>
      <c r="D818" s="253"/>
      <c r="E818" s="253"/>
      <c r="F818" s="253"/>
      <c r="G818" s="253"/>
      <c r="H818" s="254"/>
      <c r="I818" s="253"/>
      <c r="J818" s="255"/>
      <c r="K818" s="253"/>
      <c r="L818" s="253"/>
      <c r="M818" s="271" t="s">
        <v>610</v>
      </c>
      <c r="N818" s="272"/>
      <c r="O818" s="272"/>
      <c r="P818" s="272"/>
      <c r="Q818" s="273"/>
      <c r="R818" s="274"/>
      <c r="S818" s="277" t="s">
        <v>611</v>
      </c>
      <c r="T818" s="265"/>
      <c r="U818" s="268"/>
      <c r="V818" s="268"/>
      <c r="W818" s="266"/>
      <c r="X818" s="266"/>
      <c r="Y818" s="266"/>
      <c r="Z818" s="266"/>
      <c r="AA818" s="266"/>
      <c r="AB818" s="266"/>
      <c r="AC818" s="266"/>
      <c r="AD818" s="267"/>
      <c r="AE818" s="267"/>
      <c r="AF818" s="266"/>
      <c r="AG818" s="266"/>
      <c r="AH818" s="266"/>
      <c r="AI818" s="268"/>
      <c r="AJ818" s="268"/>
      <c r="AK818" s="276"/>
    </row>
    <row r="819" spans="1:37" s="16" customFormat="1" ht="12" hidden="1" customHeight="1">
      <c r="A819" s="253"/>
      <c r="B819" s="253"/>
      <c r="C819" s="253"/>
      <c r="D819" s="253"/>
      <c r="E819" s="253"/>
      <c r="F819" s="253"/>
      <c r="G819" s="253"/>
      <c r="H819" s="254"/>
      <c r="I819" s="253"/>
      <c r="J819" s="255"/>
      <c r="K819" s="253"/>
      <c r="L819" s="253"/>
      <c r="M819" s="271" t="s">
        <v>612</v>
      </c>
      <c r="N819" s="272"/>
      <c r="O819" s="272"/>
      <c r="P819" s="272"/>
      <c r="Q819" s="273"/>
      <c r="R819" s="274"/>
      <c r="S819" s="277" t="s">
        <v>613</v>
      </c>
      <c r="T819" s="265"/>
      <c r="U819" s="268"/>
      <c r="V819" s="268"/>
      <c r="W819" s="266"/>
      <c r="X819" s="266"/>
      <c r="Y819" s="266"/>
      <c r="Z819" s="266"/>
      <c r="AA819" s="266"/>
      <c r="AB819" s="266"/>
      <c r="AC819" s="266"/>
      <c r="AD819" s="267"/>
      <c r="AE819" s="267"/>
      <c r="AF819" s="266"/>
      <c r="AG819" s="266"/>
      <c r="AH819" s="266"/>
      <c r="AI819" s="268"/>
      <c r="AJ819" s="268"/>
      <c r="AK819" s="276"/>
    </row>
  </sheetData>
  <autoFilter ref="A1:AP819">
    <filterColumn colId="16">
      <colorFilter dxfId="0"/>
    </filterColumn>
  </autoFilter>
  <conditionalFormatting sqref="N154:P154">
    <cfRule type="duplicateValues" dxfId="29" priority="19"/>
  </conditionalFormatting>
  <conditionalFormatting sqref="N78:P78">
    <cfRule type="duplicateValues" dxfId="28" priority="20"/>
  </conditionalFormatting>
  <conditionalFormatting sqref="N224:P224">
    <cfRule type="duplicateValues" dxfId="27" priority="21"/>
  </conditionalFormatting>
  <conditionalFormatting sqref="N393:P393">
    <cfRule type="duplicateValues" dxfId="26" priority="22"/>
  </conditionalFormatting>
  <conditionalFormatting sqref="N397:P397">
    <cfRule type="duplicateValues" dxfId="25" priority="23"/>
  </conditionalFormatting>
  <conditionalFormatting sqref="N398:P398">
    <cfRule type="duplicateValues" dxfId="24" priority="24"/>
  </conditionalFormatting>
  <conditionalFormatting sqref="N436:P436">
    <cfRule type="duplicateValues" dxfId="23" priority="25"/>
  </conditionalFormatting>
  <conditionalFormatting sqref="N491:P491">
    <cfRule type="duplicateValues" dxfId="22" priority="26"/>
  </conditionalFormatting>
  <conditionalFormatting sqref="N564:P564">
    <cfRule type="duplicateValues" dxfId="21" priority="27"/>
  </conditionalFormatting>
  <conditionalFormatting sqref="N677:P677">
    <cfRule type="duplicateValues" dxfId="20" priority="28"/>
  </conditionalFormatting>
  <conditionalFormatting sqref="N774:P774">
    <cfRule type="duplicateValues" dxfId="19" priority="29"/>
  </conditionalFormatting>
  <conditionalFormatting sqref="N775:P775">
    <cfRule type="duplicateValues" dxfId="18" priority="30"/>
  </conditionalFormatting>
  <conditionalFormatting sqref="N82:N85">
    <cfRule type="duplicateValues" dxfId="17" priority="31"/>
  </conditionalFormatting>
  <conditionalFormatting sqref="N31:P31">
    <cfRule type="duplicateValues" dxfId="16" priority="32"/>
  </conditionalFormatting>
  <conditionalFormatting sqref="N791:P793 N761:P761">
    <cfRule type="duplicateValues" dxfId="15" priority="33"/>
  </conditionalFormatting>
  <conditionalFormatting sqref="N661">
    <cfRule type="duplicateValues" dxfId="14" priority="35"/>
  </conditionalFormatting>
  <conditionalFormatting sqref="N279:N280 N276">
    <cfRule type="duplicateValues" dxfId="13" priority="36"/>
  </conditionalFormatting>
  <conditionalFormatting sqref="N507:N508">
    <cfRule type="duplicateValues" dxfId="12" priority="38"/>
  </conditionalFormatting>
  <printOptions horizontalCentered="1"/>
  <pageMargins left="0.23622047244094491" right="0.23622047244094491" top="0.5" bottom="1.48" header="0.31496062992125984" footer="0.31496062992125984"/>
  <pageSetup paperSize="305" scale="33" orientation="landscape" r:id="rId1"/>
  <headerFooter>
    <oddHeader>&amp;L&amp;10              GOBIERNO REGIONAL DE LOS LAGOS
DIVISIÓN DE PRESUPUESTO E INVERSIÓN REGIONAL&amp;C&amp;"-,Negrita"&amp;24PRESUPUESTO FNDR 2021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2"/>
  <sheetViews>
    <sheetView view="pageBreakPreview" topLeftCell="J1" zoomScale="50" zoomScaleNormal="50" zoomScaleSheetLayoutView="50" workbookViewId="0">
      <pane ySplit="2" topLeftCell="A42" activePane="bottomLeft" state="frozen"/>
      <selection pane="bottomLeft" activeCell="K7" sqref="K7"/>
    </sheetView>
  </sheetViews>
  <sheetFormatPr baseColWidth="10" defaultColWidth="11" defaultRowHeight="15" outlineLevelRow="2"/>
  <cols>
    <col min="1" max="1" width="11.42578125" style="680" customWidth="1"/>
    <col min="2" max="2" width="9.42578125" style="680" hidden="1" customWidth="1"/>
    <col min="3" max="3" width="19.140625" style="681" hidden="1" customWidth="1"/>
    <col min="4" max="4" width="17.85546875" style="680" hidden="1" customWidth="1"/>
    <col min="5" max="5" width="32.7109375" style="680" hidden="1" customWidth="1"/>
    <col min="6" max="6" width="16" style="680" hidden="1" customWidth="1"/>
    <col min="7" max="7" width="28.42578125" style="682" hidden="1" customWidth="1"/>
    <col min="8" max="8" width="14.28515625" style="680" hidden="1" customWidth="1"/>
    <col min="9" max="9" width="11.85546875" style="680" hidden="1" customWidth="1"/>
    <col min="10" max="10" width="17.7109375" style="653" customWidth="1"/>
    <col min="11" max="11" width="16.42578125" style="683" customWidth="1"/>
    <col min="12" max="12" width="31.140625" style="681" customWidth="1"/>
    <col min="13" max="13" width="142" style="653" customWidth="1"/>
    <col min="14" max="14" width="26.140625" style="684" hidden="1" customWidth="1"/>
    <col min="15" max="15" width="2.7109375" style="685" customWidth="1"/>
    <col min="16" max="17" width="27.28515625" style="686" customWidth="1"/>
    <col min="18" max="18" width="2.7109375" style="687" customWidth="1"/>
    <col min="19" max="19" width="26.5703125" style="689" customWidth="1"/>
    <col min="20" max="20" width="25.28515625" style="689" customWidth="1"/>
    <col min="21" max="21" width="27.85546875" style="689" customWidth="1"/>
    <col min="22" max="23" width="25.28515625" style="689" hidden="1" customWidth="1"/>
    <col min="24" max="25" width="24.7109375" style="689" hidden="1" customWidth="1"/>
    <col min="26" max="26" width="24.28515625" style="689" hidden="1" customWidth="1"/>
    <col min="27" max="28" width="26.140625" style="689" hidden="1" customWidth="1"/>
    <col min="29" max="30" width="26.140625" style="690" hidden="1" customWidth="1"/>
    <col min="31" max="33" width="26.140625" style="689" hidden="1" customWidth="1"/>
    <col min="34" max="34" width="2.7109375" style="687" customWidth="1"/>
    <col min="35" max="35" width="27.28515625" style="689" customWidth="1"/>
    <col min="36" max="36" width="11.28515625" style="691" customWidth="1"/>
    <col min="37" max="37" width="14.28515625" style="691" hidden="1" customWidth="1"/>
    <col min="38" max="38" width="55" style="653" customWidth="1"/>
    <col min="39" max="39" width="2.7109375" style="653" customWidth="1"/>
    <col min="40" max="40" width="17.28515625" style="653" customWidth="1"/>
    <col min="41" max="16384" width="11" style="653"/>
  </cols>
  <sheetData>
    <row r="1" spans="1:39" s="611" customFormat="1" ht="56.25" customHeight="1">
      <c r="A1" s="599"/>
      <c r="B1" s="599"/>
      <c r="C1" s="599"/>
      <c r="D1" s="600"/>
      <c r="E1" s="600"/>
      <c r="F1" s="600"/>
      <c r="G1" s="601"/>
      <c r="H1" s="600"/>
      <c r="I1" s="599"/>
      <c r="J1" s="599"/>
      <c r="K1" s="602"/>
      <c r="L1" s="603"/>
      <c r="M1" s="599"/>
      <c r="N1" s="604"/>
      <c r="O1" s="605"/>
      <c r="P1" s="606"/>
      <c r="Q1" s="606"/>
      <c r="R1" s="607"/>
      <c r="S1" s="767" t="s">
        <v>740</v>
      </c>
      <c r="T1" s="768"/>
      <c r="U1" s="76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9"/>
      <c r="AI1" s="610"/>
      <c r="AJ1" s="599"/>
      <c r="AK1" s="603"/>
      <c r="AL1" s="599"/>
    </row>
    <row r="2" spans="1:39" s="623" customFormat="1" ht="167.25" customHeight="1">
      <c r="A2" s="612" t="s">
        <v>1</v>
      </c>
      <c r="B2" s="613" t="s">
        <v>3</v>
      </c>
      <c r="C2" s="614" t="s">
        <v>642</v>
      </c>
      <c r="D2" s="615" t="s">
        <v>4</v>
      </c>
      <c r="E2" s="616" t="s">
        <v>5</v>
      </c>
      <c r="F2" s="616" t="s">
        <v>7</v>
      </c>
      <c r="G2" s="616" t="s">
        <v>8</v>
      </c>
      <c r="H2" s="616" t="s">
        <v>9</v>
      </c>
      <c r="I2" s="612" t="s">
        <v>10</v>
      </c>
      <c r="J2" s="614" t="s">
        <v>11</v>
      </c>
      <c r="K2" s="612" t="s">
        <v>12</v>
      </c>
      <c r="L2" s="616" t="s">
        <v>688</v>
      </c>
      <c r="M2" s="614" t="s">
        <v>13</v>
      </c>
      <c r="N2" s="617" t="s">
        <v>14</v>
      </c>
      <c r="O2" s="607">
        <v>5</v>
      </c>
      <c r="P2" s="618" t="s">
        <v>15</v>
      </c>
      <c r="Q2" s="619" t="s">
        <v>16</v>
      </c>
      <c r="R2" s="620">
        <v>2</v>
      </c>
      <c r="S2" s="619" t="s">
        <v>618</v>
      </c>
      <c r="T2" s="619" t="s">
        <v>741</v>
      </c>
      <c r="U2" s="619" t="s">
        <v>17</v>
      </c>
      <c r="V2" s="621" t="s">
        <v>689</v>
      </c>
      <c r="W2" s="621" t="s">
        <v>690</v>
      </c>
      <c r="X2" s="621" t="s">
        <v>18</v>
      </c>
      <c r="Y2" s="621" t="s">
        <v>19</v>
      </c>
      <c r="Z2" s="621" t="s">
        <v>20</v>
      </c>
      <c r="AA2" s="621" t="s">
        <v>21</v>
      </c>
      <c r="AB2" s="621" t="s">
        <v>22</v>
      </c>
      <c r="AC2" s="621" t="s">
        <v>23</v>
      </c>
      <c r="AD2" s="621" t="s">
        <v>24</v>
      </c>
      <c r="AE2" s="621" t="s">
        <v>25</v>
      </c>
      <c r="AF2" s="621" t="s">
        <v>26</v>
      </c>
      <c r="AG2" s="621" t="s">
        <v>27</v>
      </c>
      <c r="AH2" s="620">
        <v>3</v>
      </c>
      <c r="AI2" s="619" t="s">
        <v>691</v>
      </c>
      <c r="AJ2" s="612" t="s">
        <v>692</v>
      </c>
      <c r="AK2" s="615" t="s">
        <v>693</v>
      </c>
      <c r="AL2" s="619" t="s">
        <v>30</v>
      </c>
      <c r="AM2" s="622">
        <v>4</v>
      </c>
    </row>
    <row r="3" spans="1:39" s="635" customFormat="1" ht="23.25">
      <c r="A3" s="624"/>
      <c r="B3" s="625"/>
      <c r="C3" s="626"/>
      <c r="D3" s="627"/>
      <c r="E3" s="628"/>
      <c r="F3" s="628"/>
      <c r="G3" s="628"/>
      <c r="H3" s="628"/>
      <c r="I3" s="624"/>
      <c r="J3" s="626"/>
      <c r="K3" s="624"/>
      <c r="L3" s="628"/>
      <c r="M3" s="626"/>
      <c r="N3" s="629"/>
      <c r="O3" s="630"/>
      <c r="P3" s="631"/>
      <c r="Q3" s="632"/>
      <c r="R3" s="632"/>
      <c r="S3" s="632"/>
      <c r="T3" s="632"/>
      <c r="U3" s="632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2"/>
      <c r="AI3" s="632"/>
      <c r="AJ3" s="624"/>
      <c r="AK3" s="627"/>
      <c r="AL3" s="632"/>
      <c r="AM3" s="634"/>
    </row>
    <row r="4" spans="1:39" s="635" customFormat="1" ht="46.5">
      <c r="A4" s="624"/>
      <c r="B4" s="625"/>
      <c r="C4" s="626"/>
      <c r="D4" s="627"/>
      <c r="E4" s="628"/>
      <c r="F4" s="628"/>
      <c r="G4" s="628"/>
      <c r="H4" s="628"/>
      <c r="I4" s="624"/>
      <c r="J4" s="626"/>
      <c r="K4" s="624"/>
      <c r="L4" s="628"/>
      <c r="M4" s="636" t="s">
        <v>694</v>
      </c>
      <c r="N4" s="629"/>
      <c r="O4" s="630"/>
      <c r="P4" s="631"/>
      <c r="Q4" s="632"/>
      <c r="R4" s="632"/>
      <c r="S4" s="632"/>
      <c r="T4" s="632"/>
      <c r="U4" s="632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2"/>
      <c r="AI4" s="632"/>
      <c r="AJ4" s="624"/>
      <c r="AK4" s="627"/>
      <c r="AL4" s="632"/>
      <c r="AM4" s="634"/>
    </row>
    <row r="5" spans="1:39" s="643" customFormat="1" ht="23.25" customHeight="1">
      <c r="A5" s="637"/>
      <c r="B5" s="638"/>
      <c r="C5" s="630"/>
      <c r="D5" s="637"/>
      <c r="E5" s="630"/>
      <c r="F5" s="630"/>
      <c r="G5" s="639"/>
      <c r="H5" s="630"/>
      <c r="I5" s="637"/>
      <c r="J5" s="630"/>
      <c r="K5" s="639"/>
      <c r="L5" s="630"/>
      <c r="M5" s="630"/>
      <c r="N5" s="640"/>
      <c r="O5" s="640"/>
      <c r="P5" s="641"/>
      <c r="Q5" s="641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42"/>
      <c r="AC5" s="642"/>
      <c r="AD5" s="642"/>
      <c r="AE5" s="642"/>
      <c r="AF5" s="642"/>
      <c r="AG5" s="642"/>
      <c r="AH5" s="642"/>
      <c r="AI5" s="642"/>
      <c r="AJ5" s="637"/>
      <c r="AK5" s="637"/>
      <c r="AL5" s="642"/>
    </row>
    <row r="6" spans="1:39" ht="26.25" customHeight="1" outlineLevel="1">
      <c r="A6" s="644"/>
      <c r="B6" s="644"/>
      <c r="C6" s="645"/>
      <c r="D6" s="644"/>
      <c r="E6" s="644"/>
      <c r="F6" s="644"/>
      <c r="G6" s="644"/>
      <c r="H6" s="644"/>
      <c r="I6" s="644"/>
      <c r="J6" s="646"/>
      <c r="K6" s="645"/>
      <c r="L6" s="645"/>
      <c r="M6" s="647" t="s">
        <v>112</v>
      </c>
      <c r="N6" s="648"/>
      <c r="O6" s="648"/>
      <c r="P6" s="649"/>
      <c r="Q6" s="649"/>
      <c r="R6" s="650"/>
      <c r="S6" s="650"/>
      <c r="T6" s="650"/>
      <c r="U6" s="650"/>
      <c r="V6" s="650"/>
      <c r="W6" s="650"/>
      <c r="X6" s="650"/>
      <c r="Y6" s="650"/>
      <c r="Z6" s="650"/>
      <c r="AA6" s="650"/>
      <c r="AB6" s="650"/>
      <c r="AC6" s="650"/>
      <c r="AD6" s="650"/>
      <c r="AE6" s="650"/>
      <c r="AF6" s="650"/>
      <c r="AG6" s="650"/>
      <c r="AH6" s="650"/>
      <c r="AI6" s="650"/>
      <c r="AJ6" s="651"/>
      <c r="AK6" s="651"/>
      <c r="AL6" s="652"/>
    </row>
    <row r="7" spans="1:39" s="665" customFormat="1" ht="25.5" customHeight="1" outlineLevel="2">
      <c r="A7" s="654">
        <v>31</v>
      </c>
      <c r="B7" s="654" t="s">
        <v>69</v>
      </c>
      <c r="C7" s="655" t="s">
        <v>37</v>
      </c>
      <c r="D7" s="654" t="s">
        <v>84</v>
      </c>
      <c r="E7" s="654" t="s">
        <v>208</v>
      </c>
      <c r="F7" s="654" t="s">
        <v>38</v>
      </c>
      <c r="G7" s="654" t="s">
        <v>113</v>
      </c>
      <c r="H7" s="656">
        <v>4</v>
      </c>
      <c r="I7" s="654" t="s">
        <v>46</v>
      </c>
      <c r="J7" s="657" t="s">
        <v>40</v>
      </c>
      <c r="K7" s="655">
        <v>30359222</v>
      </c>
      <c r="L7" s="655" t="s">
        <v>742</v>
      </c>
      <c r="M7" s="658" t="s">
        <v>695</v>
      </c>
      <c r="N7" s="659" t="s">
        <v>696</v>
      </c>
      <c r="O7" s="706"/>
      <c r="P7" s="660">
        <v>378086000</v>
      </c>
      <c r="Q7" s="660">
        <v>0</v>
      </c>
      <c r="R7" s="707"/>
      <c r="S7" s="661">
        <f>+VLOOKUP(K7,'ESTADO SITUACION'!$N$4:$U$805,7,FALSE)</f>
        <v>0</v>
      </c>
      <c r="T7" s="661">
        <f>+VLOOKUP(K7,'ESTADO SITUACION'!$N$4:$V$805,8,FALSE)</f>
        <v>135229349</v>
      </c>
      <c r="U7" s="661">
        <f>+S7-T7</f>
        <v>-135229349</v>
      </c>
      <c r="V7" s="661">
        <v>0</v>
      </c>
      <c r="W7" s="661">
        <v>0</v>
      </c>
      <c r="X7" s="661">
        <v>0</v>
      </c>
      <c r="Y7" s="661">
        <v>0</v>
      </c>
      <c r="Z7" s="661">
        <v>0</v>
      </c>
      <c r="AA7" s="661">
        <v>0</v>
      </c>
      <c r="AB7" s="661">
        <v>0</v>
      </c>
      <c r="AC7" s="662">
        <v>0</v>
      </c>
      <c r="AD7" s="662">
        <v>0</v>
      </c>
      <c r="AE7" s="662">
        <v>0</v>
      </c>
      <c r="AF7" s="661">
        <v>0</v>
      </c>
      <c r="AG7" s="661">
        <v>0</v>
      </c>
      <c r="AH7" s="707"/>
      <c r="AI7" s="661">
        <f>+P7-Q7-T7-U7</f>
        <v>378086000</v>
      </c>
      <c r="AJ7" s="663" t="s">
        <v>48</v>
      </c>
      <c r="AK7" s="664" t="s">
        <v>697</v>
      </c>
      <c r="AL7" s="663" t="s">
        <v>63</v>
      </c>
    </row>
    <row r="8" spans="1:39" s="677" customFormat="1" ht="24.75" customHeight="1" outlineLevel="1">
      <c r="A8" s="666"/>
      <c r="B8" s="644"/>
      <c r="C8" s="645"/>
      <c r="D8" s="644"/>
      <c r="E8" s="644"/>
      <c r="F8" s="644"/>
      <c r="G8" s="644"/>
      <c r="H8" s="644"/>
      <c r="I8" s="666"/>
      <c r="J8" s="667"/>
      <c r="K8" s="668"/>
      <c r="L8" s="668"/>
      <c r="M8" s="669" t="s">
        <v>123</v>
      </c>
      <c r="N8" s="670"/>
      <c r="O8" s="671"/>
      <c r="P8" s="672">
        <f>+P7</f>
        <v>378086000</v>
      </c>
      <c r="Q8" s="672">
        <f>+Q7</f>
        <v>0</v>
      </c>
      <c r="R8" s="673"/>
      <c r="S8" s="672">
        <f>+S7</f>
        <v>0</v>
      </c>
      <c r="T8" s="672">
        <f t="shared" ref="T8:U8" si="0">+T7</f>
        <v>135229349</v>
      </c>
      <c r="U8" s="672">
        <f t="shared" si="0"/>
        <v>-135229349</v>
      </c>
      <c r="V8" s="672" t="e">
        <f>+#REF!+#REF!+#REF!</f>
        <v>#REF!</v>
      </c>
      <c r="W8" s="672" t="e">
        <f>+#REF!+#REF!+#REF!</f>
        <v>#REF!</v>
      </c>
      <c r="X8" s="672" t="e">
        <f>+#REF!+#REF!+#REF!</f>
        <v>#REF!</v>
      </c>
      <c r="Y8" s="672" t="e">
        <f>+#REF!+#REF!+#REF!</f>
        <v>#REF!</v>
      </c>
      <c r="Z8" s="672" t="e">
        <f>+#REF!+#REF!+#REF!</f>
        <v>#REF!</v>
      </c>
      <c r="AA8" s="672" t="e">
        <f>+#REF!+#REF!+#REF!</f>
        <v>#REF!</v>
      </c>
      <c r="AB8" s="672" t="e">
        <f>+#REF!+#REF!+#REF!</f>
        <v>#REF!</v>
      </c>
      <c r="AC8" s="672">
        <v>178907670</v>
      </c>
      <c r="AD8" s="672">
        <v>24692135</v>
      </c>
      <c r="AE8" s="672">
        <v>0</v>
      </c>
      <c r="AF8" s="672" t="e">
        <f>+#REF!+#REF!+#REF!</f>
        <v>#REF!</v>
      </c>
      <c r="AG8" s="672" t="e">
        <f>+#REF!+#REF!+#REF!</f>
        <v>#REF!</v>
      </c>
      <c r="AH8" s="674"/>
      <c r="AI8" s="672">
        <f>+AI7</f>
        <v>378086000</v>
      </c>
      <c r="AJ8" s="675"/>
      <c r="AK8" s="675"/>
      <c r="AL8" s="676"/>
    </row>
    <row r="9" spans="1:39" ht="18.75" customHeight="1" outlineLevel="1">
      <c r="A9" s="644"/>
      <c r="B9" s="644"/>
      <c r="C9" s="645"/>
      <c r="D9" s="644"/>
      <c r="E9" s="644"/>
      <c r="F9" s="644"/>
      <c r="G9" s="644"/>
      <c r="H9" s="644"/>
      <c r="I9" s="644"/>
      <c r="J9" s="646"/>
      <c r="K9" s="645"/>
      <c r="L9" s="645"/>
      <c r="M9" s="646"/>
      <c r="N9" s="648"/>
      <c r="O9" s="648"/>
      <c r="P9" s="649"/>
      <c r="Q9" s="649"/>
      <c r="R9" s="650"/>
      <c r="S9" s="650"/>
      <c r="T9" s="650"/>
      <c r="U9" s="650"/>
      <c r="V9" s="650"/>
      <c r="W9" s="650"/>
      <c r="X9" s="650"/>
      <c r="Y9" s="650"/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1"/>
      <c r="AK9" s="651"/>
      <c r="AL9" s="652"/>
    </row>
    <row r="10" spans="1:39" ht="26.25" customHeight="1" outlineLevel="1">
      <c r="A10" s="644"/>
      <c r="B10" s="644"/>
      <c r="C10" s="645"/>
      <c r="D10" s="644"/>
      <c r="E10" s="644"/>
      <c r="F10" s="644"/>
      <c r="G10" s="644"/>
      <c r="H10" s="644"/>
      <c r="I10" s="644"/>
      <c r="J10" s="646"/>
      <c r="K10" s="645"/>
      <c r="L10" s="645"/>
      <c r="M10" s="647" t="s">
        <v>223</v>
      </c>
      <c r="N10" s="648"/>
      <c r="O10" s="648"/>
      <c r="P10" s="649"/>
      <c r="Q10" s="649"/>
      <c r="R10" s="650"/>
      <c r="S10" s="650"/>
      <c r="T10" s="650"/>
      <c r="U10" s="650"/>
      <c r="V10" s="650"/>
      <c r="W10" s="650"/>
      <c r="X10" s="650"/>
      <c r="Y10" s="650"/>
      <c r="Z10" s="650"/>
      <c r="AA10" s="650"/>
      <c r="AB10" s="650"/>
      <c r="AC10" s="650"/>
      <c r="AD10" s="650"/>
      <c r="AE10" s="650"/>
      <c r="AF10" s="650"/>
      <c r="AG10" s="650"/>
      <c r="AH10" s="650"/>
      <c r="AI10" s="650"/>
      <c r="AJ10" s="651"/>
      <c r="AK10" s="651"/>
      <c r="AL10" s="652"/>
    </row>
    <row r="11" spans="1:39" s="665" customFormat="1" ht="25.5" customHeight="1" outlineLevel="2">
      <c r="A11" s="654">
        <v>31</v>
      </c>
      <c r="B11" s="654" t="s">
        <v>69</v>
      </c>
      <c r="C11" s="655" t="s">
        <v>37</v>
      </c>
      <c r="D11" s="654" t="s">
        <v>84</v>
      </c>
      <c r="E11" s="654" t="s">
        <v>208</v>
      </c>
      <c r="F11" s="654" t="s">
        <v>38</v>
      </c>
      <c r="G11" s="654" t="s">
        <v>113</v>
      </c>
      <c r="H11" s="656">
        <v>4</v>
      </c>
      <c r="I11" s="654" t="s">
        <v>46</v>
      </c>
      <c r="J11" s="657" t="s">
        <v>40</v>
      </c>
      <c r="K11" s="655">
        <v>40005972</v>
      </c>
      <c r="L11" s="655" t="s">
        <v>743</v>
      </c>
      <c r="M11" s="658" t="s">
        <v>698</v>
      </c>
      <c r="N11" s="659" t="s">
        <v>696</v>
      </c>
      <c r="O11" s="706"/>
      <c r="P11" s="660">
        <v>410788000</v>
      </c>
      <c r="Q11" s="660">
        <v>0</v>
      </c>
      <c r="R11" s="707"/>
      <c r="S11" s="661">
        <f>+VLOOKUP(K11,'ESTADO SITUACION'!$N$4:$U$805,7,FALSE)</f>
        <v>0</v>
      </c>
      <c r="T11" s="661">
        <f>+VLOOKUP(K11,'ESTADO SITUACION'!$N$4:$V$805,8,FALSE)</f>
        <v>310028677</v>
      </c>
      <c r="U11" s="661">
        <f>+S11-T11</f>
        <v>-310028677</v>
      </c>
      <c r="V11" s="661">
        <v>0</v>
      </c>
      <c r="W11" s="661">
        <v>0</v>
      </c>
      <c r="X11" s="661">
        <v>0</v>
      </c>
      <c r="Y11" s="661">
        <v>0</v>
      </c>
      <c r="Z11" s="661">
        <v>0</v>
      </c>
      <c r="AA11" s="661">
        <v>0</v>
      </c>
      <c r="AB11" s="661">
        <v>0</v>
      </c>
      <c r="AC11" s="662">
        <v>0</v>
      </c>
      <c r="AD11" s="662">
        <v>0</v>
      </c>
      <c r="AE11" s="662">
        <v>0</v>
      </c>
      <c r="AF11" s="661">
        <v>0</v>
      </c>
      <c r="AG11" s="661">
        <v>0</v>
      </c>
      <c r="AH11" s="707"/>
      <c r="AI11" s="661">
        <f>+P11-Q11-T11-U11</f>
        <v>410788000</v>
      </c>
      <c r="AJ11" s="663" t="s">
        <v>48</v>
      </c>
      <c r="AK11" s="664" t="s">
        <v>697</v>
      </c>
      <c r="AL11" s="663" t="s">
        <v>63</v>
      </c>
    </row>
    <row r="12" spans="1:39" s="677" customFormat="1" ht="24.75" customHeight="1" outlineLevel="1">
      <c r="A12" s="666"/>
      <c r="B12" s="644"/>
      <c r="C12" s="645"/>
      <c r="D12" s="644"/>
      <c r="E12" s="644"/>
      <c r="F12" s="644"/>
      <c r="G12" s="644"/>
      <c r="H12" s="644"/>
      <c r="I12" s="666"/>
      <c r="J12" s="667"/>
      <c r="K12" s="668"/>
      <c r="L12" s="668"/>
      <c r="M12" s="669" t="s">
        <v>123</v>
      </c>
      <c r="N12" s="670"/>
      <c r="O12" s="671"/>
      <c r="P12" s="672">
        <f>+P11</f>
        <v>410788000</v>
      </c>
      <c r="Q12" s="672">
        <f>+Q11</f>
        <v>0</v>
      </c>
      <c r="R12" s="673"/>
      <c r="S12" s="672">
        <f>+S11</f>
        <v>0</v>
      </c>
      <c r="T12" s="672">
        <f t="shared" ref="T12:U12" si="1">+T11</f>
        <v>310028677</v>
      </c>
      <c r="U12" s="672">
        <f t="shared" si="1"/>
        <v>-310028677</v>
      </c>
      <c r="V12" s="672" t="e">
        <f>+#REF!+#REF!+#REF!</f>
        <v>#REF!</v>
      </c>
      <c r="W12" s="672" t="e">
        <f>+#REF!+#REF!+#REF!</f>
        <v>#REF!</v>
      </c>
      <c r="X12" s="672" t="e">
        <f>+#REF!+#REF!+#REF!</f>
        <v>#REF!</v>
      </c>
      <c r="Y12" s="672" t="e">
        <f>+#REF!+#REF!+#REF!</f>
        <v>#REF!</v>
      </c>
      <c r="Z12" s="672" t="e">
        <f>+#REF!+#REF!+#REF!</f>
        <v>#REF!</v>
      </c>
      <c r="AA12" s="672" t="e">
        <f>+#REF!+#REF!+#REF!</f>
        <v>#REF!</v>
      </c>
      <c r="AB12" s="672" t="e">
        <f>+#REF!+#REF!+#REF!</f>
        <v>#REF!</v>
      </c>
      <c r="AC12" s="672">
        <v>178907670</v>
      </c>
      <c r="AD12" s="672">
        <v>24692135</v>
      </c>
      <c r="AE12" s="672">
        <v>0</v>
      </c>
      <c r="AF12" s="672" t="e">
        <f>+#REF!+#REF!+#REF!</f>
        <v>#REF!</v>
      </c>
      <c r="AG12" s="672" t="e">
        <f>+#REF!+#REF!+#REF!</f>
        <v>#REF!</v>
      </c>
      <c r="AH12" s="674"/>
      <c r="AI12" s="672">
        <f>+AI11</f>
        <v>410788000</v>
      </c>
      <c r="AJ12" s="675"/>
      <c r="AK12" s="675"/>
      <c r="AL12" s="676"/>
    </row>
    <row r="13" spans="1:39" ht="18.75" customHeight="1" outlineLevel="1">
      <c r="A13" s="644"/>
      <c r="B13" s="644"/>
      <c r="C13" s="645"/>
      <c r="D13" s="644"/>
      <c r="E13" s="644"/>
      <c r="F13" s="644"/>
      <c r="G13" s="644"/>
      <c r="H13" s="644"/>
      <c r="I13" s="644"/>
      <c r="J13" s="646"/>
      <c r="K13" s="645"/>
      <c r="L13" s="645"/>
      <c r="M13" s="646"/>
      <c r="N13" s="648"/>
      <c r="O13" s="648"/>
      <c r="P13" s="649"/>
      <c r="Q13" s="649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50"/>
      <c r="AE13" s="650"/>
      <c r="AF13" s="650"/>
      <c r="AG13" s="650"/>
      <c r="AH13" s="650"/>
      <c r="AI13" s="650"/>
      <c r="AJ13" s="651"/>
      <c r="AK13" s="651"/>
      <c r="AL13" s="652"/>
    </row>
    <row r="14" spans="1:39" ht="26.25" customHeight="1" outlineLevel="1">
      <c r="A14" s="644"/>
      <c r="B14" s="644"/>
      <c r="C14" s="645"/>
      <c r="D14" s="644"/>
      <c r="E14" s="644"/>
      <c r="F14" s="644"/>
      <c r="G14" s="644"/>
      <c r="H14" s="644"/>
      <c r="I14" s="644"/>
      <c r="J14" s="646"/>
      <c r="K14" s="645"/>
      <c r="L14" s="645"/>
      <c r="M14" s="647" t="s">
        <v>188</v>
      </c>
      <c r="N14" s="648"/>
      <c r="O14" s="648"/>
      <c r="P14" s="649"/>
      <c r="Q14" s="649"/>
      <c r="R14" s="650"/>
      <c r="S14" s="650"/>
      <c r="T14" s="650"/>
      <c r="U14" s="650"/>
      <c r="V14" s="650"/>
      <c r="W14" s="650"/>
      <c r="X14" s="650"/>
      <c r="Y14" s="650"/>
      <c r="Z14" s="650"/>
      <c r="AA14" s="650"/>
      <c r="AB14" s="650"/>
      <c r="AC14" s="650"/>
      <c r="AD14" s="650"/>
      <c r="AE14" s="650"/>
      <c r="AF14" s="650"/>
      <c r="AG14" s="650"/>
      <c r="AH14" s="650"/>
      <c r="AI14" s="650"/>
      <c r="AJ14" s="651"/>
      <c r="AK14" s="651"/>
      <c r="AL14" s="652"/>
    </row>
    <row r="15" spans="1:39" s="665" customFormat="1" ht="25.5" customHeight="1" outlineLevel="2">
      <c r="A15" s="654">
        <v>31</v>
      </c>
      <c r="B15" s="654" t="s">
        <v>69</v>
      </c>
      <c r="C15" s="655" t="s">
        <v>158</v>
      </c>
      <c r="D15" s="654" t="s">
        <v>84</v>
      </c>
      <c r="E15" s="654" t="s">
        <v>208</v>
      </c>
      <c r="F15" s="654" t="s">
        <v>38</v>
      </c>
      <c r="G15" s="654" t="s">
        <v>113</v>
      </c>
      <c r="H15" s="656">
        <v>4</v>
      </c>
      <c r="I15" s="654" t="s">
        <v>46</v>
      </c>
      <c r="J15" s="657" t="s">
        <v>40</v>
      </c>
      <c r="K15" s="655">
        <v>30479286</v>
      </c>
      <c r="L15" s="655"/>
      <c r="M15" s="658" t="s">
        <v>699</v>
      </c>
      <c r="N15" s="659" t="s">
        <v>700</v>
      </c>
      <c r="O15" s="706"/>
      <c r="P15" s="660">
        <v>341707000</v>
      </c>
      <c r="Q15" s="660">
        <v>0</v>
      </c>
      <c r="R15" s="707"/>
      <c r="S15" s="661">
        <f>+VLOOKUP(K15,'ESTADO SITUACION'!$N$4:$U$805,7,FALSE)</f>
        <v>0</v>
      </c>
      <c r="T15" s="661">
        <f>+VLOOKUP(K15,'ESTADO SITUACION'!$N$4:$V$805,8,FALSE)</f>
        <v>100085350</v>
      </c>
      <c r="U15" s="661">
        <f>+S15-T15</f>
        <v>-100085350</v>
      </c>
      <c r="V15" s="661">
        <v>0</v>
      </c>
      <c r="W15" s="661">
        <v>0</v>
      </c>
      <c r="X15" s="661">
        <v>0</v>
      </c>
      <c r="Y15" s="661">
        <v>0</v>
      </c>
      <c r="Z15" s="661">
        <v>0</v>
      </c>
      <c r="AA15" s="661">
        <v>0</v>
      </c>
      <c r="AB15" s="661">
        <v>0</v>
      </c>
      <c r="AC15" s="662">
        <v>0</v>
      </c>
      <c r="AD15" s="662">
        <v>0</v>
      </c>
      <c r="AE15" s="662">
        <v>0</v>
      </c>
      <c r="AF15" s="661">
        <v>0</v>
      </c>
      <c r="AG15" s="661">
        <v>0</v>
      </c>
      <c r="AH15" s="707"/>
      <c r="AI15" s="661">
        <f>+P15-Q15-T15-U15</f>
        <v>341707000</v>
      </c>
      <c r="AJ15" s="663" t="s">
        <v>48</v>
      </c>
      <c r="AK15" s="664" t="s">
        <v>697</v>
      </c>
      <c r="AL15" s="663" t="s">
        <v>701</v>
      </c>
    </row>
    <row r="16" spans="1:39" s="677" customFormat="1" ht="24.75" customHeight="1" outlineLevel="1">
      <c r="A16" s="666"/>
      <c r="B16" s="644"/>
      <c r="C16" s="645"/>
      <c r="D16" s="644"/>
      <c r="E16" s="644"/>
      <c r="F16" s="644"/>
      <c r="G16" s="644"/>
      <c r="H16" s="644"/>
      <c r="I16" s="666"/>
      <c r="J16" s="667"/>
      <c r="K16" s="668"/>
      <c r="L16" s="668"/>
      <c r="M16" s="669" t="s">
        <v>123</v>
      </c>
      <c r="N16" s="670"/>
      <c r="O16" s="671"/>
      <c r="P16" s="672">
        <f>+P15</f>
        <v>341707000</v>
      </c>
      <c r="Q16" s="672">
        <f>+Q15</f>
        <v>0</v>
      </c>
      <c r="R16" s="673"/>
      <c r="S16" s="672">
        <f>+S15</f>
        <v>0</v>
      </c>
      <c r="T16" s="672">
        <f t="shared" ref="T16:U16" si="2">+T15</f>
        <v>100085350</v>
      </c>
      <c r="U16" s="672">
        <f t="shared" si="2"/>
        <v>-100085350</v>
      </c>
      <c r="V16" s="672" t="e">
        <f>+#REF!+#REF!+#REF!</f>
        <v>#REF!</v>
      </c>
      <c r="W16" s="672" t="e">
        <f>+#REF!+#REF!+#REF!</f>
        <v>#REF!</v>
      </c>
      <c r="X16" s="672" t="e">
        <f>+#REF!+#REF!+#REF!</f>
        <v>#REF!</v>
      </c>
      <c r="Y16" s="672" t="e">
        <f>+#REF!+#REF!+#REF!</f>
        <v>#REF!</v>
      </c>
      <c r="Z16" s="672" t="e">
        <f>+#REF!+#REF!+#REF!</f>
        <v>#REF!</v>
      </c>
      <c r="AA16" s="672" t="e">
        <f>+#REF!+#REF!+#REF!</f>
        <v>#REF!</v>
      </c>
      <c r="AB16" s="672" t="e">
        <f>+#REF!+#REF!+#REF!</f>
        <v>#REF!</v>
      </c>
      <c r="AC16" s="672">
        <v>178907670</v>
      </c>
      <c r="AD16" s="672">
        <v>24692135</v>
      </c>
      <c r="AE16" s="672">
        <v>0</v>
      </c>
      <c r="AF16" s="672" t="e">
        <f>+#REF!+#REF!+#REF!</f>
        <v>#REF!</v>
      </c>
      <c r="AG16" s="672" t="e">
        <f>+#REF!+#REF!+#REF!</f>
        <v>#REF!</v>
      </c>
      <c r="AH16" s="674"/>
      <c r="AI16" s="672">
        <f>+AI15</f>
        <v>341707000</v>
      </c>
      <c r="AJ16" s="675"/>
      <c r="AK16" s="675"/>
      <c r="AL16" s="676"/>
    </row>
    <row r="17" spans="1:40" ht="18.75" customHeight="1" outlineLevel="1">
      <c r="A17" s="644"/>
      <c r="B17" s="644"/>
      <c r="C17" s="645"/>
      <c r="D17" s="644"/>
      <c r="E17" s="644"/>
      <c r="F17" s="644"/>
      <c r="G17" s="644"/>
      <c r="H17" s="644"/>
      <c r="I17" s="644"/>
      <c r="J17" s="646"/>
      <c r="K17" s="645"/>
      <c r="L17" s="645"/>
      <c r="M17" s="646"/>
      <c r="N17" s="648"/>
      <c r="O17" s="648"/>
      <c r="P17" s="649"/>
      <c r="Q17" s="649"/>
      <c r="R17" s="650"/>
      <c r="S17" s="650"/>
      <c r="T17" s="650"/>
      <c r="U17" s="650"/>
      <c r="V17" s="650"/>
      <c r="W17" s="650"/>
      <c r="X17" s="650"/>
      <c r="Y17" s="650"/>
      <c r="Z17" s="650"/>
      <c r="AA17" s="650"/>
      <c r="AB17" s="650"/>
      <c r="AC17" s="650"/>
      <c r="AD17" s="650"/>
      <c r="AE17" s="650"/>
      <c r="AF17" s="650"/>
      <c r="AG17" s="650"/>
      <c r="AH17" s="650"/>
      <c r="AI17" s="650"/>
      <c r="AJ17" s="651"/>
      <c r="AK17" s="651"/>
      <c r="AL17" s="652"/>
    </row>
    <row r="18" spans="1:40" ht="26.25" customHeight="1" outlineLevel="1">
      <c r="A18" s="644"/>
      <c r="B18" s="644"/>
      <c r="C18" s="645"/>
      <c r="D18" s="644"/>
      <c r="E18" s="644"/>
      <c r="F18" s="644"/>
      <c r="G18" s="644"/>
      <c r="H18" s="644"/>
      <c r="I18" s="644"/>
      <c r="J18" s="646"/>
      <c r="K18" s="645"/>
      <c r="L18" s="645"/>
      <c r="M18" s="647" t="s">
        <v>199</v>
      </c>
      <c r="N18" s="648"/>
      <c r="O18" s="648"/>
      <c r="P18" s="649"/>
      <c r="Q18" s="649"/>
      <c r="R18" s="650"/>
      <c r="S18" s="650"/>
      <c r="T18" s="650"/>
      <c r="U18" s="650"/>
      <c r="V18" s="650"/>
      <c r="W18" s="650"/>
      <c r="X18" s="650"/>
      <c r="Y18" s="650"/>
      <c r="Z18" s="650"/>
      <c r="AA18" s="650"/>
      <c r="AB18" s="650"/>
      <c r="AC18" s="650"/>
      <c r="AD18" s="650"/>
      <c r="AE18" s="650"/>
      <c r="AF18" s="650"/>
      <c r="AG18" s="650"/>
      <c r="AH18" s="650"/>
      <c r="AI18" s="650"/>
      <c r="AJ18" s="651"/>
      <c r="AK18" s="651"/>
      <c r="AL18" s="652"/>
    </row>
    <row r="19" spans="1:40" s="679" customFormat="1" ht="25.5" customHeight="1" outlineLevel="1">
      <c r="A19" s="654">
        <v>31</v>
      </c>
      <c r="B19" s="654" t="s">
        <v>69</v>
      </c>
      <c r="C19" s="655" t="s">
        <v>208</v>
      </c>
      <c r="D19" s="654" t="s">
        <v>84</v>
      </c>
      <c r="E19" s="654" t="s">
        <v>208</v>
      </c>
      <c r="F19" s="654" t="s">
        <v>173</v>
      </c>
      <c r="G19" s="654" t="s">
        <v>200</v>
      </c>
      <c r="H19" s="656">
        <v>11</v>
      </c>
      <c r="I19" s="654" t="s">
        <v>46</v>
      </c>
      <c r="J19" s="657" t="s">
        <v>40</v>
      </c>
      <c r="K19" s="655">
        <v>40019107</v>
      </c>
      <c r="L19" s="655" t="s">
        <v>744</v>
      </c>
      <c r="M19" s="658" t="s">
        <v>702</v>
      </c>
      <c r="N19" s="659" t="s">
        <v>703</v>
      </c>
      <c r="O19" s="706"/>
      <c r="P19" s="678">
        <v>769101000</v>
      </c>
      <c r="Q19" s="660">
        <v>0</v>
      </c>
      <c r="R19" s="707"/>
      <c r="S19" s="661">
        <f>+VLOOKUP(K19,'ESTADO SITUACION'!$N$4:$U$805,7,FALSE)</f>
        <v>0</v>
      </c>
      <c r="T19" s="661">
        <f>+VLOOKUP(K19,'ESTADO SITUACION'!$N$4:$V$805,8,FALSE)</f>
        <v>400000000</v>
      </c>
      <c r="U19" s="661">
        <f>+S19-T19</f>
        <v>-400000000</v>
      </c>
      <c r="V19" s="661">
        <v>0</v>
      </c>
      <c r="W19" s="661">
        <v>0</v>
      </c>
      <c r="X19" s="661">
        <v>0</v>
      </c>
      <c r="Y19" s="661">
        <v>0</v>
      </c>
      <c r="Z19" s="661">
        <v>0</v>
      </c>
      <c r="AA19" s="661">
        <v>0</v>
      </c>
      <c r="AB19" s="661">
        <v>0</v>
      </c>
      <c r="AC19" s="662">
        <v>0</v>
      </c>
      <c r="AD19" s="662">
        <v>0</v>
      </c>
      <c r="AE19" s="662">
        <v>0</v>
      </c>
      <c r="AF19" s="661">
        <v>0</v>
      </c>
      <c r="AG19" s="661">
        <v>0</v>
      </c>
      <c r="AH19" s="707"/>
      <c r="AI19" s="661">
        <f>+P19-Q19-T19-U19</f>
        <v>769101000</v>
      </c>
      <c r="AJ19" s="663" t="s">
        <v>43</v>
      </c>
      <c r="AK19" s="664" t="s">
        <v>43</v>
      </c>
      <c r="AL19" s="657" t="s">
        <v>739</v>
      </c>
    </row>
    <row r="20" spans="1:40" s="677" customFormat="1" ht="24.75" customHeight="1" outlineLevel="1">
      <c r="A20" s="666"/>
      <c r="B20" s="644"/>
      <c r="C20" s="645"/>
      <c r="D20" s="644"/>
      <c r="E20" s="644"/>
      <c r="F20" s="644"/>
      <c r="G20" s="644"/>
      <c r="H20" s="644"/>
      <c r="I20" s="666"/>
      <c r="J20" s="667"/>
      <c r="K20" s="668"/>
      <c r="L20" s="668"/>
      <c r="M20" s="669" t="s">
        <v>212</v>
      </c>
      <c r="N20" s="670"/>
      <c r="O20" s="671"/>
      <c r="P20" s="672">
        <f>+P19</f>
        <v>769101000</v>
      </c>
      <c r="Q20" s="672">
        <f>+Q19</f>
        <v>0</v>
      </c>
      <c r="R20" s="673"/>
      <c r="S20" s="672">
        <f>+S19</f>
        <v>0</v>
      </c>
      <c r="T20" s="672">
        <f t="shared" ref="T20:U20" si="3">+T19</f>
        <v>400000000</v>
      </c>
      <c r="U20" s="672">
        <f t="shared" si="3"/>
        <v>-400000000</v>
      </c>
      <c r="V20" s="672" t="e">
        <f>+#REF!+#REF!+#REF!</f>
        <v>#REF!</v>
      </c>
      <c r="W20" s="672" t="e">
        <f>+#REF!+#REF!+#REF!</f>
        <v>#REF!</v>
      </c>
      <c r="X20" s="672" t="e">
        <f>+#REF!+#REF!+#REF!</f>
        <v>#REF!</v>
      </c>
      <c r="Y20" s="672" t="e">
        <f>+#REF!+#REF!+#REF!</f>
        <v>#REF!</v>
      </c>
      <c r="Z20" s="672" t="e">
        <f>+#REF!+#REF!+#REF!</f>
        <v>#REF!</v>
      </c>
      <c r="AA20" s="672" t="e">
        <f>+#REF!+#REF!+#REF!</f>
        <v>#REF!</v>
      </c>
      <c r="AB20" s="672" t="e">
        <f>+#REF!+#REF!+#REF!</f>
        <v>#REF!</v>
      </c>
      <c r="AC20" s="672">
        <v>9381246</v>
      </c>
      <c r="AD20" s="672">
        <v>20841695</v>
      </c>
      <c r="AE20" s="672">
        <v>0</v>
      </c>
      <c r="AF20" s="672" t="e">
        <f>+#REF!+#REF!+#REF!</f>
        <v>#REF!</v>
      </c>
      <c r="AG20" s="672" t="e">
        <f>+#REF!+#REF!+#REF!</f>
        <v>#REF!</v>
      </c>
      <c r="AH20" s="674"/>
      <c r="AI20" s="672">
        <f>+AI19</f>
        <v>769101000</v>
      </c>
      <c r="AJ20" s="675"/>
      <c r="AK20" s="675"/>
      <c r="AL20" s="676"/>
    </row>
    <row r="21" spans="1:40" ht="18.75" customHeight="1" outlineLevel="1">
      <c r="A21" s="644"/>
      <c r="B21" s="644"/>
      <c r="C21" s="645"/>
      <c r="D21" s="644"/>
      <c r="E21" s="644"/>
      <c r="F21" s="644"/>
      <c r="G21" s="644"/>
      <c r="H21" s="644"/>
      <c r="I21" s="644"/>
      <c r="J21" s="646"/>
      <c r="K21" s="645"/>
      <c r="L21" s="645"/>
      <c r="M21" s="646"/>
      <c r="N21" s="648"/>
      <c r="O21" s="648"/>
      <c r="P21" s="649"/>
      <c r="Q21" s="649"/>
      <c r="R21" s="650"/>
      <c r="S21" s="650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1"/>
      <c r="AK21" s="651"/>
      <c r="AL21" s="652"/>
    </row>
    <row r="22" spans="1:40" ht="26.25" customHeight="1" outlineLevel="1">
      <c r="A22" s="644"/>
      <c r="B22" s="644"/>
      <c r="C22" s="645"/>
      <c r="D22" s="644"/>
      <c r="E22" s="644"/>
      <c r="F22" s="644"/>
      <c r="G22" s="644"/>
      <c r="H22" s="644"/>
      <c r="I22" s="644"/>
      <c r="J22" s="646"/>
      <c r="K22" s="645"/>
      <c r="L22" s="645"/>
      <c r="M22" s="647" t="s">
        <v>257</v>
      </c>
      <c r="N22" s="648"/>
      <c r="O22" s="648"/>
      <c r="P22" s="649"/>
      <c r="Q22" s="649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1"/>
      <c r="AK22" s="651"/>
      <c r="AL22" s="652"/>
    </row>
    <row r="23" spans="1:40" s="679" customFormat="1" ht="25.5" customHeight="1" outlineLevel="1">
      <c r="A23" s="654">
        <v>31</v>
      </c>
      <c r="B23" s="654" t="s">
        <v>69</v>
      </c>
      <c r="C23" s="655" t="s">
        <v>208</v>
      </c>
      <c r="D23" s="654" t="s">
        <v>84</v>
      </c>
      <c r="E23" s="654" t="s">
        <v>208</v>
      </c>
      <c r="F23" s="654" t="s">
        <v>173</v>
      </c>
      <c r="G23" s="654" t="s">
        <v>258</v>
      </c>
      <c r="H23" s="656">
        <v>16</v>
      </c>
      <c r="I23" s="654" t="s">
        <v>46</v>
      </c>
      <c r="J23" s="657" t="s">
        <v>40</v>
      </c>
      <c r="K23" s="655">
        <v>30485255</v>
      </c>
      <c r="L23" s="655" t="s">
        <v>744</v>
      </c>
      <c r="M23" s="657" t="s">
        <v>704</v>
      </c>
      <c r="N23" s="659" t="s">
        <v>705</v>
      </c>
      <c r="O23" s="706"/>
      <c r="P23" s="678">
        <v>147506000</v>
      </c>
      <c r="Q23" s="660">
        <v>0</v>
      </c>
      <c r="R23" s="707"/>
      <c r="S23" s="661">
        <f>+VLOOKUP(K23,'ESTADO SITUACION'!$N$4:$U$805,7,FALSE)</f>
        <v>0</v>
      </c>
      <c r="T23" s="661">
        <f>+VLOOKUP(K23,'ESTADO SITUACION'!$N$4:$V$805,8,FALSE)</f>
        <v>147506000</v>
      </c>
      <c r="U23" s="661">
        <f>+S23-T23</f>
        <v>-147506000</v>
      </c>
      <c r="V23" s="661">
        <v>0</v>
      </c>
      <c r="W23" s="661">
        <v>0</v>
      </c>
      <c r="X23" s="661">
        <v>0</v>
      </c>
      <c r="Y23" s="661">
        <v>0</v>
      </c>
      <c r="Z23" s="661">
        <v>0</v>
      </c>
      <c r="AA23" s="661">
        <v>0</v>
      </c>
      <c r="AB23" s="661">
        <v>0</v>
      </c>
      <c r="AC23" s="662">
        <v>0</v>
      </c>
      <c r="AD23" s="662">
        <v>0</v>
      </c>
      <c r="AE23" s="662">
        <v>0</v>
      </c>
      <c r="AF23" s="661">
        <v>0</v>
      </c>
      <c r="AG23" s="661">
        <v>0</v>
      </c>
      <c r="AH23" s="707"/>
      <c r="AI23" s="661">
        <f>+P23-Q23-T23-U23</f>
        <v>147506000</v>
      </c>
      <c r="AJ23" s="663" t="s">
        <v>43</v>
      </c>
      <c r="AK23" s="664" t="s">
        <v>706</v>
      </c>
      <c r="AL23" s="663" t="s">
        <v>738</v>
      </c>
    </row>
    <row r="24" spans="1:40" s="677" customFormat="1" ht="24.75" customHeight="1" outlineLevel="1">
      <c r="A24" s="666"/>
      <c r="B24" s="644"/>
      <c r="C24" s="645"/>
      <c r="D24" s="644"/>
      <c r="E24" s="644"/>
      <c r="F24" s="644"/>
      <c r="G24" s="644"/>
      <c r="H24" s="644"/>
      <c r="I24" s="666"/>
      <c r="J24" s="667"/>
      <c r="K24" s="668"/>
      <c r="L24" s="668"/>
      <c r="M24" s="669" t="s">
        <v>264</v>
      </c>
      <c r="N24" s="670"/>
      <c r="O24" s="671"/>
      <c r="P24" s="672">
        <f>+P23</f>
        <v>147506000</v>
      </c>
      <c r="Q24" s="672">
        <f>+Q23</f>
        <v>0</v>
      </c>
      <c r="R24" s="673"/>
      <c r="S24" s="672">
        <f>+S23</f>
        <v>0</v>
      </c>
      <c r="T24" s="672">
        <f t="shared" ref="T24:U24" si="4">+T23</f>
        <v>147506000</v>
      </c>
      <c r="U24" s="672">
        <f t="shared" si="4"/>
        <v>-147506000</v>
      </c>
      <c r="V24" s="672" t="e">
        <f>+#REF!+#REF!+#REF!</f>
        <v>#REF!</v>
      </c>
      <c r="W24" s="672" t="e">
        <f>+#REF!+#REF!+#REF!</f>
        <v>#REF!</v>
      </c>
      <c r="X24" s="672" t="e">
        <f>+#REF!+#REF!+#REF!</f>
        <v>#REF!</v>
      </c>
      <c r="Y24" s="672" t="e">
        <f>+#REF!+#REF!+#REF!</f>
        <v>#REF!</v>
      </c>
      <c r="Z24" s="672" t="e">
        <f>+#REF!+#REF!+#REF!</f>
        <v>#REF!</v>
      </c>
      <c r="AA24" s="672" t="e">
        <f>+#REF!+#REF!+#REF!</f>
        <v>#REF!</v>
      </c>
      <c r="AB24" s="672" t="e">
        <f>+#REF!+#REF!+#REF!</f>
        <v>#REF!</v>
      </c>
      <c r="AC24" s="672">
        <v>59008355</v>
      </c>
      <c r="AD24" s="672">
        <v>27514354</v>
      </c>
      <c r="AE24" s="672">
        <v>78534387</v>
      </c>
      <c r="AF24" s="672" t="e">
        <f>+#REF!+#REF!+#REF!</f>
        <v>#REF!</v>
      </c>
      <c r="AG24" s="672" t="e">
        <f>+#REF!+#REF!+#REF!</f>
        <v>#REF!</v>
      </c>
      <c r="AH24" s="674"/>
      <c r="AI24" s="672">
        <f>+AI23</f>
        <v>147506000</v>
      </c>
      <c r="AJ24" s="675"/>
      <c r="AK24" s="675"/>
      <c r="AL24" s="676"/>
    </row>
    <row r="25" spans="1:40" s="691" customFormat="1" ht="21">
      <c r="A25" s="680"/>
      <c r="B25" s="680"/>
      <c r="C25" s="681"/>
      <c r="D25" s="680"/>
      <c r="E25" s="680"/>
      <c r="F25" s="680"/>
      <c r="G25" s="682"/>
      <c r="H25" s="680"/>
      <c r="I25" s="680"/>
      <c r="J25" s="653"/>
      <c r="K25" s="683"/>
      <c r="L25" s="681"/>
      <c r="M25" s="653"/>
      <c r="N25" s="684"/>
      <c r="O25" s="685"/>
      <c r="P25" s="686"/>
      <c r="Q25" s="686"/>
      <c r="R25" s="687"/>
      <c r="S25" s="688"/>
      <c r="T25" s="689"/>
      <c r="U25" s="689"/>
      <c r="V25" s="689"/>
      <c r="W25" s="689"/>
      <c r="X25" s="689"/>
      <c r="Y25" s="689"/>
      <c r="Z25" s="689"/>
      <c r="AA25" s="689"/>
      <c r="AB25" s="689"/>
      <c r="AC25" s="690"/>
      <c r="AD25" s="690"/>
      <c r="AE25" s="689"/>
      <c r="AF25" s="689"/>
      <c r="AG25" s="689"/>
      <c r="AH25" s="687"/>
      <c r="AI25" s="689"/>
      <c r="AL25" s="653"/>
      <c r="AM25" s="653"/>
      <c r="AN25" s="653"/>
    </row>
    <row r="26" spans="1:40" ht="26.25" customHeight="1" outlineLevel="1">
      <c r="A26" s="644"/>
      <c r="B26" s="644"/>
      <c r="C26" s="645"/>
      <c r="D26" s="644"/>
      <c r="E26" s="644"/>
      <c r="F26" s="644"/>
      <c r="G26" s="644"/>
      <c r="H26" s="644"/>
      <c r="I26" s="644"/>
      <c r="J26" s="646"/>
      <c r="K26" s="645"/>
      <c r="L26" s="645"/>
      <c r="M26" s="647" t="s">
        <v>298</v>
      </c>
      <c r="N26" s="648"/>
      <c r="O26" s="648"/>
      <c r="P26" s="649"/>
      <c r="Q26" s="649"/>
      <c r="R26" s="650"/>
      <c r="S26" s="650"/>
      <c r="T26" s="650"/>
      <c r="U26" s="650"/>
      <c r="V26" s="650"/>
      <c r="W26" s="650"/>
      <c r="X26" s="650"/>
      <c r="Y26" s="650"/>
      <c r="Z26" s="650"/>
      <c r="AA26" s="650"/>
      <c r="AB26" s="650"/>
      <c r="AC26" s="650"/>
      <c r="AD26" s="650"/>
      <c r="AE26" s="650"/>
      <c r="AF26" s="650"/>
      <c r="AG26" s="650"/>
      <c r="AH26" s="650"/>
      <c r="AI26" s="650"/>
      <c r="AJ26" s="651"/>
      <c r="AK26" s="651"/>
      <c r="AL26" s="652"/>
    </row>
    <row r="27" spans="1:40" s="679" customFormat="1" ht="25.5" customHeight="1" outlineLevel="1">
      <c r="A27" s="654">
        <v>31</v>
      </c>
      <c r="B27" s="654" t="s">
        <v>69</v>
      </c>
      <c r="C27" s="655" t="s">
        <v>72</v>
      </c>
      <c r="D27" s="654" t="s">
        <v>35</v>
      </c>
      <c r="E27" s="654" t="s">
        <v>180</v>
      </c>
      <c r="F27" s="654" t="s">
        <v>299</v>
      </c>
      <c r="G27" s="654" t="s">
        <v>300</v>
      </c>
      <c r="H27" s="656">
        <v>19</v>
      </c>
      <c r="I27" s="654" t="s">
        <v>46</v>
      </c>
      <c r="J27" s="657" t="s">
        <v>40</v>
      </c>
      <c r="K27" s="655">
        <v>40017416</v>
      </c>
      <c r="L27" s="655" t="s">
        <v>707</v>
      </c>
      <c r="M27" s="657" t="s">
        <v>307</v>
      </c>
      <c r="N27" s="659" t="s">
        <v>708</v>
      </c>
      <c r="O27" s="706"/>
      <c r="P27" s="660">
        <v>406672000</v>
      </c>
      <c r="Q27" s="660">
        <v>0</v>
      </c>
      <c r="R27" s="707"/>
      <c r="S27" s="661">
        <f>+VLOOKUP(K27,'ESTADO SITUACION'!$N$4:$U$805,7,FALSE)</f>
        <v>0</v>
      </c>
      <c r="T27" s="661">
        <f>+VLOOKUP(K27,'ESTADO SITUACION'!$N$4:$V$805,8,FALSE)</f>
        <v>200000000</v>
      </c>
      <c r="U27" s="661">
        <f>+S27-T27</f>
        <v>-200000000</v>
      </c>
      <c r="V27" s="661"/>
      <c r="W27" s="661"/>
      <c r="X27" s="661"/>
      <c r="Y27" s="661"/>
      <c r="Z27" s="661"/>
      <c r="AA27" s="661"/>
      <c r="AB27" s="661"/>
      <c r="AC27" s="662">
        <v>0</v>
      </c>
      <c r="AD27" s="662">
        <v>0</v>
      </c>
      <c r="AE27" s="662">
        <v>0</v>
      </c>
      <c r="AF27" s="661">
        <v>0</v>
      </c>
      <c r="AG27" s="661">
        <v>0</v>
      </c>
      <c r="AH27" s="707"/>
      <c r="AI27" s="661">
        <f>+P27-Q27-T27-U27</f>
        <v>406672000</v>
      </c>
      <c r="AJ27" s="663" t="s">
        <v>43</v>
      </c>
      <c r="AK27" s="664" t="s">
        <v>43</v>
      </c>
      <c r="AL27" s="657" t="s">
        <v>739</v>
      </c>
    </row>
    <row r="28" spans="1:40" s="679" customFormat="1" ht="25.5" customHeight="1" outlineLevel="1">
      <c r="A28" s="654">
        <v>31</v>
      </c>
      <c r="B28" s="654" t="s">
        <v>69</v>
      </c>
      <c r="C28" s="655" t="s">
        <v>208</v>
      </c>
      <c r="D28" s="654" t="s">
        <v>84</v>
      </c>
      <c r="E28" s="654" t="s">
        <v>208</v>
      </c>
      <c r="F28" s="654" t="s">
        <v>299</v>
      </c>
      <c r="G28" s="654" t="s">
        <v>300</v>
      </c>
      <c r="H28" s="656">
        <v>19</v>
      </c>
      <c r="I28" s="654" t="s">
        <v>46</v>
      </c>
      <c r="J28" s="657" t="s">
        <v>40</v>
      </c>
      <c r="K28" s="655">
        <v>40012136</v>
      </c>
      <c r="L28" s="655" t="s">
        <v>744</v>
      </c>
      <c r="M28" s="657" t="s">
        <v>709</v>
      </c>
      <c r="N28" s="659" t="s">
        <v>708</v>
      </c>
      <c r="O28" s="706"/>
      <c r="P28" s="660">
        <v>189406000</v>
      </c>
      <c r="Q28" s="660">
        <v>0</v>
      </c>
      <c r="R28" s="707"/>
      <c r="S28" s="661">
        <f>+VLOOKUP(K28,'ESTADO SITUACION'!$N$4:$U$805,7,FALSE)</f>
        <v>0</v>
      </c>
      <c r="T28" s="661">
        <f>+VLOOKUP(K28,'ESTADO SITUACION'!$N$4:$V$805,8,FALSE)</f>
        <v>189406000</v>
      </c>
      <c r="U28" s="661">
        <f>+S28-T28</f>
        <v>-189406000</v>
      </c>
      <c r="V28" s="661"/>
      <c r="W28" s="661"/>
      <c r="X28" s="661"/>
      <c r="Y28" s="661"/>
      <c r="Z28" s="661"/>
      <c r="AA28" s="661"/>
      <c r="AB28" s="661"/>
      <c r="AC28" s="662">
        <v>0</v>
      </c>
      <c r="AD28" s="662">
        <v>0</v>
      </c>
      <c r="AE28" s="662">
        <v>0</v>
      </c>
      <c r="AF28" s="661">
        <v>0</v>
      </c>
      <c r="AG28" s="661">
        <v>0</v>
      </c>
      <c r="AH28" s="707"/>
      <c r="AI28" s="661">
        <f>+P28-Q28-T28-U28</f>
        <v>189406000</v>
      </c>
      <c r="AJ28" s="663" t="s">
        <v>43</v>
      </c>
      <c r="AK28" s="664" t="s">
        <v>697</v>
      </c>
      <c r="AL28" s="663" t="s">
        <v>738</v>
      </c>
    </row>
    <row r="29" spans="1:40" s="679" customFormat="1" ht="25.5" customHeight="1" outlineLevel="1">
      <c r="A29" s="654">
        <v>31</v>
      </c>
      <c r="B29" s="654" t="s">
        <v>69</v>
      </c>
      <c r="C29" s="655" t="s">
        <v>208</v>
      </c>
      <c r="D29" s="654" t="s">
        <v>84</v>
      </c>
      <c r="E29" s="654" t="s">
        <v>208</v>
      </c>
      <c r="F29" s="654" t="s">
        <v>299</v>
      </c>
      <c r="G29" s="654" t="s">
        <v>300</v>
      </c>
      <c r="H29" s="656">
        <v>19</v>
      </c>
      <c r="I29" s="654" t="s">
        <v>46</v>
      </c>
      <c r="J29" s="657" t="s">
        <v>40</v>
      </c>
      <c r="K29" s="655">
        <v>40009430</v>
      </c>
      <c r="L29" s="655" t="s">
        <v>744</v>
      </c>
      <c r="M29" s="657" t="s">
        <v>710</v>
      </c>
      <c r="N29" s="659" t="s">
        <v>711</v>
      </c>
      <c r="O29" s="706"/>
      <c r="P29" s="678">
        <v>310199000</v>
      </c>
      <c r="Q29" s="660">
        <v>310199000</v>
      </c>
      <c r="R29" s="707"/>
      <c r="S29" s="661">
        <v>0</v>
      </c>
      <c r="T29" s="661">
        <v>0</v>
      </c>
      <c r="U29" s="661">
        <f>+S29-T29</f>
        <v>0</v>
      </c>
      <c r="V29" s="661"/>
      <c r="W29" s="661"/>
      <c r="X29" s="661"/>
      <c r="Y29" s="661"/>
      <c r="Z29" s="661"/>
      <c r="AA29" s="661"/>
      <c r="AB29" s="661"/>
      <c r="AC29" s="662">
        <v>0</v>
      </c>
      <c r="AD29" s="662">
        <v>0</v>
      </c>
      <c r="AE29" s="662">
        <v>0</v>
      </c>
      <c r="AF29" s="661">
        <v>0</v>
      </c>
      <c r="AG29" s="661">
        <v>0</v>
      </c>
      <c r="AH29" s="707"/>
      <c r="AI29" s="661">
        <f>+P29-Q29-T29-U29</f>
        <v>0</v>
      </c>
      <c r="AJ29" s="663" t="s">
        <v>43</v>
      </c>
      <c r="AK29" s="664" t="s">
        <v>43</v>
      </c>
      <c r="AL29" s="657" t="s">
        <v>681</v>
      </c>
    </row>
    <row r="30" spans="1:40" s="677" customFormat="1" ht="24.75" customHeight="1" outlineLevel="1">
      <c r="A30" s="666"/>
      <c r="B30" s="644"/>
      <c r="C30" s="645"/>
      <c r="D30" s="644"/>
      <c r="E30" s="644"/>
      <c r="F30" s="644"/>
      <c r="G30" s="644"/>
      <c r="H30" s="644"/>
      <c r="I30" s="666"/>
      <c r="J30" s="667"/>
      <c r="K30" s="668"/>
      <c r="L30" s="668"/>
      <c r="M30" s="669" t="s">
        <v>312</v>
      </c>
      <c r="N30" s="670"/>
      <c r="O30" s="671"/>
      <c r="P30" s="672">
        <f>SUM(P27:P29)</f>
        <v>906277000</v>
      </c>
      <c r="Q30" s="672">
        <f>SUM(Q27:Q29)</f>
        <v>310199000</v>
      </c>
      <c r="R30" s="673"/>
      <c r="S30" s="672">
        <f>+S27+S28+S29</f>
        <v>0</v>
      </c>
      <c r="T30" s="672">
        <f t="shared" ref="T30:U30" si="5">+T27+T28+T29</f>
        <v>389406000</v>
      </c>
      <c r="U30" s="672">
        <f t="shared" si="5"/>
        <v>-389406000</v>
      </c>
      <c r="V30" s="672" t="e">
        <f>+#REF!+#REF!+#REF!</f>
        <v>#REF!</v>
      </c>
      <c r="W30" s="672" t="e">
        <f>+#REF!+#REF!+#REF!</f>
        <v>#REF!</v>
      </c>
      <c r="X30" s="672" t="e">
        <f>+#REF!+#REF!+#REF!</f>
        <v>#REF!</v>
      </c>
      <c r="Y30" s="672" t="e">
        <f>+#REF!+#REF!+#REF!</f>
        <v>#REF!</v>
      </c>
      <c r="Z30" s="672" t="e">
        <f>+#REF!+#REF!+#REF!</f>
        <v>#REF!</v>
      </c>
      <c r="AA30" s="672" t="e">
        <f>+#REF!+#REF!+#REF!</f>
        <v>#REF!</v>
      </c>
      <c r="AB30" s="672" t="e">
        <f>+#REF!+#REF!+#REF!</f>
        <v>#REF!</v>
      </c>
      <c r="AC30" s="672">
        <v>0</v>
      </c>
      <c r="AD30" s="672">
        <v>21109805</v>
      </c>
      <c r="AE30" s="672">
        <v>150677458</v>
      </c>
      <c r="AF30" s="672" t="e">
        <f>+#REF!+#REF!+#REF!</f>
        <v>#REF!</v>
      </c>
      <c r="AG30" s="672" t="e">
        <f>+#REF!+#REF!+#REF!</f>
        <v>#REF!</v>
      </c>
      <c r="AH30" s="674"/>
      <c r="AI30" s="672">
        <f>+P30-Q30-T30-U30</f>
        <v>596078000</v>
      </c>
      <c r="AJ30" s="675"/>
      <c r="AK30" s="675"/>
      <c r="AL30" s="676"/>
    </row>
    <row r="31" spans="1:40" ht="18.75" customHeight="1" outlineLevel="1">
      <c r="A31" s="644"/>
      <c r="B31" s="644"/>
      <c r="C31" s="645"/>
      <c r="D31" s="644"/>
      <c r="E31" s="644"/>
      <c r="F31" s="644"/>
      <c r="G31" s="644"/>
      <c r="H31" s="644"/>
      <c r="I31" s="644"/>
      <c r="J31" s="646"/>
      <c r="K31" s="645"/>
      <c r="L31" s="645"/>
      <c r="M31" s="646"/>
      <c r="N31" s="648"/>
      <c r="O31" s="648"/>
      <c r="P31" s="649"/>
      <c r="Q31" s="649"/>
      <c r="R31" s="650"/>
      <c r="S31" s="650"/>
      <c r="T31" s="650"/>
      <c r="U31" s="650"/>
      <c r="V31" s="650"/>
      <c r="W31" s="650"/>
      <c r="X31" s="650"/>
      <c r="Y31" s="650"/>
      <c r="Z31" s="650"/>
      <c r="AA31" s="650"/>
      <c r="AB31" s="650"/>
      <c r="AC31" s="650"/>
      <c r="AD31" s="650"/>
      <c r="AE31" s="650"/>
      <c r="AF31" s="650"/>
      <c r="AG31" s="650"/>
      <c r="AH31" s="650"/>
      <c r="AI31" s="650"/>
      <c r="AJ31" s="651"/>
      <c r="AK31" s="651"/>
      <c r="AL31" s="652"/>
    </row>
    <row r="32" spans="1:40" ht="26.25" customHeight="1" outlineLevel="1">
      <c r="A32" s="644"/>
      <c r="B32" s="644"/>
      <c r="C32" s="645"/>
      <c r="D32" s="644"/>
      <c r="E32" s="644"/>
      <c r="F32" s="644"/>
      <c r="G32" s="644"/>
      <c r="H32" s="644"/>
      <c r="I32" s="644"/>
      <c r="J32" s="646"/>
      <c r="K32" s="645"/>
      <c r="L32" s="645"/>
      <c r="M32" s="647" t="s">
        <v>362</v>
      </c>
      <c r="N32" s="648"/>
      <c r="O32" s="648"/>
      <c r="P32" s="649"/>
      <c r="Q32" s="649"/>
      <c r="R32" s="650"/>
      <c r="S32" s="650"/>
      <c r="T32" s="650"/>
      <c r="U32" s="650"/>
      <c r="V32" s="650"/>
      <c r="W32" s="650"/>
      <c r="X32" s="650"/>
      <c r="Y32" s="650"/>
      <c r="Z32" s="650"/>
      <c r="AA32" s="650"/>
      <c r="AB32" s="650"/>
      <c r="AC32" s="650"/>
      <c r="AD32" s="650"/>
      <c r="AE32" s="650"/>
      <c r="AF32" s="650"/>
      <c r="AG32" s="650"/>
      <c r="AH32" s="650"/>
      <c r="AI32" s="650"/>
      <c r="AJ32" s="651"/>
      <c r="AK32" s="651"/>
      <c r="AL32" s="652"/>
    </row>
    <row r="33" spans="1:38" s="679" customFormat="1" ht="25.5" customHeight="1" outlineLevel="1">
      <c r="A33" s="654">
        <v>31</v>
      </c>
      <c r="B33" s="654" t="s">
        <v>69</v>
      </c>
      <c r="C33" s="655" t="s">
        <v>208</v>
      </c>
      <c r="D33" s="654" t="s">
        <v>84</v>
      </c>
      <c r="E33" s="654" t="s">
        <v>208</v>
      </c>
      <c r="F33" s="654" t="s">
        <v>299</v>
      </c>
      <c r="G33" s="654" t="s">
        <v>363</v>
      </c>
      <c r="H33" s="656">
        <v>25</v>
      </c>
      <c r="I33" s="654" t="s">
        <v>46</v>
      </c>
      <c r="J33" s="657" t="s">
        <v>40</v>
      </c>
      <c r="K33" s="655">
        <v>40015946</v>
      </c>
      <c r="L33" s="655" t="s">
        <v>744</v>
      </c>
      <c r="M33" s="657" t="s">
        <v>712</v>
      </c>
      <c r="N33" s="659" t="s">
        <v>713</v>
      </c>
      <c r="O33" s="706"/>
      <c r="P33" s="660">
        <v>238672000</v>
      </c>
      <c r="Q33" s="660">
        <v>238672000</v>
      </c>
      <c r="R33" s="707"/>
      <c r="S33" s="661">
        <v>0</v>
      </c>
      <c r="T33" s="661">
        <v>0</v>
      </c>
      <c r="U33" s="661">
        <f>+S33-T33</f>
        <v>0</v>
      </c>
      <c r="V33" s="661">
        <v>0</v>
      </c>
      <c r="W33" s="661">
        <v>0</v>
      </c>
      <c r="X33" s="661">
        <v>0</v>
      </c>
      <c r="Y33" s="661">
        <v>0</v>
      </c>
      <c r="Z33" s="661">
        <v>0</v>
      </c>
      <c r="AA33" s="661">
        <v>0</v>
      </c>
      <c r="AB33" s="661">
        <v>0</v>
      </c>
      <c r="AC33" s="662">
        <v>0</v>
      </c>
      <c r="AD33" s="662">
        <v>0</v>
      </c>
      <c r="AE33" s="662">
        <v>0</v>
      </c>
      <c r="AF33" s="661">
        <v>0</v>
      </c>
      <c r="AG33" s="661">
        <v>0</v>
      </c>
      <c r="AH33" s="707"/>
      <c r="AI33" s="661">
        <f>+P33-Q33-T33-U33</f>
        <v>0</v>
      </c>
      <c r="AJ33" s="663" t="s">
        <v>43</v>
      </c>
      <c r="AK33" s="664" t="s">
        <v>43</v>
      </c>
      <c r="AL33" s="657" t="s">
        <v>681</v>
      </c>
    </row>
    <row r="34" spans="1:38" s="677" customFormat="1" ht="24.75" customHeight="1" outlineLevel="1">
      <c r="A34" s="666"/>
      <c r="B34" s="644"/>
      <c r="C34" s="645"/>
      <c r="D34" s="644"/>
      <c r="E34" s="644"/>
      <c r="F34" s="644"/>
      <c r="G34" s="644"/>
      <c r="H34" s="644"/>
      <c r="I34" s="666"/>
      <c r="J34" s="667"/>
      <c r="K34" s="668"/>
      <c r="L34" s="668"/>
      <c r="M34" s="669" t="s">
        <v>368</v>
      </c>
      <c r="N34" s="670"/>
      <c r="O34" s="671"/>
      <c r="P34" s="672">
        <f>+P33</f>
        <v>238672000</v>
      </c>
      <c r="Q34" s="672">
        <f>+Q33</f>
        <v>238672000</v>
      </c>
      <c r="R34" s="673"/>
      <c r="S34" s="672">
        <f>+S33</f>
        <v>0</v>
      </c>
      <c r="T34" s="672">
        <f t="shared" ref="T34:U34" si="6">+T33</f>
        <v>0</v>
      </c>
      <c r="U34" s="672">
        <f t="shared" si="6"/>
        <v>0</v>
      </c>
      <c r="V34" s="672" t="e">
        <f>+#REF!+#REF!</f>
        <v>#REF!</v>
      </c>
      <c r="W34" s="672" t="e">
        <f>+#REF!+#REF!</f>
        <v>#REF!</v>
      </c>
      <c r="X34" s="672" t="e">
        <f>+#REF!+#REF!</f>
        <v>#REF!</v>
      </c>
      <c r="Y34" s="672" t="e">
        <f>+#REF!+#REF!</f>
        <v>#REF!</v>
      </c>
      <c r="Z34" s="672" t="e">
        <f>+#REF!+#REF!</f>
        <v>#REF!</v>
      </c>
      <c r="AA34" s="672" t="e">
        <f>+#REF!+#REF!</f>
        <v>#REF!</v>
      </c>
      <c r="AB34" s="672" t="e">
        <f>+#REF!+#REF!</f>
        <v>#REF!</v>
      </c>
      <c r="AC34" s="672">
        <v>41650296</v>
      </c>
      <c r="AD34" s="672">
        <v>26588006</v>
      </c>
      <c r="AE34" s="672">
        <v>48715866</v>
      </c>
      <c r="AF34" s="672" t="e">
        <f>+#REF!+#REF!</f>
        <v>#REF!</v>
      </c>
      <c r="AG34" s="672" t="e">
        <f>+#REF!+#REF!</f>
        <v>#REF!</v>
      </c>
      <c r="AH34" s="674"/>
      <c r="AI34" s="672">
        <f>+P34-Q34-T34-U34</f>
        <v>0</v>
      </c>
      <c r="AJ34" s="675"/>
      <c r="AK34" s="675"/>
      <c r="AL34" s="676"/>
    </row>
    <row r="35" spans="1:38" ht="18.75" customHeight="1" outlineLevel="1">
      <c r="A35" s="644"/>
      <c r="B35" s="644"/>
      <c r="C35" s="645"/>
      <c r="D35" s="644"/>
      <c r="E35" s="644"/>
      <c r="F35" s="644"/>
      <c r="G35" s="644"/>
      <c r="H35" s="644"/>
      <c r="I35" s="644"/>
      <c r="J35" s="646"/>
      <c r="K35" s="645"/>
      <c r="L35" s="645"/>
      <c r="M35" s="646"/>
      <c r="N35" s="648"/>
      <c r="O35" s="648"/>
      <c r="P35" s="649"/>
      <c r="Q35" s="649"/>
      <c r="R35" s="650"/>
      <c r="S35" s="650"/>
      <c r="T35" s="650"/>
      <c r="U35" s="650"/>
      <c r="V35" s="650"/>
      <c r="W35" s="650"/>
      <c r="X35" s="650"/>
      <c r="Y35" s="650"/>
      <c r="Z35" s="650"/>
      <c r="AA35" s="650"/>
      <c r="AB35" s="650"/>
      <c r="AC35" s="650"/>
      <c r="AD35" s="650"/>
      <c r="AE35" s="650"/>
      <c r="AF35" s="650"/>
      <c r="AG35" s="650"/>
      <c r="AH35" s="650"/>
      <c r="AI35" s="650"/>
      <c r="AJ35" s="651"/>
      <c r="AK35" s="651"/>
      <c r="AL35" s="652"/>
    </row>
    <row r="36" spans="1:38" ht="26.25" customHeight="1" outlineLevel="1">
      <c r="A36" s="644"/>
      <c r="B36" s="644"/>
      <c r="C36" s="645"/>
      <c r="D36" s="644"/>
      <c r="E36" s="644"/>
      <c r="F36" s="644"/>
      <c r="G36" s="644"/>
      <c r="H36" s="644"/>
      <c r="I36" s="644"/>
      <c r="J36" s="646"/>
      <c r="K36" s="645"/>
      <c r="L36" s="645"/>
      <c r="M36" s="647" t="s">
        <v>438</v>
      </c>
      <c r="N36" s="648"/>
      <c r="O36" s="648"/>
      <c r="P36" s="649"/>
      <c r="Q36" s="649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650"/>
      <c r="AG36" s="650"/>
      <c r="AH36" s="650"/>
      <c r="AI36" s="650"/>
      <c r="AJ36" s="651"/>
      <c r="AK36" s="651"/>
      <c r="AL36" s="652"/>
    </row>
    <row r="37" spans="1:38" s="679" customFormat="1" ht="25.5" customHeight="1" outlineLevel="1">
      <c r="A37" s="654">
        <v>31</v>
      </c>
      <c r="B37" s="654" t="s">
        <v>69</v>
      </c>
      <c r="C37" s="655" t="s">
        <v>208</v>
      </c>
      <c r="D37" s="654" t="s">
        <v>84</v>
      </c>
      <c r="E37" s="654" t="s">
        <v>208</v>
      </c>
      <c r="F37" s="654" t="s">
        <v>407</v>
      </c>
      <c r="G37" s="654" t="s">
        <v>407</v>
      </c>
      <c r="H37" s="656">
        <v>33</v>
      </c>
      <c r="I37" s="654" t="s">
        <v>46</v>
      </c>
      <c r="J37" s="657" t="s">
        <v>40</v>
      </c>
      <c r="K37" s="655">
        <v>40012912</v>
      </c>
      <c r="L37" s="655" t="s">
        <v>744</v>
      </c>
      <c r="M37" s="657" t="s">
        <v>444</v>
      </c>
      <c r="N37" s="659" t="s">
        <v>714</v>
      </c>
      <c r="O37" s="706"/>
      <c r="P37" s="660">
        <v>200303000</v>
      </c>
      <c r="Q37" s="660">
        <v>0</v>
      </c>
      <c r="R37" s="707"/>
      <c r="S37" s="661">
        <f>+VLOOKUP(K37,'ESTADO SITUACION'!$N$4:$U$805,7,FALSE)</f>
        <v>0</v>
      </c>
      <c r="T37" s="661">
        <f>+VLOOKUP(K37,'ESTADO SITUACION'!$N$4:$V$805,8,FALSE)</f>
        <v>200303000</v>
      </c>
      <c r="U37" s="661">
        <f>+S37-T37</f>
        <v>-200303000</v>
      </c>
      <c r="V37" s="661">
        <v>0</v>
      </c>
      <c r="W37" s="661">
        <v>0</v>
      </c>
      <c r="X37" s="661">
        <v>0</v>
      </c>
      <c r="Y37" s="661">
        <v>0</v>
      </c>
      <c r="Z37" s="661">
        <v>0</v>
      </c>
      <c r="AA37" s="661">
        <v>0</v>
      </c>
      <c r="AB37" s="661">
        <v>0</v>
      </c>
      <c r="AC37" s="662">
        <v>0</v>
      </c>
      <c r="AD37" s="662">
        <v>0</v>
      </c>
      <c r="AE37" s="662">
        <v>0</v>
      </c>
      <c r="AF37" s="661">
        <v>0</v>
      </c>
      <c r="AG37" s="661">
        <v>0</v>
      </c>
      <c r="AH37" s="707"/>
      <c r="AI37" s="661">
        <f>+P37-Q37-T37-U37</f>
        <v>200303000</v>
      </c>
      <c r="AJ37" s="663" t="s">
        <v>43</v>
      </c>
      <c r="AK37" s="664" t="s">
        <v>715</v>
      </c>
      <c r="AL37" s="663" t="s">
        <v>738</v>
      </c>
    </row>
    <row r="38" spans="1:38" s="677" customFormat="1" ht="24.75" customHeight="1" outlineLevel="1">
      <c r="A38" s="666"/>
      <c r="B38" s="644"/>
      <c r="C38" s="645"/>
      <c r="D38" s="644"/>
      <c r="E38" s="644"/>
      <c r="F38" s="644"/>
      <c r="G38" s="644"/>
      <c r="H38" s="644"/>
      <c r="I38" s="666"/>
      <c r="J38" s="667"/>
      <c r="K38" s="668"/>
      <c r="L38" s="668"/>
      <c r="M38" s="669" t="s">
        <v>446</v>
      </c>
      <c r="N38" s="670"/>
      <c r="O38" s="671"/>
      <c r="P38" s="672">
        <f>SUM(P37:P37)</f>
        <v>200303000</v>
      </c>
      <c r="Q38" s="672">
        <f>SUM(Q37:Q37)</f>
        <v>0</v>
      </c>
      <c r="R38" s="673"/>
      <c r="S38" s="672">
        <f>+S37</f>
        <v>0</v>
      </c>
      <c r="T38" s="672">
        <f t="shared" ref="T38:U38" si="7">+T37</f>
        <v>200303000</v>
      </c>
      <c r="U38" s="672">
        <f t="shared" si="7"/>
        <v>-200303000</v>
      </c>
      <c r="V38" s="672" t="e">
        <f>+#REF!+#REF!+#REF!</f>
        <v>#REF!</v>
      </c>
      <c r="W38" s="672" t="e">
        <f>+#REF!+#REF!+#REF!</f>
        <v>#REF!</v>
      </c>
      <c r="X38" s="672" t="e">
        <f>+#REF!+#REF!+#REF!</f>
        <v>#REF!</v>
      </c>
      <c r="Y38" s="672" t="e">
        <f>+#REF!+#REF!+#REF!</f>
        <v>#REF!</v>
      </c>
      <c r="Z38" s="672" t="e">
        <f>+#REF!+#REF!+#REF!</f>
        <v>#REF!</v>
      </c>
      <c r="AA38" s="672" t="e">
        <f>+#REF!+#REF!+#REF!</f>
        <v>#REF!</v>
      </c>
      <c r="AB38" s="672" t="e">
        <f>+#REF!+#REF!+#REF!</f>
        <v>#REF!</v>
      </c>
      <c r="AC38" s="672">
        <v>0</v>
      </c>
      <c r="AD38" s="672">
        <v>3380268</v>
      </c>
      <c r="AE38" s="672">
        <v>54254990</v>
      </c>
      <c r="AF38" s="672" t="e">
        <f>+#REF!+#REF!+#REF!</f>
        <v>#REF!</v>
      </c>
      <c r="AG38" s="672" t="e">
        <f>+#REF!+#REF!+#REF!</f>
        <v>#REF!</v>
      </c>
      <c r="AH38" s="674"/>
      <c r="AI38" s="672">
        <f>+SUM(AI37:AI37)</f>
        <v>200303000</v>
      </c>
      <c r="AJ38" s="675"/>
      <c r="AK38" s="675"/>
      <c r="AL38" s="676"/>
    </row>
    <row r="40" spans="1:38" ht="21" customHeight="1" outlineLevel="1">
      <c r="A40" s="644"/>
      <c r="B40" s="644"/>
      <c r="C40" s="645"/>
      <c r="D40" s="644"/>
      <c r="E40" s="644"/>
      <c r="F40" s="644"/>
      <c r="G40" s="644"/>
      <c r="H40" s="644"/>
      <c r="I40" s="644"/>
      <c r="J40" s="646"/>
      <c r="K40" s="645"/>
      <c r="L40" s="645"/>
      <c r="M40" s="692" t="s">
        <v>460</v>
      </c>
      <c r="N40" s="648"/>
      <c r="O40" s="648"/>
      <c r="P40" s="649"/>
      <c r="Q40" s="649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  <c r="AC40" s="650"/>
      <c r="AD40" s="650"/>
      <c r="AE40" s="650"/>
      <c r="AF40" s="650"/>
      <c r="AG40" s="650"/>
      <c r="AH40" s="650"/>
      <c r="AI40" s="650"/>
      <c r="AJ40" s="651"/>
      <c r="AK40" s="651"/>
      <c r="AL40" s="652"/>
    </row>
    <row r="41" spans="1:38" s="679" customFormat="1" ht="25.5" customHeight="1" outlineLevel="1">
      <c r="A41" s="654">
        <v>31</v>
      </c>
      <c r="B41" s="654" t="s">
        <v>69</v>
      </c>
      <c r="C41" s="655" t="s">
        <v>716</v>
      </c>
      <c r="D41" s="654" t="s">
        <v>84</v>
      </c>
      <c r="E41" s="654" t="s">
        <v>36</v>
      </c>
      <c r="F41" s="654" t="s">
        <v>461</v>
      </c>
      <c r="G41" s="654" t="s">
        <v>461</v>
      </c>
      <c r="H41" s="656">
        <v>35</v>
      </c>
      <c r="I41" s="654" t="s">
        <v>46</v>
      </c>
      <c r="J41" s="657" t="s">
        <v>40</v>
      </c>
      <c r="K41" s="655">
        <v>40022424</v>
      </c>
      <c r="L41" s="655" t="s">
        <v>745</v>
      </c>
      <c r="M41" s="657" t="s">
        <v>717</v>
      </c>
      <c r="N41" s="659" t="s">
        <v>718</v>
      </c>
      <c r="O41" s="706"/>
      <c r="P41" s="678">
        <v>2028090000</v>
      </c>
      <c r="Q41" s="660">
        <v>0</v>
      </c>
      <c r="R41" s="707"/>
      <c r="S41" s="661">
        <f>+VLOOKUP(K41,'ESTADO SITUACION'!$N$4:$U$805,7,FALSE)</f>
        <v>0</v>
      </c>
      <c r="T41" s="661">
        <f>+VLOOKUP(K41,'ESTADO SITUACION'!$N$4:$V$805,8,FALSE)</f>
        <v>537565267</v>
      </c>
      <c r="U41" s="661">
        <f>+S41-T41</f>
        <v>-537565267</v>
      </c>
      <c r="V41" s="661"/>
      <c r="W41" s="661"/>
      <c r="X41" s="661"/>
      <c r="Y41" s="661"/>
      <c r="Z41" s="661"/>
      <c r="AA41" s="661"/>
      <c r="AB41" s="661"/>
      <c r="AC41" s="662">
        <v>0</v>
      </c>
      <c r="AD41" s="662">
        <v>0</v>
      </c>
      <c r="AE41" s="662">
        <v>0</v>
      </c>
      <c r="AF41" s="661">
        <v>0</v>
      </c>
      <c r="AG41" s="661">
        <v>0</v>
      </c>
      <c r="AH41" s="707"/>
      <c r="AI41" s="661">
        <f>+P41-Q41-T41-U41</f>
        <v>2028090000</v>
      </c>
      <c r="AJ41" s="663" t="s">
        <v>48</v>
      </c>
      <c r="AK41" s="664" t="s">
        <v>697</v>
      </c>
      <c r="AL41" s="657" t="s">
        <v>747</v>
      </c>
    </row>
    <row r="42" spans="1:38" s="679" customFormat="1" ht="25.5" customHeight="1" outlineLevel="1">
      <c r="A42" s="654">
        <v>31</v>
      </c>
      <c r="B42" s="654" t="s">
        <v>69</v>
      </c>
      <c r="C42" s="655" t="s">
        <v>716</v>
      </c>
      <c r="D42" s="654" t="s">
        <v>84</v>
      </c>
      <c r="E42" s="654" t="s">
        <v>36</v>
      </c>
      <c r="F42" s="654" t="s">
        <v>461</v>
      </c>
      <c r="G42" s="654" t="s">
        <v>461</v>
      </c>
      <c r="H42" s="656">
        <v>35</v>
      </c>
      <c r="I42" s="654" t="s">
        <v>46</v>
      </c>
      <c r="J42" s="657" t="s">
        <v>40</v>
      </c>
      <c r="K42" s="655">
        <v>40022435</v>
      </c>
      <c r="L42" s="655"/>
      <c r="M42" s="657" t="s">
        <v>719</v>
      </c>
      <c r="N42" s="659" t="s">
        <v>720</v>
      </c>
      <c r="O42" s="706"/>
      <c r="P42" s="678">
        <v>613500000</v>
      </c>
      <c r="Q42" s="660">
        <v>0</v>
      </c>
      <c r="R42" s="707"/>
      <c r="S42" s="661">
        <f>+VLOOKUP(K42,'ESTADO SITUACION'!$N$4:$U$805,7,FALSE)</f>
        <v>0</v>
      </c>
      <c r="T42" s="661">
        <f>+VLOOKUP(K42,'ESTADO SITUACION'!$N$4:$V$805,8,FALSE)</f>
        <v>30675000</v>
      </c>
      <c r="U42" s="661">
        <f>+S42-T42</f>
        <v>-30675000</v>
      </c>
      <c r="V42" s="661"/>
      <c r="W42" s="661"/>
      <c r="X42" s="661"/>
      <c r="Y42" s="661"/>
      <c r="Z42" s="661"/>
      <c r="AA42" s="661"/>
      <c r="AB42" s="661"/>
      <c r="AC42" s="662">
        <v>0</v>
      </c>
      <c r="AD42" s="662">
        <v>0</v>
      </c>
      <c r="AE42" s="662">
        <v>0</v>
      </c>
      <c r="AF42" s="661">
        <v>0</v>
      </c>
      <c r="AG42" s="661">
        <v>0</v>
      </c>
      <c r="AH42" s="707"/>
      <c r="AI42" s="661">
        <f>+P42-Q42-T42-U42</f>
        <v>613500000</v>
      </c>
      <c r="AJ42" s="663" t="s">
        <v>48</v>
      </c>
      <c r="AK42" s="664" t="s">
        <v>697</v>
      </c>
      <c r="AL42" s="657" t="s">
        <v>701</v>
      </c>
    </row>
    <row r="43" spans="1:38" s="665" customFormat="1" ht="25.5" customHeight="1" outlineLevel="2">
      <c r="A43" s="654">
        <v>31</v>
      </c>
      <c r="B43" s="654" t="s">
        <v>69</v>
      </c>
      <c r="C43" s="655" t="s">
        <v>208</v>
      </c>
      <c r="D43" s="654" t="s">
        <v>84</v>
      </c>
      <c r="E43" s="654" t="s">
        <v>208</v>
      </c>
      <c r="F43" s="654" t="s">
        <v>38</v>
      </c>
      <c r="G43" s="654" t="s">
        <v>113</v>
      </c>
      <c r="H43" s="656">
        <v>4</v>
      </c>
      <c r="I43" s="654" t="s">
        <v>46</v>
      </c>
      <c r="J43" s="657" t="s">
        <v>40</v>
      </c>
      <c r="K43" s="655">
        <v>40027009</v>
      </c>
      <c r="L43" s="655"/>
      <c r="M43" s="657" t="s">
        <v>721</v>
      </c>
      <c r="N43" s="659" t="s">
        <v>722</v>
      </c>
      <c r="O43" s="706"/>
      <c r="P43" s="660">
        <v>900500000</v>
      </c>
      <c r="Q43" s="660">
        <v>0</v>
      </c>
      <c r="R43" s="707"/>
      <c r="S43" s="661">
        <f>+VLOOKUP(K43,'ESTADO SITUACION'!$N$4:$U$805,7,FALSE)</f>
        <v>0</v>
      </c>
      <c r="T43" s="661">
        <f>+VLOOKUP(K43,'ESTADO SITUACION'!$N$4:$V$805,8,FALSE)</f>
        <v>500000000</v>
      </c>
      <c r="U43" s="661">
        <f>+S43-T43</f>
        <v>-500000000</v>
      </c>
      <c r="V43" s="661">
        <v>0</v>
      </c>
      <c r="W43" s="661">
        <v>0</v>
      </c>
      <c r="X43" s="661">
        <v>0</v>
      </c>
      <c r="Y43" s="661">
        <v>0</v>
      </c>
      <c r="Z43" s="661">
        <v>0</v>
      </c>
      <c r="AA43" s="661">
        <v>0</v>
      </c>
      <c r="AB43" s="661">
        <v>0</v>
      </c>
      <c r="AC43" s="662">
        <v>0</v>
      </c>
      <c r="AD43" s="662">
        <v>0</v>
      </c>
      <c r="AE43" s="662">
        <v>0</v>
      </c>
      <c r="AF43" s="661">
        <v>0</v>
      </c>
      <c r="AG43" s="661">
        <v>0</v>
      </c>
      <c r="AH43" s="707"/>
      <c r="AI43" s="661">
        <f>+P43-Q43-T43-U43</f>
        <v>900500000</v>
      </c>
      <c r="AJ43" s="663" t="s">
        <v>48</v>
      </c>
      <c r="AK43" s="664" t="s">
        <v>697</v>
      </c>
      <c r="AL43" s="657" t="s">
        <v>701</v>
      </c>
    </row>
    <row r="44" spans="1:38" s="677" customFormat="1" ht="24.75" customHeight="1" outlineLevel="1">
      <c r="A44" s="666"/>
      <c r="B44" s="644"/>
      <c r="C44" s="645"/>
      <c r="D44" s="644"/>
      <c r="E44" s="644"/>
      <c r="F44" s="644"/>
      <c r="G44" s="644"/>
      <c r="H44" s="644"/>
      <c r="I44" s="666"/>
      <c r="J44" s="667"/>
      <c r="K44" s="668"/>
      <c r="L44" s="668"/>
      <c r="M44" s="669" t="s">
        <v>491</v>
      </c>
      <c r="N44" s="670"/>
      <c r="O44" s="671"/>
      <c r="P44" s="672">
        <f>SUM(P41:P43)</f>
        <v>3542090000</v>
      </c>
      <c r="Q44" s="672">
        <f>SUM(Q41:Q43)</f>
        <v>0</v>
      </c>
      <c r="R44" s="673"/>
      <c r="S44" s="672">
        <f>+S41+S42+S43</f>
        <v>0</v>
      </c>
      <c r="T44" s="672">
        <f t="shared" ref="T44:U44" si="8">+T41+T42+T43</f>
        <v>1068240267</v>
      </c>
      <c r="U44" s="672">
        <f t="shared" si="8"/>
        <v>-1068240267</v>
      </c>
      <c r="V44" s="672" t="e">
        <f>+#REF!+#REF!+#REF!</f>
        <v>#REF!</v>
      </c>
      <c r="W44" s="672" t="e">
        <f>+#REF!+#REF!+#REF!</f>
        <v>#REF!</v>
      </c>
      <c r="X44" s="672" t="e">
        <f>+#REF!+#REF!+#REF!</f>
        <v>#REF!</v>
      </c>
      <c r="Y44" s="672" t="e">
        <f>+#REF!+#REF!+#REF!</f>
        <v>#REF!</v>
      </c>
      <c r="Z44" s="672" t="e">
        <f>+#REF!+#REF!+#REF!</f>
        <v>#REF!</v>
      </c>
      <c r="AA44" s="672" t="e">
        <f>+#REF!+#REF!+#REF!</f>
        <v>#REF!</v>
      </c>
      <c r="AB44" s="672" t="e">
        <f>+#REF!+#REF!+#REF!</f>
        <v>#REF!</v>
      </c>
      <c r="AC44" s="672">
        <v>563582234</v>
      </c>
      <c r="AD44" s="672">
        <v>501918326</v>
      </c>
      <c r="AE44" s="672">
        <v>309085677</v>
      </c>
      <c r="AF44" s="672" t="e">
        <f>+#REF!+#REF!+#REF!</f>
        <v>#REF!</v>
      </c>
      <c r="AG44" s="672" t="e">
        <f>+#REF!+#REF!+#REF!</f>
        <v>#REF!</v>
      </c>
      <c r="AH44" s="693"/>
      <c r="AI44" s="672">
        <f>SUM(AI41:AI43)</f>
        <v>3542090000</v>
      </c>
      <c r="AJ44" s="693"/>
      <c r="AK44" s="674"/>
      <c r="AL44" s="674"/>
    </row>
    <row r="45" spans="1:38" ht="18.75" customHeight="1" outlineLevel="1">
      <c r="A45" s="644"/>
      <c r="B45" s="644"/>
      <c r="C45" s="645"/>
      <c r="D45" s="644"/>
      <c r="E45" s="644"/>
      <c r="F45" s="644"/>
      <c r="G45" s="644"/>
      <c r="H45" s="644"/>
      <c r="I45" s="644"/>
      <c r="J45" s="646"/>
      <c r="K45" s="645"/>
      <c r="L45" s="645"/>
      <c r="M45" s="646"/>
      <c r="N45" s="648"/>
      <c r="O45" s="648"/>
      <c r="P45" s="649"/>
      <c r="Q45" s="649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1"/>
      <c r="AK45" s="651"/>
      <c r="AL45" s="652"/>
    </row>
    <row r="46" spans="1:38" ht="21" customHeight="1" outlineLevel="1">
      <c r="A46" s="644"/>
      <c r="B46" s="644"/>
      <c r="C46" s="645"/>
      <c r="D46" s="644"/>
      <c r="E46" s="644"/>
      <c r="F46" s="644"/>
      <c r="G46" s="644"/>
      <c r="H46" s="644"/>
      <c r="I46" s="644"/>
      <c r="J46" s="646"/>
      <c r="K46" s="645"/>
      <c r="L46" s="645"/>
      <c r="M46" s="692" t="s">
        <v>497</v>
      </c>
      <c r="N46" s="648"/>
      <c r="O46" s="648"/>
      <c r="P46" s="649"/>
      <c r="Q46" s="649"/>
      <c r="R46" s="650"/>
      <c r="S46" s="650"/>
      <c r="T46" s="650"/>
      <c r="U46" s="650"/>
      <c r="V46" s="650"/>
      <c r="W46" s="650"/>
      <c r="X46" s="650"/>
      <c r="Y46" s="650"/>
      <c r="Z46" s="650"/>
      <c r="AA46" s="650"/>
      <c r="AB46" s="650"/>
      <c r="AC46" s="650"/>
      <c r="AD46" s="650"/>
      <c r="AE46" s="650"/>
      <c r="AF46" s="650"/>
      <c r="AG46" s="650"/>
      <c r="AH46" s="650"/>
      <c r="AI46" s="650"/>
      <c r="AJ46" s="651"/>
      <c r="AK46" s="651"/>
      <c r="AL46" s="652"/>
    </row>
    <row r="47" spans="1:38" s="679" customFormat="1" ht="25.5" customHeight="1" outlineLevel="1">
      <c r="A47" s="654">
        <v>33</v>
      </c>
      <c r="B47" s="654" t="s">
        <v>69</v>
      </c>
      <c r="C47" s="655" t="s">
        <v>294</v>
      </c>
      <c r="D47" s="654" t="s">
        <v>35</v>
      </c>
      <c r="E47" s="654" t="s">
        <v>318</v>
      </c>
      <c r="F47" s="654" t="s">
        <v>497</v>
      </c>
      <c r="G47" s="654" t="s">
        <v>497</v>
      </c>
      <c r="H47" s="656">
        <v>36</v>
      </c>
      <c r="I47" s="654" t="s">
        <v>46</v>
      </c>
      <c r="J47" s="657" t="s">
        <v>723</v>
      </c>
      <c r="K47" s="655">
        <v>40020255</v>
      </c>
      <c r="L47" s="655" t="s">
        <v>746</v>
      </c>
      <c r="M47" s="657" t="s">
        <v>536</v>
      </c>
      <c r="N47" s="659" t="s">
        <v>722</v>
      </c>
      <c r="O47" s="706"/>
      <c r="P47" s="660">
        <v>1500000000</v>
      </c>
      <c r="Q47" s="660">
        <v>434689139</v>
      </c>
      <c r="R47" s="707"/>
      <c r="S47" s="661">
        <v>0</v>
      </c>
      <c r="T47" s="661">
        <v>0</v>
      </c>
      <c r="U47" s="661">
        <f>+S47-T47</f>
        <v>0</v>
      </c>
      <c r="V47" s="661">
        <v>0</v>
      </c>
      <c r="W47" s="661">
        <v>0</v>
      </c>
      <c r="X47" s="661">
        <v>0</v>
      </c>
      <c r="Y47" s="661">
        <v>0</v>
      </c>
      <c r="Z47" s="661">
        <v>0</v>
      </c>
      <c r="AA47" s="661">
        <v>0</v>
      </c>
      <c r="AB47" s="661">
        <v>0</v>
      </c>
      <c r="AC47" s="662">
        <v>0</v>
      </c>
      <c r="AD47" s="662">
        <v>0</v>
      </c>
      <c r="AE47" s="662">
        <v>0</v>
      </c>
      <c r="AF47" s="661">
        <v>0</v>
      </c>
      <c r="AG47" s="661">
        <v>0</v>
      </c>
      <c r="AH47" s="707"/>
      <c r="AI47" s="661">
        <f>+P47-Q47-T47-U47</f>
        <v>1065310861</v>
      </c>
      <c r="AJ47" s="663" t="s">
        <v>78</v>
      </c>
      <c r="AK47" s="664" t="s">
        <v>715</v>
      </c>
      <c r="AL47" s="663"/>
    </row>
    <row r="48" spans="1:38" s="679" customFormat="1" ht="25.5" customHeight="1" outlineLevel="1">
      <c r="A48" s="654">
        <v>33</v>
      </c>
      <c r="B48" s="654" t="s">
        <v>69</v>
      </c>
      <c r="C48" s="655" t="s">
        <v>294</v>
      </c>
      <c r="D48" s="654" t="s">
        <v>35</v>
      </c>
      <c r="E48" s="654" t="s">
        <v>318</v>
      </c>
      <c r="F48" s="654" t="s">
        <v>497</v>
      </c>
      <c r="G48" s="654" t="s">
        <v>497</v>
      </c>
      <c r="H48" s="656">
        <v>36</v>
      </c>
      <c r="I48" s="654" t="s">
        <v>46</v>
      </c>
      <c r="J48" s="657" t="s">
        <v>723</v>
      </c>
      <c r="K48" s="655">
        <v>40025947</v>
      </c>
      <c r="L48" s="655" t="s">
        <v>746</v>
      </c>
      <c r="M48" s="657" t="s">
        <v>724</v>
      </c>
      <c r="N48" s="659" t="s">
        <v>725</v>
      </c>
      <c r="O48" s="706"/>
      <c r="P48" s="660">
        <v>248000000</v>
      </c>
      <c r="Q48" s="660">
        <v>0</v>
      </c>
      <c r="R48" s="707"/>
      <c r="S48" s="661">
        <f>+VLOOKUP(K48,'ESTADO SITUACION'!$N$4:$U$805,7,FALSE)</f>
        <v>0</v>
      </c>
      <c r="T48" s="661">
        <f>+VLOOKUP(K48,'ESTADO SITUACION'!$N$4:$V$805,8,FALSE)</f>
        <v>248000000</v>
      </c>
      <c r="U48" s="661">
        <f>+S48-T48</f>
        <v>-248000000</v>
      </c>
      <c r="V48" s="661">
        <v>0</v>
      </c>
      <c r="W48" s="661">
        <v>0</v>
      </c>
      <c r="X48" s="661">
        <v>0</v>
      </c>
      <c r="Y48" s="661">
        <v>0</v>
      </c>
      <c r="Z48" s="661">
        <v>0</v>
      </c>
      <c r="AA48" s="661">
        <v>0</v>
      </c>
      <c r="AB48" s="661">
        <v>0</v>
      </c>
      <c r="AC48" s="662">
        <v>0</v>
      </c>
      <c r="AD48" s="662">
        <v>0</v>
      </c>
      <c r="AE48" s="662">
        <v>0</v>
      </c>
      <c r="AF48" s="661">
        <v>0</v>
      </c>
      <c r="AG48" s="661">
        <v>0</v>
      </c>
      <c r="AH48" s="707"/>
      <c r="AI48" s="661">
        <f>+P48-Q48-T48-U48</f>
        <v>248000000</v>
      </c>
      <c r="AJ48" s="663" t="s">
        <v>78</v>
      </c>
      <c r="AK48" s="664" t="s">
        <v>715</v>
      </c>
      <c r="AL48" s="663" t="s">
        <v>726</v>
      </c>
    </row>
    <row r="49" spans="1:40" s="679" customFormat="1" ht="25.5" customHeight="1" outlineLevel="1">
      <c r="A49" s="654">
        <v>33</v>
      </c>
      <c r="B49" s="654" t="s">
        <v>69</v>
      </c>
      <c r="C49" s="655" t="s">
        <v>294</v>
      </c>
      <c r="D49" s="654" t="s">
        <v>35</v>
      </c>
      <c r="E49" s="654" t="s">
        <v>318</v>
      </c>
      <c r="F49" s="654" t="s">
        <v>497</v>
      </c>
      <c r="G49" s="654" t="s">
        <v>497</v>
      </c>
      <c r="H49" s="656">
        <v>36</v>
      </c>
      <c r="I49" s="654" t="s">
        <v>46</v>
      </c>
      <c r="J49" s="657" t="s">
        <v>723</v>
      </c>
      <c r="K49" s="655">
        <v>40026403</v>
      </c>
      <c r="L49" s="655" t="s">
        <v>746</v>
      </c>
      <c r="M49" s="657" t="s">
        <v>727</v>
      </c>
      <c r="N49" s="659" t="s">
        <v>728</v>
      </c>
      <c r="O49" s="706"/>
      <c r="P49" s="660">
        <v>500000000</v>
      </c>
      <c r="Q49" s="660">
        <v>0</v>
      </c>
      <c r="R49" s="707"/>
      <c r="S49" s="661">
        <f>+VLOOKUP(K49,'ESTADO SITUACION'!$N$4:$U$805,7,FALSE)</f>
        <v>0</v>
      </c>
      <c r="T49" s="661">
        <f>+VLOOKUP(K49,'ESTADO SITUACION'!$N$4:$V$805,8,FALSE)</f>
        <v>500000000</v>
      </c>
      <c r="U49" s="661">
        <f>+S49-T49</f>
        <v>-500000000</v>
      </c>
      <c r="V49" s="661">
        <v>0</v>
      </c>
      <c r="W49" s="661">
        <v>0</v>
      </c>
      <c r="X49" s="661">
        <v>0</v>
      </c>
      <c r="Y49" s="661">
        <v>0</v>
      </c>
      <c r="Z49" s="661">
        <v>0</v>
      </c>
      <c r="AA49" s="661">
        <v>0</v>
      </c>
      <c r="AB49" s="661">
        <v>0</v>
      </c>
      <c r="AC49" s="662">
        <v>0</v>
      </c>
      <c r="AD49" s="662">
        <v>0</v>
      </c>
      <c r="AE49" s="662">
        <v>0</v>
      </c>
      <c r="AF49" s="661">
        <v>0</v>
      </c>
      <c r="AG49" s="661">
        <v>0</v>
      </c>
      <c r="AH49" s="707"/>
      <c r="AI49" s="661">
        <f>+P49-Q49-T49-U49</f>
        <v>500000000</v>
      </c>
      <c r="AJ49" s="663" t="s">
        <v>78</v>
      </c>
      <c r="AK49" s="664" t="s">
        <v>715</v>
      </c>
      <c r="AL49" s="663" t="s">
        <v>726</v>
      </c>
    </row>
    <row r="50" spans="1:40" s="679" customFormat="1" ht="25.5" customHeight="1" outlineLevel="1">
      <c r="A50" s="654">
        <v>33</v>
      </c>
      <c r="B50" s="654" t="s">
        <v>69</v>
      </c>
      <c r="C50" s="655" t="s">
        <v>294</v>
      </c>
      <c r="D50" s="654" t="s">
        <v>35</v>
      </c>
      <c r="E50" s="654" t="s">
        <v>318</v>
      </c>
      <c r="F50" s="654" t="s">
        <v>497</v>
      </c>
      <c r="G50" s="654" t="s">
        <v>497</v>
      </c>
      <c r="H50" s="656">
        <v>36</v>
      </c>
      <c r="I50" s="654" t="s">
        <v>46</v>
      </c>
      <c r="J50" s="657" t="s">
        <v>723</v>
      </c>
      <c r="K50" s="655">
        <v>40014814</v>
      </c>
      <c r="L50" s="655" t="s">
        <v>746</v>
      </c>
      <c r="M50" s="657" t="s">
        <v>510</v>
      </c>
      <c r="N50" s="659" t="s">
        <v>729</v>
      </c>
      <c r="O50" s="706"/>
      <c r="P50" s="660">
        <v>800000000</v>
      </c>
      <c r="Q50" s="660">
        <v>0</v>
      </c>
      <c r="R50" s="707"/>
      <c r="S50" s="661">
        <f>+VLOOKUP(K50,'ESTADO SITUACION'!$N$4:$U$805,7,FALSE)</f>
        <v>0</v>
      </c>
      <c r="T50" s="661">
        <f>+VLOOKUP(K50,'ESTADO SITUACION'!$N$4:$V$805,8,FALSE)</f>
        <v>800000000</v>
      </c>
      <c r="U50" s="661">
        <f>+S50-T50</f>
        <v>-800000000</v>
      </c>
      <c r="V50" s="661">
        <v>0</v>
      </c>
      <c r="W50" s="661">
        <v>0</v>
      </c>
      <c r="X50" s="661">
        <v>0</v>
      </c>
      <c r="Y50" s="661">
        <v>0</v>
      </c>
      <c r="Z50" s="661">
        <v>0</v>
      </c>
      <c r="AA50" s="661">
        <v>0</v>
      </c>
      <c r="AB50" s="661">
        <v>0</v>
      </c>
      <c r="AC50" s="662">
        <v>0</v>
      </c>
      <c r="AD50" s="662">
        <v>0</v>
      </c>
      <c r="AE50" s="662">
        <v>0</v>
      </c>
      <c r="AF50" s="661">
        <v>0</v>
      </c>
      <c r="AG50" s="661">
        <v>0</v>
      </c>
      <c r="AH50" s="707"/>
      <c r="AI50" s="661">
        <f>+P50-Q50-T50-U50</f>
        <v>800000000</v>
      </c>
      <c r="AJ50" s="663" t="s">
        <v>78</v>
      </c>
      <c r="AK50" s="664" t="s">
        <v>715</v>
      </c>
      <c r="AL50" s="663" t="s">
        <v>726</v>
      </c>
    </row>
    <row r="51" spans="1:40" s="677" customFormat="1" ht="24.75" customHeight="1" outlineLevel="1">
      <c r="A51" s="666"/>
      <c r="B51" s="644"/>
      <c r="C51" s="645"/>
      <c r="D51" s="644"/>
      <c r="E51" s="644"/>
      <c r="F51" s="644"/>
      <c r="G51" s="644"/>
      <c r="H51" s="644"/>
      <c r="I51" s="666"/>
      <c r="J51" s="667"/>
      <c r="K51" s="668"/>
      <c r="L51" s="668"/>
      <c r="M51" s="694" t="s">
        <v>730</v>
      </c>
      <c r="N51" s="671"/>
      <c r="O51" s="671"/>
      <c r="P51" s="695">
        <f>SUM(P47:P50)</f>
        <v>3048000000</v>
      </c>
      <c r="Q51" s="695">
        <f>SUM(Q47:Q50)</f>
        <v>434689139</v>
      </c>
      <c r="R51" s="696"/>
      <c r="S51" s="695">
        <f>+S47+S48+S49+S50</f>
        <v>0</v>
      </c>
      <c r="T51" s="695">
        <f t="shared" ref="T51:U51" si="9">+T47+T48+T49+T50</f>
        <v>1548000000</v>
      </c>
      <c r="U51" s="695">
        <f t="shared" si="9"/>
        <v>-1548000000</v>
      </c>
      <c r="V51" s="695" t="e">
        <f>+#REF!+#REF!+#REF!</f>
        <v>#REF!</v>
      </c>
      <c r="W51" s="695" t="e">
        <f>+#REF!+#REF!+#REF!</f>
        <v>#REF!</v>
      </c>
      <c r="X51" s="695" t="e">
        <f>+#REF!+#REF!+#REF!</f>
        <v>#REF!</v>
      </c>
      <c r="Y51" s="695" t="e">
        <f>+#REF!+#REF!+#REF!</f>
        <v>#REF!</v>
      </c>
      <c r="Z51" s="695" t="e">
        <f>+#REF!+#REF!+#REF!</f>
        <v>#REF!</v>
      </c>
      <c r="AA51" s="695" t="e">
        <f>+#REF!+#REF!+#REF!</f>
        <v>#REF!</v>
      </c>
      <c r="AB51" s="695" t="e">
        <f>+#REF!+#REF!+#REF!</f>
        <v>#REF!</v>
      </c>
      <c r="AC51" s="695">
        <v>140167108</v>
      </c>
      <c r="AD51" s="695">
        <v>175426362</v>
      </c>
      <c r="AE51" s="695">
        <v>515059585</v>
      </c>
      <c r="AF51" s="695" t="e">
        <f>+#REF!+#REF!+#REF!</f>
        <v>#REF!</v>
      </c>
      <c r="AG51" s="695" t="e">
        <f>+#REF!+#REF!+#REF!</f>
        <v>#REF!</v>
      </c>
      <c r="AH51" s="674"/>
      <c r="AI51" s="695">
        <f>SUM(AI47:AI50)</f>
        <v>2613310861</v>
      </c>
      <c r="AJ51" s="675"/>
      <c r="AK51" s="675"/>
      <c r="AL51" s="676"/>
    </row>
    <row r="52" spans="1:40" ht="18.75" customHeight="1" outlineLevel="1">
      <c r="A52" s="644"/>
      <c r="B52" s="644"/>
      <c r="C52" s="645"/>
      <c r="D52" s="644"/>
      <c r="E52" s="644"/>
      <c r="F52" s="644"/>
      <c r="G52" s="644"/>
      <c r="H52" s="644"/>
      <c r="I52" s="644"/>
      <c r="J52" s="646"/>
      <c r="K52" s="645"/>
      <c r="L52" s="645"/>
      <c r="M52" s="697"/>
      <c r="N52" s="648"/>
      <c r="O52" s="648"/>
      <c r="P52" s="649"/>
      <c r="Q52" s="649"/>
      <c r="R52" s="649"/>
      <c r="S52" s="649"/>
      <c r="T52" s="649"/>
      <c r="U52" s="649"/>
      <c r="V52" s="649"/>
      <c r="W52" s="649"/>
      <c r="X52" s="649"/>
      <c r="Y52" s="649"/>
      <c r="Z52" s="649"/>
      <c r="AA52" s="649"/>
      <c r="AB52" s="649"/>
      <c r="AC52" s="649"/>
      <c r="AD52" s="649"/>
      <c r="AE52" s="649"/>
      <c r="AF52" s="649"/>
      <c r="AG52" s="649"/>
      <c r="AH52" s="649"/>
      <c r="AI52" s="649"/>
      <c r="AJ52" s="651"/>
      <c r="AK52" s="651"/>
      <c r="AL52" s="652"/>
    </row>
    <row r="53" spans="1:40" s="677" customFormat="1" ht="24.75" customHeight="1">
      <c r="A53" s="698"/>
      <c r="B53" s="680"/>
      <c r="C53" s="681"/>
      <c r="D53" s="680"/>
      <c r="E53" s="680"/>
      <c r="F53" s="680"/>
      <c r="G53" s="682"/>
      <c r="H53" s="680"/>
      <c r="I53" s="698"/>
      <c r="K53" s="699"/>
      <c r="L53" s="700"/>
      <c r="M53" s="694" t="s">
        <v>731</v>
      </c>
      <c r="N53" s="671"/>
      <c r="O53" s="671"/>
      <c r="P53" s="695">
        <f>+P30+P34+P44+P51+P20+P24+P38+P16+P8+P12</f>
        <v>9982530000</v>
      </c>
      <c r="Q53" s="695">
        <f>+Q30+Q34+Q44+Q51+Q20+Q24+Q38+Q16+Q8+Q12</f>
        <v>983560139</v>
      </c>
      <c r="R53" s="696"/>
      <c r="S53" s="695">
        <f>+S30+S34+S44+S51+S20+S24+S38+S16+S8+S12</f>
        <v>0</v>
      </c>
      <c r="T53" s="695">
        <f t="shared" ref="T53:U53" si="10">+T30+T34+T44+T51+T20+T24+T38+T16+T8+T12</f>
        <v>4298798643</v>
      </c>
      <c r="U53" s="695">
        <f t="shared" si="10"/>
        <v>-4298798643</v>
      </c>
      <c r="V53" s="695" t="e">
        <f>+#REF!+#REF!+#REF!+#REF!+V44+V51</f>
        <v>#REF!</v>
      </c>
      <c r="W53" s="695" t="e">
        <f>+#REF!+#REF!+#REF!+#REF!+W44+W51</f>
        <v>#REF!</v>
      </c>
      <c r="X53" s="695" t="e">
        <f>+#REF!+#REF!+#REF!+#REF!+X44+X51</f>
        <v>#REF!</v>
      </c>
      <c r="Y53" s="695" t="e">
        <f>+#REF!+#REF!+#REF!+#REF!+Y44+Y51</f>
        <v>#REF!</v>
      </c>
      <c r="Z53" s="695" t="e">
        <f>+#REF!+#REF!+#REF!+#REF!+Z44+Z51</f>
        <v>#REF!</v>
      </c>
      <c r="AA53" s="695" t="e">
        <f>+#REF!+#REF!+#REF!+#REF!+AA44+AA51</f>
        <v>#REF!</v>
      </c>
      <c r="AB53" s="695" t="e">
        <f>+#REF!+#REF!+#REF!+#REF!+AB44+AB51</f>
        <v>#REF!</v>
      </c>
      <c r="AC53" s="695">
        <v>5022881123</v>
      </c>
      <c r="AD53" s="695">
        <v>6520346324</v>
      </c>
      <c r="AE53" s="695">
        <v>6589090637</v>
      </c>
      <c r="AF53" s="695" t="e">
        <f>+#REF!+#REF!+#REF!+#REF!+AF44+AF51</f>
        <v>#REF!</v>
      </c>
      <c r="AG53" s="695" t="e">
        <f>+#REF!+#REF!+#REF!+#REF!+AG44+AG51</f>
        <v>#REF!</v>
      </c>
      <c r="AH53" s="674"/>
      <c r="AI53" s="695">
        <f>+AI30+AI34+AI44+AI51+AI20+AI24+AI38+AI16+AI8+AI12</f>
        <v>8998969861</v>
      </c>
      <c r="AJ53" s="701"/>
      <c r="AK53" s="701"/>
    </row>
    <row r="54" spans="1:40" s="691" customFormat="1" ht="21">
      <c r="A54" s="680"/>
      <c r="B54" s="680"/>
      <c r="C54" s="681"/>
      <c r="D54" s="680"/>
      <c r="E54" s="680"/>
      <c r="F54" s="680"/>
      <c r="G54" s="682"/>
      <c r="H54" s="680"/>
      <c r="I54" s="680"/>
      <c r="J54" s="653"/>
      <c r="K54" s="683"/>
      <c r="L54" s="681"/>
      <c r="M54" s="653"/>
      <c r="N54" s="684"/>
      <c r="O54" s="685"/>
      <c r="P54" s="686"/>
      <c r="Q54" s="686"/>
      <c r="R54" s="687"/>
      <c r="S54" s="688"/>
      <c r="T54" s="689"/>
      <c r="U54" s="689"/>
      <c r="V54" s="689"/>
      <c r="W54" s="689"/>
      <c r="X54" s="689"/>
      <c r="Y54" s="689"/>
      <c r="Z54" s="689"/>
      <c r="AA54" s="689"/>
      <c r="AB54" s="689"/>
      <c r="AC54" s="690"/>
      <c r="AD54" s="690"/>
      <c r="AE54" s="689"/>
      <c r="AF54" s="689"/>
      <c r="AG54" s="689"/>
      <c r="AH54" s="687"/>
      <c r="AI54" s="689"/>
      <c r="AL54" s="653"/>
      <c r="AM54" s="653"/>
      <c r="AN54" s="653"/>
    </row>
    <row r="55" spans="1:40" s="691" customFormat="1" ht="46.5">
      <c r="A55" s="680"/>
      <c r="B55" s="680"/>
      <c r="C55" s="681"/>
      <c r="D55" s="680"/>
      <c r="E55" s="680"/>
      <c r="F55" s="680"/>
      <c r="G55" s="682"/>
      <c r="H55" s="680"/>
      <c r="I55" s="680"/>
      <c r="J55" s="653"/>
      <c r="K55" s="683"/>
      <c r="L55" s="681"/>
      <c r="M55" s="636" t="s">
        <v>732</v>
      </c>
      <c r="N55" s="684"/>
      <c r="O55" s="685"/>
      <c r="P55" s="686"/>
      <c r="Q55" s="686"/>
      <c r="R55" s="687"/>
      <c r="S55" s="688"/>
      <c r="T55" s="689"/>
      <c r="U55" s="689"/>
      <c r="V55" s="689"/>
      <c r="W55" s="689"/>
      <c r="X55" s="689"/>
      <c r="Y55" s="689"/>
      <c r="Z55" s="689"/>
      <c r="AA55" s="689"/>
      <c r="AB55" s="689"/>
      <c r="AC55" s="690"/>
      <c r="AD55" s="690"/>
      <c r="AE55" s="689"/>
      <c r="AF55" s="689"/>
      <c r="AG55" s="689"/>
      <c r="AH55" s="687"/>
      <c r="AI55" s="689"/>
      <c r="AL55" s="653"/>
      <c r="AM55" s="653"/>
      <c r="AN55" s="653"/>
    </row>
    <row r="56" spans="1:40" ht="18.75" customHeight="1" outlineLevel="1">
      <c r="A56" s="644"/>
      <c r="B56" s="644"/>
      <c r="C56" s="645"/>
      <c r="D56" s="644"/>
      <c r="E56" s="644"/>
      <c r="F56" s="644"/>
      <c r="G56" s="644"/>
      <c r="H56" s="644"/>
      <c r="I56" s="644"/>
      <c r="J56" s="646"/>
      <c r="K56" s="645"/>
      <c r="L56" s="645"/>
      <c r="M56" s="646"/>
      <c r="N56" s="648"/>
      <c r="O56" s="648"/>
      <c r="P56" s="649"/>
      <c r="Q56" s="649"/>
      <c r="R56" s="650"/>
      <c r="S56" s="650"/>
      <c r="T56" s="650"/>
      <c r="U56" s="650"/>
      <c r="V56" s="650"/>
      <c r="W56" s="650"/>
      <c r="X56" s="650"/>
      <c r="Y56" s="650"/>
      <c r="Z56" s="650"/>
      <c r="AA56" s="650"/>
      <c r="AB56" s="650"/>
      <c r="AC56" s="650"/>
      <c r="AD56" s="650"/>
      <c r="AE56" s="650"/>
      <c r="AF56" s="650"/>
      <c r="AG56" s="650"/>
      <c r="AH56" s="650"/>
      <c r="AI56" s="650"/>
      <c r="AJ56" s="651"/>
      <c r="AK56" s="651"/>
      <c r="AL56" s="652"/>
    </row>
    <row r="57" spans="1:40" ht="26.25" customHeight="1" outlineLevel="1">
      <c r="A57" s="644"/>
      <c r="B57" s="644"/>
      <c r="C57" s="645"/>
      <c r="D57" s="644"/>
      <c r="E57" s="644"/>
      <c r="F57" s="644"/>
      <c r="G57" s="644"/>
      <c r="H57" s="644"/>
      <c r="I57" s="644"/>
      <c r="J57" s="646"/>
      <c r="K57" s="645"/>
      <c r="L57" s="645"/>
      <c r="M57" s="647" t="s">
        <v>298</v>
      </c>
      <c r="N57" s="648"/>
      <c r="O57" s="648"/>
      <c r="P57" s="649"/>
      <c r="Q57" s="649"/>
      <c r="R57" s="650"/>
      <c r="S57" s="650"/>
      <c r="T57" s="650"/>
      <c r="U57" s="650"/>
      <c r="V57" s="650"/>
      <c r="W57" s="650"/>
      <c r="X57" s="650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1"/>
      <c r="AK57" s="651"/>
      <c r="AL57" s="652"/>
    </row>
    <row r="58" spans="1:40" s="679" customFormat="1" ht="25.5" customHeight="1" outlineLevel="1">
      <c r="A58" s="654">
        <v>31</v>
      </c>
      <c r="B58" s="654" t="s">
        <v>69</v>
      </c>
      <c r="C58" s="655" t="s">
        <v>72</v>
      </c>
      <c r="D58" s="654" t="s">
        <v>84</v>
      </c>
      <c r="E58" s="654" t="s">
        <v>158</v>
      </c>
      <c r="F58" s="654" t="s">
        <v>299</v>
      </c>
      <c r="G58" s="654" t="s">
        <v>300</v>
      </c>
      <c r="H58" s="656">
        <v>19</v>
      </c>
      <c r="I58" s="654" t="s">
        <v>46</v>
      </c>
      <c r="J58" s="657" t="s">
        <v>40</v>
      </c>
      <c r="K58" s="655">
        <v>30095465</v>
      </c>
      <c r="L58" s="655"/>
      <c r="M58" s="657" t="s">
        <v>733</v>
      </c>
      <c r="N58" s="659" t="s">
        <v>708</v>
      </c>
      <c r="O58" s="706"/>
      <c r="P58" s="660">
        <f>778557000-110556000-241546000</f>
        <v>426455000</v>
      </c>
      <c r="Q58" s="660">
        <v>0</v>
      </c>
      <c r="R58" s="707"/>
      <c r="S58" s="661">
        <v>0</v>
      </c>
      <c r="T58" s="661">
        <v>0</v>
      </c>
      <c r="U58" s="661">
        <f>+S58-T58</f>
        <v>0</v>
      </c>
      <c r="V58" s="661"/>
      <c r="W58" s="661"/>
      <c r="X58" s="661"/>
      <c r="Y58" s="661"/>
      <c r="Z58" s="661"/>
      <c r="AA58" s="661"/>
      <c r="AB58" s="661"/>
      <c r="AC58" s="662">
        <v>0</v>
      </c>
      <c r="AD58" s="662">
        <v>0</v>
      </c>
      <c r="AE58" s="662">
        <v>0</v>
      </c>
      <c r="AF58" s="661">
        <v>0</v>
      </c>
      <c r="AG58" s="661">
        <v>0</v>
      </c>
      <c r="AH58" s="707"/>
      <c r="AI58" s="661">
        <f>+P58-Q58-T58-U58</f>
        <v>426455000</v>
      </c>
      <c r="AJ58" s="663" t="s">
        <v>706</v>
      </c>
      <c r="AK58" s="664" t="s">
        <v>706</v>
      </c>
      <c r="AL58" s="657" t="s">
        <v>734</v>
      </c>
    </row>
    <row r="59" spans="1:40" s="677" customFormat="1" ht="24.75" customHeight="1" outlineLevel="1">
      <c r="A59" s="666"/>
      <c r="B59" s="644"/>
      <c r="C59" s="645"/>
      <c r="D59" s="644"/>
      <c r="E59" s="644"/>
      <c r="F59" s="644"/>
      <c r="G59" s="644"/>
      <c r="H59" s="644"/>
      <c r="I59" s="666"/>
      <c r="J59" s="667"/>
      <c r="K59" s="668"/>
      <c r="L59" s="668"/>
      <c r="M59" s="669" t="s">
        <v>312</v>
      </c>
      <c r="N59" s="670"/>
      <c r="O59" s="671"/>
      <c r="P59" s="672">
        <f>+P58</f>
        <v>426455000</v>
      </c>
      <c r="Q59" s="672">
        <f>+Q58</f>
        <v>0</v>
      </c>
      <c r="R59" s="673"/>
      <c r="S59" s="672">
        <f>+S58</f>
        <v>0</v>
      </c>
      <c r="T59" s="672">
        <v>0</v>
      </c>
      <c r="U59" s="672">
        <f>+U58</f>
        <v>0</v>
      </c>
      <c r="V59" s="672" t="e">
        <f>+#REF!+#REF!+#REF!</f>
        <v>#REF!</v>
      </c>
      <c r="W59" s="672" t="e">
        <f>+#REF!+#REF!+#REF!</f>
        <v>#REF!</v>
      </c>
      <c r="X59" s="672" t="e">
        <f>+#REF!+#REF!+#REF!</f>
        <v>#REF!</v>
      </c>
      <c r="Y59" s="672" t="e">
        <f>+#REF!+#REF!+#REF!</f>
        <v>#REF!</v>
      </c>
      <c r="Z59" s="672" t="e">
        <f>+#REF!+#REF!+#REF!</f>
        <v>#REF!</v>
      </c>
      <c r="AA59" s="672" t="e">
        <f>+#REF!+#REF!+#REF!</f>
        <v>#REF!</v>
      </c>
      <c r="AB59" s="672" t="e">
        <f>+#REF!+#REF!+#REF!</f>
        <v>#REF!</v>
      </c>
      <c r="AC59" s="672">
        <v>0</v>
      </c>
      <c r="AD59" s="672">
        <v>21109805</v>
      </c>
      <c r="AE59" s="672">
        <v>150677458</v>
      </c>
      <c r="AF59" s="672" t="e">
        <f>+#REF!+#REF!+#REF!</f>
        <v>#REF!</v>
      </c>
      <c r="AG59" s="672" t="e">
        <f>+#REF!+#REF!+#REF!</f>
        <v>#REF!</v>
      </c>
      <c r="AH59" s="674"/>
      <c r="AI59" s="672">
        <f>+P59-Q59-T59-U59</f>
        <v>426455000</v>
      </c>
      <c r="AJ59" s="675"/>
      <c r="AK59" s="675"/>
      <c r="AL59" s="676"/>
    </row>
    <row r="60" spans="1:40" ht="18.75" customHeight="1" outlineLevel="1">
      <c r="A60" s="644"/>
      <c r="B60" s="644"/>
      <c r="C60" s="645"/>
      <c r="D60" s="644"/>
      <c r="E60" s="644"/>
      <c r="F60" s="644"/>
      <c r="G60" s="644"/>
      <c r="H60" s="644"/>
      <c r="I60" s="644"/>
      <c r="J60" s="646"/>
      <c r="K60" s="645"/>
      <c r="L60" s="645"/>
      <c r="M60" s="646"/>
      <c r="N60" s="648"/>
      <c r="O60" s="648"/>
      <c r="P60" s="649"/>
      <c r="Q60" s="649"/>
      <c r="R60" s="650"/>
      <c r="S60" s="650"/>
      <c r="T60" s="650"/>
      <c r="U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  <c r="AH60" s="650"/>
      <c r="AI60" s="650"/>
      <c r="AJ60" s="651"/>
      <c r="AK60" s="651"/>
      <c r="AL60" s="652"/>
    </row>
    <row r="62" spans="1:40" s="677" customFormat="1" ht="24.75" customHeight="1">
      <c r="A62" s="698"/>
      <c r="B62" s="680"/>
      <c r="C62" s="681"/>
      <c r="D62" s="680"/>
      <c r="E62" s="680"/>
      <c r="F62" s="680"/>
      <c r="G62" s="682"/>
      <c r="H62" s="680"/>
      <c r="I62" s="698"/>
      <c r="K62" s="699"/>
      <c r="L62" s="700"/>
      <c r="M62" s="694" t="s">
        <v>735</v>
      </c>
      <c r="N62" s="671"/>
      <c r="O62" s="671"/>
      <c r="P62" s="695">
        <f>+P59</f>
        <v>426455000</v>
      </c>
      <c r="Q62" s="695">
        <f>+Q59</f>
        <v>0</v>
      </c>
      <c r="R62" s="696"/>
      <c r="S62" s="695">
        <f>+S59</f>
        <v>0</v>
      </c>
      <c r="T62" s="695">
        <v>0</v>
      </c>
      <c r="U62" s="695">
        <f>+U59</f>
        <v>0</v>
      </c>
      <c r="V62" s="695" t="e">
        <f>+#REF!+#REF!+#REF!+#REF!+V38+#REF!</f>
        <v>#REF!</v>
      </c>
      <c r="W62" s="695" t="e">
        <f>+#REF!+#REF!+#REF!+#REF!+W38+#REF!</f>
        <v>#REF!</v>
      </c>
      <c r="X62" s="695" t="e">
        <f>+#REF!+#REF!+#REF!+#REF!+X38+#REF!</f>
        <v>#REF!</v>
      </c>
      <c r="Y62" s="695" t="e">
        <f>+#REF!+#REF!+#REF!+#REF!+Y38+#REF!</f>
        <v>#REF!</v>
      </c>
      <c r="Z62" s="695" t="e">
        <f>+#REF!+#REF!+#REF!+#REF!+Z38+#REF!</f>
        <v>#REF!</v>
      </c>
      <c r="AA62" s="695" t="e">
        <f>+#REF!+#REF!+#REF!+#REF!+AA38+#REF!</f>
        <v>#REF!</v>
      </c>
      <c r="AB62" s="695" t="e">
        <f>+#REF!+#REF!+#REF!+#REF!+AB38+#REF!</f>
        <v>#REF!</v>
      </c>
      <c r="AC62" s="695">
        <v>5022881123</v>
      </c>
      <c r="AD62" s="695">
        <v>6520346324</v>
      </c>
      <c r="AE62" s="695">
        <v>6589090637</v>
      </c>
      <c r="AF62" s="695" t="e">
        <f>+#REF!+#REF!+#REF!+#REF!+AF38+#REF!</f>
        <v>#REF!</v>
      </c>
      <c r="AG62" s="695" t="e">
        <f>+#REF!+#REF!+#REF!+#REF!+AG38+#REF!</f>
        <v>#REF!</v>
      </c>
      <c r="AH62" s="674"/>
      <c r="AI62" s="695">
        <f>+AI59</f>
        <v>426455000</v>
      </c>
      <c r="AJ62" s="701"/>
      <c r="AK62" s="701"/>
    </row>
    <row r="64" spans="1:40" s="677" customFormat="1" ht="33.75" customHeight="1">
      <c r="A64" s="698"/>
      <c r="B64" s="680"/>
      <c r="C64" s="681"/>
      <c r="D64" s="680"/>
      <c r="E64" s="680"/>
      <c r="F64" s="680"/>
      <c r="G64" s="682"/>
      <c r="H64" s="680"/>
      <c r="I64" s="698"/>
      <c r="K64" s="699"/>
      <c r="L64" s="700"/>
      <c r="M64" s="702" t="s">
        <v>736</v>
      </c>
      <c r="N64" s="671"/>
      <c r="O64" s="671"/>
      <c r="P64" s="695">
        <f>+P62+P53</f>
        <v>10408985000</v>
      </c>
      <c r="Q64" s="695">
        <f>+Q62+Q53</f>
        <v>983560139</v>
      </c>
      <c r="R64" s="696"/>
      <c r="S64" s="695">
        <f>+S62+S53</f>
        <v>0</v>
      </c>
      <c r="T64" s="695">
        <v>548871000</v>
      </c>
      <c r="U64" s="695">
        <f>+U62+U53</f>
        <v>-4298798643</v>
      </c>
      <c r="V64" s="695" t="e">
        <f>+#REF!+#REF!+#REF!+#REF!+#REF!+V62</f>
        <v>#REF!</v>
      </c>
      <c r="W64" s="695" t="e">
        <f>+#REF!+#REF!+#REF!+#REF!+#REF!+W62</f>
        <v>#REF!</v>
      </c>
      <c r="X64" s="695" t="e">
        <f>+#REF!+#REF!+#REF!+#REF!+#REF!+X62</f>
        <v>#REF!</v>
      </c>
      <c r="Y64" s="695" t="e">
        <f>+#REF!+#REF!+#REF!+#REF!+#REF!+Y62</f>
        <v>#REF!</v>
      </c>
      <c r="Z64" s="695" t="e">
        <f>+#REF!+#REF!+#REF!+#REF!+#REF!+Z62</f>
        <v>#REF!</v>
      </c>
      <c r="AA64" s="695" t="e">
        <f>+#REF!+#REF!+#REF!+#REF!+#REF!+AA62</f>
        <v>#REF!</v>
      </c>
      <c r="AB64" s="695" t="e">
        <f>+#REF!+#REF!+#REF!+#REF!+#REF!+AB62</f>
        <v>#REF!</v>
      </c>
      <c r="AC64" s="695">
        <v>5022881123</v>
      </c>
      <c r="AD64" s="695">
        <v>6520346324</v>
      </c>
      <c r="AE64" s="695">
        <v>6589090637</v>
      </c>
      <c r="AF64" s="695" t="e">
        <f>+#REF!+#REF!+#REF!+#REF!+#REF!+AF62</f>
        <v>#REF!</v>
      </c>
      <c r="AG64" s="695" t="e">
        <f>+#REF!+#REF!+#REF!+#REF!+#REF!+AG62</f>
        <v>#REF!</v>
      </c>
      <c r="AH64" s="674"/>
      <c r="AI64" s="672">
        <f>+P64-Q64-T64-U64</f>
        <v>13175352504</v>
      </c>
      <c r="AJ64" s="701"/>
      <c r="AK64" s="701"/>
    </row>
    <row r="65" spans="1:40" s="691" customFormat="1" ht="21">
      <c r="A65" s="680"/>
      <c r="B65" s="680"/>
      <c r="C65" s="681"/>
      <c r="D65" s="680"/>
      <c r="E65" s="680"/>
      <c r="F65" s="680"/>
      <c r="G65" s="682"/>
      <c r="H65" s="680"/>
      <c r="I65" s="680"/>
      <c r="J65" s="653"/>
      <c r="K65" s="683"/>
      <c r="L65" s="681"/>
      <c r="M65" s="653"/>
      <c r="N65" s="684"/>
      <c r="O65" s="685"/>
      <c r="P65" s="686"/>
      <c r="Q65" s="686"/>
      <c r="R65" s="687"/>
      <c r="S65" s="688"/>
      <c r="T65" s="689"/>
      <c r="U65" s="689"/>
      <c r="V65" s="689"/>
      <c r="W65" s="689"/>
      <c r="X65" s="689"/>
      <c r="Y65" s="689"/>
      <c r="Z65" s="689"/>
      <c r="AA65" s="689"/>
      <c r="AB65" s="689"/>
      <c r="AC65" s="690"/>
      <c r="AD65" s="690"/>
      <c r="AE65" s="689"/>
      <c r="AF65" s="689"/>
      <c r="AG65" s="689"/>
      <c r="AH65" s="687"/>
      <c r="AI65" s="689"/>
      <c r="AL65" s="653"/>
      <c r="AM65" s="653"/>
      <c r="AN65" s="653"/>
    </row>
    <row r="66" spans="1:40" ht="23.25">
      <c r="P66" s="703"/>
    </row>
    <row r="69" spans="1:40" ht="28.5">
      <c r="M69" s="704" t="s">
        <v>737</v>
      </c>
      <c r="P69" s="705">
        <v>10408985000</v>
      </c>
      <c r="S69" s="705">
        <v>800086600</v>
      </c>
    </row>
    <row r="71" spans="1:40" ht="26.25">
      <c r="P71" s="705"/>
    </row>
    <row r="72" spans="1:40" ht="26.25">
      <c r="P72" s="705"/>
    </row>
  </sheetData>
  <autoFilter ref="A2:AL53"/>
  <mergeCells count="1">
    <mergeCell ref="S1:U1"/>
  </mergeCells>
  <conditionalFormatting sqref="K33">
    <cfRule type="duplicateValues" dxfId="11" priority="27"/>
  </conditionalFormatting>
  <conditionalFormatting sqref="L7">
    <cfRule type="duplicateValues" dxfId="10" priority="14"/>
  </conditionalFormatting>
  <conditionalFormatting sqref="L15">
    <cfRule type="duplicateValues" dxfId="9" priority="11"/>
  </conditionalFormatting>
  <conditionalFormatting sqref="K37">
    <cfRule type="duplicateValues" dxfId="8" priority="30"/>
  </conditionalFormatting>
  <conditionalFormatting sqref="L11">
    <cfRule type="duplicateValues" dxfId="7" priority="5"/>
  </conditionalFormatting>
  <conditionalFormatting sqref="L43">
    <cfRule type="duplicateValues" dxfId="6" priority="2"/>
  </conditionalFormatting>
  <conditionalFormatting sqref="K7">
    <cfRule type="duplicateValues" dxfId="5" priority="39"/>
  </conditionalFormatting>
  <conditionalFormatting sqref="K15">
    <cfRule type="duplicateValues" dxfId="4" priority="40"/>
  </conditionalFormatting>
  <conditionalFormatting sqref="K11">
    <cfRule type="duplicateValues" dxfId="3" priority="42"/>
  </conditionalFormatting>
  <conditionalFormatting sqref="K43">
    <cfRule type="duplicateValues" dxfId="2" priority="43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302" scale="35" orientation="landscape" r:id="rId1"/>
  <headerFooter>
    <oddHeader>&amp;L&amp;14              GOBIERNO REGIONAL DE LOS LAGOS
DIVISIÓN DE PRESUPUESTO E INVERSIÓN REGIONAL&amp;C&amp;36ANEXO
&amp;"-,Negrita"ACUERDO SOCIAL COMPLEMENTARIO</oddHeader>
    <oddFooter>&amp;C&amp;14&amp;P de &amp;N</oddFooter>
  </headerFooter>
  <rowBreaks count="2" manualBreakCount="2">
    <brk id="44" max="45" man="1"/>
    <brk id="65" max="4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H98"/>
  <sheetViews>
    <sheetView topLeftCell="A64" workbookViewId="0">
      <selection activeCell="F106" sqref="F106"/>
    </sheetView>
  </sheetViews>
  <sheetFormatPr baseColWidth="10" defaultRowHeight="15"/>
  <cols>
    <col min="1" max="1" width="17.5703125" customWidth="1"/>
    <col min="2" max="2" width="26.85546875" customWidth="1"/>
    <col min="3" max="3" width="26.42578125" customWidth="1"/>
    <col min="4" max="4" width="28.7109375" customWidth="1"/>
    <col min="5" max="5" width="26.42578125" customWidth="1"/>
    <col min="6" max="6" width="28.7109375" customWidth="1"/>
    <col min="7" max="8" width="21.85546875" customWidth="1"/>
  </cols>
  <sheetData>
    <row r="3" spans="1:8">
      <c r="A3" s="570" t="s">
        <v>649</v>
      </c>
      <c r="B3" t="s">
        <v>651</v>
      </c>
      <c r="C3" t="s">
        <v>652</v>
      </c>
      <c r="D3" t="s">
        <v>653</v>
      </c>
      <c r="E3" t="s">
        <v>654</v>
      </c>
      <c r="F3" t="s">
        <v>655</v>
      </c>
      <c r="G3" t="s">
        <v>656</v>
      </c>
    </row>
    <row r="4" spans="1:8">
      <c r="A4" s="254" t="s">
        <v>299</v>
      </c>
      <c r="B4" s="571">
        <v>52363861309</v>
      </c>
      <c r="C4" s="571">
        <v>15414658784</v>
      </c>
      <c r="D4" s="571">
        <v>14964340667.666702</v>
      </c>
      <c r="E4" s="571">
        <v>678320859</v>
      </c>
      <c r="F4" s="571">
        <v>14286019808.666702</v>
      </c>
      <c r="G4" s="571">
        <v>21984861857.333298</v>
      </c>
    </row>
    <row r="5" spans="1:8">
      <c r="A5" s="254" t="s">
        <v>173</v>
      </c>
      <c r="B5" s="571">
        <v>108446512764</v>
      </c>
      <c r="C5" s="571">
        <v>30955558081</v>
      </c>
      <c r="D5" s="571">
        <v>22409803100.666634</v>
      </c>
      <c r="E5" s="571">
        <v>3144418618</v>
      </c>
      <c r="F5" s="571">
        <v>19265384482.666634</v>
      </c>
      <c r="G5" s="571">
        <v>55081151582.333366</v>
      </c>
    </row>
    <row r="6" spans="1:8">
      <c r="A6" s="254" t="s">
        <v>38</v>
      </c>
      <c r="B6" s="571">
        <v>96170860662</v>
      </c>
      <c r="C6" s="571">
        <v>33823234849</v>
      </c>
      <c r="D6" s="571">
        <v>15677590873.666664</v>
      </c>
      <c r="E6" s="571">
        <v>1798080313</v>
      </c>
      <c r="F6" s="571">
        <v>13879510560.666664</v>
      </c>
      <c r="G6" s="571">
        <v>46670034939.333336</v>
      </c>
    </row>
    <row r="7" spans="1:8">
      <c r="A7" s="254" t="s">
        <v>407</v>
      </c>
      <c r="B7" s="571">
        <v>79693814046</v>
      </c>
      <c r="C7" s="571">
        <v>16907081718</v>
      </c>
      <c r="D7" s="571">
        <v>10387359332</v>
      </c>
      <c r="E7" s="571">
        <v>398234113</v>
      </c>
      <c r="F7" s="571">
        <v>9989125219</v>
      </c>
      <c r="G7" s="571">
        <v>52399372996</v>
      </c>
    </row>
    <row r="8" spans="1:8">
      <c r="A8" s="254" t="s">
        <v>461</v>
      </c>
      <c r="B8" s="571">
        <v>38301742936</v>
      </c>
      <c r="C8" s="571">
        <v>6940379861</v>
      </c>
      <c r="D8" s="571">
        <v>16629930579</v>
      </c>
      <c r="E8" s="571">
        <v>13358810</v>
      </c>
      <c r="F8" s="571">
        <v>16616571769</v>
      </c>
      <c r="G8" s="571">
        <v>14731432496</v>
      </c>
    </row>
    <row r="9" spans="1:8">
      <c r="A9" s="254" t="s">
        <v>497</v>
      </c>
      <c r="B9" s="571">
        <v>41399108704</v>
      </c>
      <c r="C9" s="571">
        <v>16527194795</v>
      </c>
      <c r="D9" s="571">
        <v>11852727552</v>
      </c>
      <c r="E9" s="571">
        <v>0</v>
      </c>
      <c r="F9" s="571">
        <v>11852727552</v>
      </c>
      <c r="G9" s="571">
        <v>13019186357</v>
      </c>
    </row>
    <row r="10" spans="1:8">
      <c r="A10" s="254" t="s">
        <v>650</v>
      </c>
      <c r="B10" s="571">
        <v>416375900421</v>
      </c>
      <c r="C10" s="571">
        <v>120568108088</v>
      </c>
      <c r="D10" s="571">
        <v>91921752105</v>
      </c>
      <c r="E10" s="571">
        <v>6032412713</v>
      </c>
      <c r="F10" s="571">
        <v>85889339392</v>
      </c>
      <c r="G10" s="571">
        <v>203886040228</v>
      </c>
    </row>
    <row r="14" spans="1:8">
      <c r="A14" s="570" t="s">
        <v>649</v>
      </c>
      <c r="B14" t="s">
        <v>657</v>
      </c>
      <c r="C14" t="s">
        <v>651</v>
      </c>
      <c r="D14" t="s">
        <v>652</v>
      </c>
      <c r="E14" t="s">
        <v>653</v>
      </c>
      <c r="F14" t="s">
        <v>654</v>
      </c>
      <c r="G14" t="s">
        <v>655</v>
      </c>
      <c r="H14" t="s">
        <v>656</v>
      </c>
    </row>
    <row r="15" spans="1:8">
      <c r="A15" s="254" t="s">
        <v>300</v>
      </c>
      <c r="B15" s="571">
        <v>11</v>
      </c>
      <c r="C15" s="571">
        <v>4018803499</v>
      </c>
      <c r="D15" s="571">
        <v>1055727100</v>
      </c>
      <c r="E15" s="571">
        <v>1494628006</v>
      </c>
      <c r="F15" s="571">
        <v>180989073</v>
      </c>
      <c r="G15" s="571">
        <v>1313638933</v>
      </c>
      <c r="H15" s="571">
        <v>1468448393</v>
      </c>
    </row>
    <row r="16" spans="1:8">
      <c r="A16" s="254" t="s">
        <v>189</v>
      </c>
      <c r="B16" s="571">
        <v>9</v>
      </c>
      <c r="C16" s="571">
        <v>15135282892</v>
      </c>
      <c r="D16" s="571">
        <v>1376386124</v>
      </c>
      <c r="E16" s="571">
        <v>3182041550</v>
      </c>
      <c r="F16" s="571">
        <v>2580813</v>
      </c>
      <c r="G16" s="571">
        <v>3179460737</v>
      </c>
      <c r="H16" s="571">
        <v>10576855218</v>
      </c>
    </row>
    <row r="17" spans="1:8">
      <c r="A17" s="254" t="s">
        <v>314</v>
      </c>
      <c r="B17" s="571">
        <v>10</v>
      </c>
      <c r="C17" s="571">
        <v>7438222000</v>
      </c>
      <c r="D17" s="571">
        <v>1783569456</v>
      </c>
      <c r="E17" s="571">
        <v>2469667554</v>
      </c>
      <c r="F17" s="571">
        <v>85989325</v>
      </c>
      <c r="G17" s="571">
        <v>2383678229</v>
      </c>
      <c r="H17" s="571">
        <v>3184984990</v>
      </c>
    </row>
    <row r="18" spans="1:8">
      <c r="A18" s="254" t="s">
        <v>408</v>
      </c>
      <c r="B18" s="571">
        <v>4</v>
      </c>
      <c r="C18" s="571">
        <v>1363464000</v>
      </c>
      <c r="D18" s="571">
        <v>95407000</v>
      </c>
      <c r="E18" s="571">
        <v>619084227</v>
      </c>
      <c r="F18" s="571">
        <v>0</v>
      </c>
      <c r="G18" s="571">
        <v>619084227</v>
      </c>
      <c r="H18" s="571">
        <v>648972773</v>
      </c>
    </row>
    <row r="19" spans="1:8">
      <c r="A19" s="254" t="s">
        <v>327</v>
      </c>
      <c r="B19" s="571">
        <v>9</v>
      </c>
      <c r="C19" s="571">
        <v>5994285684</v>
      </c>
      <c r="D19" s="571">
        <v>1557956702</v>
      </c>
      <c r="E19" s="571">
        <v>1027875630</v>
      </c>
      <c r="F19" s="571">
        <v>57781035</v>
      </c>
      <c r="G19" s="571">
        <v>970094595</v>
      </c>
      <c r="H19" s="571">
        <v>3408453352</v>
      </c>
    </row>
    <row r="20" spans="1:8">
      <c r="A20" s="254" t="s">
        <v>200</v>
      </c>
      <c r="B20" s="571">
        <v>10</v>
      </c>
      <c r="C20" s="571">
        <v>3280601098</v>
      </c>
      <c r="D20" s="571">
        <v>57997400</v>
      </c>
      <c r="E20" s="571">
        <v>919669996</v>
      </c>
      <c r="F20" s="571">
        <v>40123134</v>
      </c>
      <c r="G20" s="571">
        <v>879546862</v>
      </c>
      <c r="H20" s="571">
        <v>2302933702</v>
      </c>
    </row>
    <row r="21" spans="1:8">
      <c r="A21" s="254" t="s">
        <v>339</v>
      </c>
      <c r="B21" s="571">
        <v>3</v>
      </c>
      <c r="C21" s="571">
        <v>2327715000</v>
      </c>
      <c r="D21" s="571">
        <v>650412984</v>
      </c>
      <c r="E21" s="571">
        <v>678218516</v>
      </c>
      <c r="F21" s="571">
        <v>113651927</v>
      </c>
      <c r="G21" s="571">
        <v>564566589</v>
      </c>
      <c r="H21" s="571">
        <v>999083500</v>
      </c>
    </row>
    <row r="22" spans="1:8">
      <c r="A22" s="254" t="s">
        <v>345</v>
      </c>
      <c r="B22" s="571">
        <v>9</v>
      </c>
      <c r="C22" s="571">
        <v>3521210184</v>
      </c>
      <c r="D22" s="571">
        <v>552981006</v>
      </c>
      <c r="E22" s="571">
        <v>1897437788</v>
      </c>
      <c r="F22" s="571">
        <v>40429878</v>
      </c>
      <c r="G22" s="571">
        <v>1857007910</v>
      </c>
      <c r="H22" s="571">
        <v>1070791390</v>
      </c>
    </row>
    <row r="23" spans="1:8">
      <c r="A23" s="254" t="s">
        <v>497</v>
      </c>
      <c r="B23" s="571">
        <v>60</v>
      </c>
      <c r="C23" s="571">
        <v>41399108704</v>
      </c>
      <c r="D23" s="571">
        <v>16527194795</v>
      </c>
      <c r="E23" s="571">
        <v>11852727552</v>
      </c>
      <c r="F23" s="571">
        <v>0</v>
      </c>
      <c r="G23" s="571">
        <v>11852727552</v>
      </c>
      <c r="H23" s="571">
        <v>13019186357</v>
      </c>
    </row>
    <row r="24" spans="1:8">
      <c r="A24" s="254" t="s">
        <v>214</v>
      </c>
      <c r="B24" s="571">
        <v>10</v>
      </c>
      <c r="C24" s="571">
        <v>6471606495</v>
      </c>
      <c r="D24" s="571">
        <v>1870326590</v>
      </c>
      <c r="E24" s="571">
        <v>1737713823</v>
      </c>
      <c r="F24" s="571">
        <v>63815489</v>
      </c>
      <c r="G24" s="571">
        <v>1673898334</v>
      </c>
      <c r="H24" s="571">
        <v>2863566082</v>
      </c>
    </row>
    <row r="25" spans="1:8">
      <c r="A25" s="254" t="s">
        <v>224</v>
      </c>
      <c r="B25" s="571">
        <v>10</v>
      </c>
      <c r="C25" s="571">
        <v>10261780391</v>
      </c>
      <c r="D25" s="571">
        <v>2316853351</v>
      </c>
      <c r="E25" s="571">
        <v>2288385294</v>
      </c>
      <c r="F25" s="571">
        <v>1870905369</v>
      </c>
      <c r="G25" s="571">
        <v>417479925</v>
      </c>
      <c r="H25" s="571">
        <v>5656541746</v>
      </c>
    </row>
    <row r="26" spans="1:8">
      <c r="A26" s="254" t="s">
        <v>415</v>
      </c>
      <c r="B26" s="571">
        <v>7</v>
      </c>
      <c r="C26" s="571">
        <v>9091486378</v>
      </c>
      <c r="D26" s="571">
        <v>7902898687</v>
      </c>
      <c r="E26" s="571">
        <v>874726265</v>
      </c>
      <c r="F26" s="571">
        <v>49512258</v>
      </c>
      <c r="G26" s="571">
        <v>825214007</v>
      </c>
      <c r="H26" s="571">
        <v>313861426</v>
      </c>
    </row>
    <row r="27" spans="1:8">
      <c r="A27" s="254" t="s">
        <v>425</v>
      </c>
      <c r="B27" s="571">
        <v>10</v>
      </c>
      <c r="C27" s="571">
        <v>3071815000</v>
      </c>
      <c r="D27" s="571">
        <v>1127483773</v>
      </c>
      <c r="E27" s="571">
        <v>1514342804</v>
      </c>
      <c r="F27" s="571">
        <v>35723661</v>
      </c>
      <c r="G27" s="571">
        <v>1478619143</v>
      </c>
      <c r="H27" s="571">
        <v>429988423</v>
      </c>
    </row>
    <row r="28" spans="1:8">
      <c r="A28" s="254" t="s">
        <v>173</v>
      </c>
      <c r="B28" s="571">
        <v>5</v>
      </c>
      <c r="C28" s="571">
        <v>5646560768</v>
      </c>
      <c r="D28" s="571">
        <v>3828816269</v>
      </c>
      <c r="E28" s="571">
        <v>1027054368</v>
      </c>
      <c r="F28" s="571">
        <v>6329255</v>
      </c>
      <c r="G28" s="571">
        <v>1020725113</v>
      </c>
      <c r="H28" s="571">
        <v>790690131</v>
      </c>
    </row>
    <row r="29" spans="1:8">
      <c r="A29" s="254" t="s">
        <v>241</v>
      </c>
      <c r="B29" s="571">
        <v>12</v>
      </c>
      <c r="C29" s="571">
        <v>4292243010</v>
      </c>
      <c r="D29" s="571">
        <v>1159386907</v>
      </c>
      <c r="E29" s="571">
        <v>1321074704</v>
      </c>
      <c r="F29" s="571">
        <v>268772416</v>
      </c>
      <c r="G29" s="571">
        <v>1052302288</v>
      </c>
      <c r="H29" s="571">
        <v>1811781399</v>
      </c>
    </row>
    <row r="30" spans="1:8">
      <c r="A30" s="254" t="s">
        <v>258</v>
      </c>
      <c r="B30" s="571">
        <v>6</v>
      </c>
      <c r="C30" s="571">
        <v>2672775624</v>
      </c>
      <c r="D30" s="571">
        <v>0</v>
      </c>
      <c r="E30" s="571">
        <v>987506000</v>
      </c>
      <c r="F30" s="571">
        <v>4552196</v>
      </c>
      <c r="G30" s="571">
        <v>982953804</v>
      </c>
      <c r="H30" s="571">
        <v>1685269624</v>
      </c>
    </row>
    <row r="31" spans="1:8">
      <c r="A31" s="254" t="s">
        <v>38</v>
      </c>
      <c r="B31" s="571">
        <v>13</v>
      </c>
      <c r="C31" s="571">
        <v>28918469000</v>
      </c>
      <c r="D31" s="571">
        <v>9800562401</v>
      </c>
      <c r="E31" s="571">
        <v>5889864144.666667</v>
      </c>
      <c r="F31" s="571">
        <v>1300000</v>
      </c>
      <c r="G31" s="571">
        <v>5888564144.666667</v>
      </c>
      <c r="H31" s="571">
        <v>13228042454.333332</v>
      </c>
    </row>
    <row r="32" spans="1:8">
      <c r="A32" s="254" t="s">
        <v>174</v>
      </c>
      <c r="B32" s="571">
        <v>12</v>
      </c>
      <c r="C32" s="571">
        <v>20160732534</v>
      </c>
      <c r="D32" s="571">
        <v>608863534</v>
      </c>
      <c r="E32" s="571">
        <v>3408643699.6666331</v>
      </c>
      <c r="F32" s="571">
        <v>55138454</v>
      </c>
      <c r="G32" s="571">
        <v>3353505245.6666331</v>
      </c>
      <c r="H32" s="571">
        <v>16143225300.333366</v>
      </c>
    </row>
    <row r="33" spans="1:8">
      <c r="A33" s="254" t="s">
        <v>266</v>
      </c>
      <c r="B33" s="571">
        <v>12</v>
      </c>
      <c r="C33" s="571">
        <v>10956959952</v>
      </c>
      <c r="D33" s="571">
        <v>4478111500</v>
      </c>
      <c r="E33" s="571">
        <v>3006713738</v>
      </c>
      <c r="F33" s="571">
        <v>319817591</v>
      </c>
      <c r="G33" s="571">
        <v>2686896147</v>
      </c>
      <c r="H33" s="571">
        <v>3472134714</v>
      </c>
    </row>
    <row r="34" spans="1:8">
      <c r="A34" s="254" t="s">
        <v>407</v>
      </c>
      <c r="B34" s="571">
        <v>8</v>
      </c>
      <c r="C34" s="571">
        <v>4678063000</v>
      </c>
      <c r="D34" s="571">
        <v>1208174304</v>
      </c>
      <c r="E34" s="571">
        <v>1458986552</v>
      </c>
      <c r="F34" s="571">
        <v>216459187</v>
      </c>
      <c r="G34" s="571">
        <v>1242527365</v>
      </c>
      <c r="H34" s="571">
        <v>2010902144</v>
      </c>
    </row>
    <row r="35" spans="1:8">
      <c r="A35" s="254" t="s">
        <v>399</v>
      </c>
      <c r="B35" s="571">
        <v>4</v>
      </c>
      <c r="C35" s="571">
        <v>9297587800</v>
      </c>
      <c r="D35" s="571">
        <v>1407928844</v>
      </c>
      <c r="E35" s="571">
        <v>2010463754.666702</v>
      </c>
      <c r="F35" s="571">
        <v>12960778</v>
      </c>
      <c r="G35" s="571">
        <v>1997502976.666702</v>
      </c>
      <c r="H35" s="571">
        <v>5879195201.3332977</v>
      </c>
    </row>
    <row r="36" spans="1:8">
      <c r="A36" s="254" t="s">
        <v>151</v>
      </c>
      <c r="B36" s="571">
        <v>14</v>
      </c>
      <c r="C36" s="571">
        <v>39160210367</v>
      </c>
      <c r="D36" s="571">
        <v>14004908464</v>
      </c>
      <c r="E36" s="571">
        <v>4256079174.3333302</v>
      </c>
      <c r="F36" s="571">
        <v>1002676489</v>
      </c>
      <c r="G36" s="571">
        <v>3253402685.3333302</v>
      </c>
      <c r="H36" s="571">
        <v>20899222728.666672</v>
      </c>
    </row>
    <row r="37" spans="1:8">
      <c r="A37" s="254" t="s">
        <v>447</v>
      </c>
      <c r="B37" s="571">
        <v>11</v>
      </c>
      <c r="C37" s="571">
        <v>61488985668</v>
      </c>
      <c r="D37" s="571">
        <v>6573117954</v>
      </c>
      <c r="E37" s="571">
        <v>5920219484</v>
      </c>
      <c r="F37" s="571">
        <v>96539007</v>
      </c>
      <c r="G37" s="571">
        <v>5823680477</v>
      </c>
      <c r="H37" s="571">
        <v>48995648230</v>
      </c>
    </row>
    <row r="38" spans="1:8">
      <c r="A38" s="254" t="s">
        <v>281</v>
      </c>
      <c r="B38" s="571">
        <v>12</v>
      </c>
      <c r="C38" s="571">
        <v>29567970000</v>
      </c>
      <c r="D38" s="571">
        <v>15258816406</v>
      </c>
      <c r="E38" s="571">
        <v>4530999928</v>
      </c>
      <c r="F38" s="571">
        <v>512383901</v>
      </c>
      <c r="G38" s="571">
        <v>4018616027</v>
      </c>
      <c r="H38" s="571">
        <v>9778153666</v>
      </c>
    </row>
    <row r="39" spans="1:8">
      <c r="A39" s="254" t="s">
        <v>86</v>
      </c>
      <c r="B39" s="571">
        <v>5</v>
      </c>
      <c r="C39" s="571">
        <v>2233130764</v>
      </c>
      <c r="D39" s="571">
        <v>1072531447</v>
      </c>
      <c r="E39" s="571">
        <v>949451106</v>
      </c>
      <c r="F39" s="571">
        <v>330943961</v>
      </c>
      <c r="G39" s="571">
        <v>618507145</v>
      </c>
      <c r="H39" s="571">
        <v>211148211</v>
      </c>
    </row>
    <row r="40" spans="1:8">
      <c r="A40" s="254" t="s">
        <v>358</v>
      </c>
      <c r="B40" s="571">
        <v>3</v>
      </c>
      <c r="C40" s="571">
        <v>4338932337</v>
      </c>
      <c r="D40" s="571">
        <v>3282614899</v>
      </c>
      <c r="E40" s="571">
        <v>252389548</v>
      </c>
      <c r="F40" s="571">
        <v>0</v>
      </c>
      <c r="G40" s="571">
        <v>252389548</v>
      </c>
      <c r="H40" s="571">
        <v>803927890</v>
      </c>
    </row>
    <row r="41" spans="1:8">
      <c r="A41" s="254" t="s">
        <v>96</v>
      </c>
      <c r="B41" s="571">
        <v>14</v>
      </c>
      <c r="C41" s="571">
        <v>8486039432</v>
      </c>
      <c r="D41" s="571">
        <v>1428139679</v>
      </c>
      <c r="E41" s="571">
        <v>1298845237.6666665</v>
      </c>
      <c r="F41" s="571">
        <v>25212039</v>
      </c>
      <c r="G41" s="571">
        <v>1273633198.6666665</v>
      </c>
      <c r="H41" s="571">
        <v>5759054515.333333</v>
      </c>
    </row>
    <row r="42" spans="1:8">
      <c r="A42" s="254" t="s">
        <v>113</v>
      </c>
      <c r="B42" s="571">
        <v>7</v>
      </c>
      <c r="C42" s="571">
        <v>4434676930</v>
      </c>
      <c r="D42" s="571">
        <v>3093489670</v>
      </c>
      <c r="E42" s="571">
        <v>564666839</v>
      </c>
      <c r="F42" s="571">
        <v>0</v>
      </c>
      <c r="G42" s="571">
        <v>564666839</v>
      </c>
      <c r="H42" s="571">
        <v>776520421</v>
      </c>
    </row>
    <row r="43" spans="1:8">
      <c r="A43" s="254" t="s">
        <v>363</v>
      </c>
      <c r="B43" s="571">
        <v>5</v>
      </c>
      <c r="C43" s="571">
        <v>2526883000</v>
      </c>
      <c r="D43" s="571">
        <v>771466530</v>
      </c>
      <c r="E43" s="571">
        <v>973442212</v>
      </c>
      <c r="F43" s="571">
        <v>117404362</v>
      </c>
      <c r="G43" s="571">
        <v>856037850</v>
      </c>
      <c r="H43" s="571">
        <v>781974258</v>
      </c>
    </row>
    <row r="44" spans="1:8">
      <c r="A44" s="254" t="s">
        <v>370</v>
      </c>
      <c r="B44" s="571">
        <v>10</v>
      </c>
      <c r="C44" s="571">
        <v>6891003000</v>
      </c>
      <c r="D44" s="571">
        <v>2391277130</v>
      </c>
      <c r="E44" s="571">
        <v>2165564609</v>
      </c>
      <c r="F44" s="571">
        <v>62039496</v>
      </c>
      <c r="G44" s="571">
        <v>2103525113</v>
      </c>
      <c r="H44" s="571">
        <v>2334161261</v>
      </c>
    </row>
    <row r="45" spans="1:8">
      <c r="A45" s="254" t="s">
        <v>383</v>
      </c>
      <c r="B45" s="571">
        <v>9</v>
      </c>
      <c r="C45" s="571">
        <v>4669483805</v>
      </c>
      <c r="D45" s="571">
        <v>1959994133</v>
      </c>
      <c r="E45" s="571">
        <v>1090561050</v>
      </c>
      <c r="F45" s="571">
        <v>0</v>
      </c>
      <c r="G45" s="571">
        <v>1090561050</v>
      </c>
      <c r="H45" s="571">
        <v>1618928622</v>
      </c>
    </row>
    <row r="46" spans="1:8">
      <c r="A46" s="254" t="s">
        <v>394</v>
      </c>
      <c r="B46" s="571">
        <v>4</v>
      </c>
      <c r="C46" s="571">
        <v>1339735000</v>
      </c>
      <c r="D46" s="571">
        <v>730000</v>
      </c>
      <c r="E46" s="571">
        <v>904092000</v>
      </c>
      <c r="F46" s="571">
        <v>7074985</v>
      </c>
      <c r="G46" s="571">
        <v>897017015</v>
      </c>
      <c r="H46" s="571">
        <v>434913000</v>
      </c>
    </row>
    <row r="47" spans="1:8">
      <c r="A47" s="254" t="s">
        <v>461</v>
      </c>
      <c r="B47" s="571">
        <v>22</v>
      </c>
      <c r="C47" s="571">
        <v>38301742936</v>
      </c>
      <c r="D47" s="571">
        <v>6940379861</v>
      </c>
      <c r="E47" s="571">
        <v>16629930579</v>
      </c>
      <c r="F47" s="571">
        <v>13358810</v>
      </c>
      <c r="G47" s="571">
        <v>16616571769</v>
      </c>
      <c r="H47" s="571">
        <v>14731432496</v>
      </c>
    </row>
    <row r="48" spans="1:8">
      <c r="A48" s="254" t="s">
        <v>125</v>
      </c>
      <c r="B48" s="571">
        <v>8</v>
      </c>
      <c r="C48" s="571">
        <v>2173451169</v>
      </c>
      <c r="D48" s="571">
        <v>1180324687</v>
      </c>
      <c r="E48" s="571">
        <v>440904734</v>
      </c>
      <c r="F48" s="571">
        <v>61942026</v>
      </c>
      <c r="G48" s="571">
        <v>378962708</v>
      </c>
      <c r="H48" s="571">
        <v>552221748</v>
      </c>
    </row>
    <row r="49" spans="1:8">
      <c r="A49" s="254" t="s">
        <v>139</v>
      </c>
      <c r="B49" s="571">
        <v>4</v>
      </c>
      <c r="C49" s="571">
        <v>7125410000</v>
      </c>
      <c r="D49" s="571">
        <v>3231549001</v>
      </c>
      <c r="E49" s="571">
        <v>1243126699</v>
      </c>
      <c r="F49" s="571">
        <v>15666931</v>
      </c>
      <c r="G49" s="571">
        <v>1227459768</v>
      </c>
      <c r="H49" s="571">
        <v>2650734300</v>
      </c>
    </row>
    <row r="50" spans="1:8">
      <c r="A50" s="254" t="s">
        <v>145</v>
      </c>
      <c r="B50" s="571">
        <v>3</v>
      </c>
      <c r="C50" s="571">
        <v>3639473000</v>
      </c>
      <c r="D50" s="571">
        <v>11729500</v>
      </c>
      <c r="E50" s="571">
        <v>1034652939</v>
      </c>
      <c r="F50" s="571">
        <v>360338867</v>
      </c>
      <c r="G50" s="571">
        <v>674314072</v>
      </c>
      <c r="H50" s="571">
        <v>2593090561</v>
      </c>
    </row>
    <row r="51" spans="1:8">
      <c r="A51" s="254" t="s">
        <v>650</v>
      </c>
      <c r="B51" s="571">
        <v>365</v>
      </c>
      <c r="C51" s="571">
        <v>416375900421</v>
      </c>
      <c r="D51" s="571">
        <v>120568108088</v>
      </c>
      <c r="E51" s="571">
        <v>91921752105</v>
      </c>
      <c r="F51" s="571">
        <v>6032412713</v>
      </c>
      <c r="G51" s="571">
        <v>85889339392</v>
      </c>
      <c r="H51" s="571">
        <v>203886040228.00003</v>
      </c>
    </row>
    <row r="56" spans="1:8">
      <c r="A56" s="570" t="s">
        <v>649</v>
      </c>
      <c r="B56" t="s">
        <v>653</v>
      </c>
      <c r="C56" t="s">
        <v>654</v>
      </c>
      <c r="D56" t="s">
        <v>655</v>
      </c>
    </row>
    <row r="57" spans="1:8">
      <c r="A57" s="254" t="s">
        <v>310</v>
      </c>
      <c r="B57" s="571">
        <v>3660581000</v>
      </c>
      <c r="C57" s="571">
        <v>0</v>
      </c>
      <c r="D57" s="571">
        <v>3660581000</v>
      </c>
    </row>
    <row r="58" spans="1:8">
      <c r="A58" s="254" t="s">
        <v>39</v>
      </c>
      <c r="B58" s="571">
        <v>2606915000</v>
      </c>
      <c r="C58" s="571">
        <v>0</v>
      </c>
      <c r="D58" s="571">
        <v>2606915000</v>
      </c>
    </row>
    <row r="59" spans="1:8">
      <c r="A59" s="254" t="s">
        <v>205</v>
      </c>
      <c r="B59" s="571">
        <v>1605064000</v>
      </c>
      <c r="C59" s="571">
        <v>0</v>
      </c>
      <c r="D59" s="571">
        <v>1605064000</v>
      </c>
    </row>
    <row r="60" spans="1:8">
      <c r="A60" s="254" t="s">
        <v>590</v>
      </c>
      <c r="B60" s="571">
        <v>1577281000</v>
      </c>
      <c r="C60" s="571">
        <v>0</v>
      </c>
      <c r="D60" s="571">
        <v>1577281000</v>
      </c>
    </row>
    <row r="61" spans="1:8">
      <c r="A61" s="254" t="s">
        <v>88</v>
      </c>
      <c r="B61" s="571">
        <v>1937213162</v>
      </c>
      <c r="C61" s="571">
        <v>187000007</v>
      </c>
      <c r="D61" s="571">
        <v>1750213155</v>
      </c>
    </row>
    <row r="62" spans="1:8">
      <c r="A62" s="254" t="s">
        <v>76</v>
      </c>
      <c r="B62" s="571">
        <v>6050000000</v>
      </c>
      <c r="C62" s="571">
        <v>619560354</v>
      </c>
      <c r="D62" s="571">
        <v>5430439646</v>
      </c>
    </row>
    <row r="63" spans="1:8">
      <c r="A63" s="574" t="s">
        <v>46</v>
      </c>
      <c r="B63" s="575">
        <v>64117722640</v>
      </c>
      <c r="C63" s="575">
        <v>5059685774</v>
      </c>
      <c r="D63" s="575">
        <v>59058036866</v>
      </c>
    </row>
    <row r="64" spans="1:8">
      <c r="A64" s="254" t="s">
        <v>348</v>
      </c>
      <c r="B64" s="571">
        <v>311243092</v>
      </c>
      <c r="C64" s="571">
        <v>0</v>
      </c>
      <c r="D64" s="571">
        <v>311243092</v>
      </c>
    </row>
    <row r="65" spans="1:7">
      <c r="A65" s="254" t="s">
        <v>280</v>
      </c>
      <c r="B65" s="571">
        <v>7369671250</v>
      </c>
      <c r="C65" s="571">
        <v>156806578</v>
      </c>
      <c r="D65" s="571">
        <v>7212864672</v>
      </c>
    </row>
    <row r="66" spans="1:7">
      <c r="A66" s="254" t="s">
        <v>131</v>
      </c>
      <c r="B66" s="571">
        <v>2468884750</v>
      </c>
      <c r="C66" s="571">
        <v>0</v>
      </c>
      <c r="D66" s="571">
        <v>2468884750</v>
      </c>
    </row>
    <row r="67" spans="1:7">
      <c r="A67" s="254" t="s">
        <v>244</v>
      </c>
      <c r="B67" s="571">
        <v>217176211</v>
      </c>
      <c r="C67" s="571">
        <v>9360000</v>
      </c>
      <c r="D67" s="571">
        <v>207816211</v>
      </c>
    </row>
    <row r="68" spans="1:7">
      <c r="A68" s="254" t="s">
        <v>650</v>
      </c>
      <c r="B68" s="571">
        <v>91921752105</v>
      </c>
      <c r="C68" s="571">
        <v>6032412713</v>
      </c>
      <c r="D68" s="571">
        <v>85889339392</v>
      </c>
    </row>
    <row r="73" spans="1:7">
      <c r="A73" s="570" t="s">
        <v>649</v>
      </c>
      <c r="B73" t="s">
        <v>651</v>
      </c>
      <c r="C73" t="s">
        <v>652</v>
      </c>
      <c r="D73" t="s">
        <v>653</v>
      </c>
      <c r="E73" t="s">
        <v>654</v>
      </c>
      <c r="F73" t="s">
        <v>655</v>
      </c>
      <c r="G73" t="s">
        <v>656</v>
      </c>
    </row>
    <row r="74" spans="1:7">
      <c r="A74" s="254" t="s">
        <v>72</v>
      </c>
      <c r="B74" s="571">
        <v>13863514662</v>
      </c>
      <c r="C74" s="571">
        <v>3942286103</v>
      </c>
      <c r="D74" s="571">
        <v>3504827575.333333</v>
      </c>
      <c r="E74" s="571">
        <v>176446245</v>
      </c>
      <c r="F74" s="571">
        <v>3328381330.333333</v>
      </c>
      <c r="G74" s="571">
        <v>6416400983.666667</v>
      </c>
    </row>
    <row r="75" spans="1:7">
      <c r="A75" s="254" t="s">
        <v>45</v>
      </c>
      <c r="B75" s="571">
        <v>25081864356</v>
      </c>
      <c r="C75" s="571">
        <v>7138169548</v>
      </c>
      <c r="D75" s="571">
        <v>9416867888.6666679</v>
      </c>
      <c r="E75" s="571">
        <v>973057335</v>
      </c>
      <c r="F75" s="571">
        <v>8443810553.666667</v>
      </c>
      <c r="G75" s="571">
        <v>8526826919.333333</v>
      </c>
    </row>
    <row r="76" spans="1:7">
      <c r="A76" s="254" t="s">
        <v>53</v>
      </c>
      <c r="B76" s="571">
        <v>19716235095</v>
      </c>
      <c r="C76" s="571">
        <v>8568413899</v>
      </c>
      <c r="D76" s="571">
        <v>4094864829</v>
      </c>
      <c r="E76" s="571">
        <v>125141259</v>
      </c>
      <c r="F76" s="571">
        <v>3969723570</v>
      </c>
      <c r="G76" s="571">
        <v>7052956367</v>
      </c>
    </row>
    <row r="77" spans="1:7">
      <c r="A77" s="254" t="s">
        <v>50</v>
      </c>
      <c r="B77" s="571">
        <v>72596573201</v>
      </c>
      <c r="C77" s="571">
        <v>22991510174</v>
      </c>
      <c r="D77" s="571">
        <v>10439540457</v>
      </c>
      <c r="E77" s="571">
        <v>2085213121</v>
      </c>
      <c r="F77" s="571">
        <v>8354327336</v>
      </c>
      <c r="G77" s="571">
        <v>39165522570</v>
      </c>
    </row>
    <row r="78" spans="1:7">
      <c r="A78" s="254" t="s">
        <v>208</v>
      </c>
      <c r="B78" s="571">
        <v>5962833000</v>
      </c>
      <c r="C78" s="571">
        <v>0</v>
      </c>
      <c r="D78" s="571">
        <v>4523462000</v>
      </c>
      <c r="E78" s="571">
        <v>0</v>
      </c>
      <c r="F78" s="571">
        <v>4523462000</v>
      </c>
      <c r="G78" s="571">
        <v>1439371000</v>
      </c>
    </row>
    <row r="79" spans="1:7">
      <c r="A79" s="254" t="s">
        <v>294</v>
      </c>
      <c r="B79" s="571">
        <v>14392922000</v>
      </c>
      <c r="C79" s="571">
        <v>7171505540</v>
      </c>
      <c r="D79" s="571">
        <v>5702913706</v>
      </c>
      <c r="E79" s="571">
        <v>61937858</v>
      </c>
      <c r="F79" s="571">
        <v>5640975848</v>
      </c>
      <c r="G79" s="571">
        <v>1518502754</v>
      </c>
    </row>
    <row r="80" spans="1:7">
      <c r="A80" s="254" t="s">
        <v>55</v>
      </c>
      <c r="B80" s="571">
        <v>76160000</v>
      </c>
      <c r="C80" s="571">
        <v>0</v>
      </c>
      <c r="D80" s="571">
        <v>61160000</v>
      </c>
      <c r="E80" s="571">
        <v>0</v>
      </c>
      <c r="F80" s="571">
        <v>61160000</v>
      </c>
      <c r="G80" s="571">
        <v>15000000</v>
      </c>
    </row>
    <row r="81" spans="1:7">
      <c r="A81" s="254" t="s">
        <v>61</v>
      </c>
      <c r="B81" s="571">
        <v>50213202055</v>
      </c>
      <c r="C81" s="571">
        <v>13542407971</v>
      </c>
      <c r="D81" s="571">
        <v>18527619968.666668</v>
      </c>
      <c r="E81" s="571">
        <v>719852886</v>
      </c>
      <c r="F81" s="571">
        <v>17807767082.666668</v>
      </c>
      <c r="G81" s="571">
        <v>18143174115.333332</v>
      </c>
    </row>
    <row r="82" spans="1:7">
      <c r="A82" s="254" t="s">
        <v>516</v>
      </c>
      <c r="B82" s="571">
        <v>2797800000</v>
      </c>
      <c r="C82" s="571">
        <v>1520666157</v>
      </c>
      <c r="D82" s="571">
        <v>500000000</v>
      </c>
      <c r="E82" s="571">
        <v>0</v>
      </c>
      <c r="F82" s="571">
        <v>500000000</v>
      </c>
      <c r="G82" s="571">
        <v>777133843</v>
      </c>
    </row>
    <row r="83" spans="1:7">
      <c r="A83" s="254" t="s">
        <v>85</v>
      </c>
      <c r="B83" s="571">
        <v>52028116532</v>
      </c>
      <c r="C83" s="571">
        <v>11562380865</v>
      </c>
      <c r="D83" s="571">
        <v>7734262881.3333693</v>
      </c>
      <c r="E83" s="571">
        <v>176828995</v>
      </c>
      <c r="F83" s="571">
        <v>7557433886.3333693</v>
      </c>
      <c r="G83" s="571">
        <v>32731472785.666634</v>
      </c>
    </row>
    <row r="84" spans="1:7">
      <c r="A84" s="254" t="s">
        <v>508</v>
      </c>
      <c r="B84" s="571">
        <v>15774068473</v>
      </c>
      <c r="C84" s="571">
        <v>6370299209</v>
      </c>
      <c r="D84" s="571">
        <v>1868483694</v>
      </c>
      <c r="E84" s="571">
        <v>0</v>
      </c>
      <c r="F84" s="571">
        <v>1868483694</v>
      </c>
      <c r="G84" s="571">
        <v>7535285570</v>
      </c>
    </row>
    <row r="85" spans="1:7">
      <c r="A85" s="254" t="s">
        <v>37</v>
      </c>
      <c r="B85" s="571">
        <v>98163879922</v>
      </c>
      <c r="C85" s="571">
        <v>32640346516</v>
      </c>
      <c r="D85" s="571">
        <v>16018648248.333332</v>
      </c>
      <c r="E85" s="571">
        <v>1120827919</v>
      </c>
      <c r="F85" s="571">
        <v>14897820329.333332</v>
      </c>
      <c r="G85" s="571">
        <v>49504885157.666664</v>
      </c>
    </row>
    <row r="86" spans="1:7">
      <c r="A86" s="254" t="s">
        <v>64</v>
      </c>
      <c r="B86" s="571">
        <v>45708731125</v>
      </c>
      <c r="C86" s="571">
        <v>5120122106</v>
      </c>
      <c r="D86" s="571">
        <v>9529100856.6666298</v>
      </c>
      <c r="E86" s="571">
        <v>593107095</v>
      </c>
      <c r="F86" s="571">
        <v>8935993761.6666298</v>
      </c>
      <c r="G86" s="571">
        <v>31059508162.33337</v>
      </c>
    </row>
    <row r="87" spans="1:7">
      <c r="A87" s="254" t="s">
        <v>650</v>
      </c>
      <c r="B87" s="571">
        <v>416375900421</v>
      </c>
      <c r="C87" s="571">
        <v>120568108088</v>
      </c>
      <c r="D87" s="571">
        <v>91921752105</v>
      </c>
      <c r="E87" s="571">
        <v>6032412713</v>
      </c>
      <c r="F87" s="571">
        <v>85889339392</v>
      </c>
      <c r="G87" s="571">
        <v>203886040228</v>
      </c>
    </row>
    <row r="92" spans="1:7">
      <c r="A92" s="570" t="s">
        <v>649</v>
      </c>
      <c r="B92" t="s">
        <v>651</v>
      </c>
      <c r="C92" t="s">
        <v>652</v>
      </c>
      <c r="D92" t="s">
        <v>653</v>
      </c>
      <c r="E92" t="s">
        <v>654</v>
      </c>
      <c r="F92" t="s">
        <v>655</v>
      </c>
      <c r="G92" t="s">
        <v>656</v>
      </c>
    </row>
    <row r="93" spans="1:7">
      <c r="A93" s="254">
        <v>22</v>
      </c>
      <c r="B93" s="571">
        <v>1450002000</v>
      </c>
      <c r="C93" s="571">
        <v>123900000</v>
      </c>
      <c r="D93" s="571">
        <v>545000000</v>
      </c>
      <c r="E93" s="571">
        <v>0</v>
      </c>
      <c r="F93" s="571">
        <v>545000000</v>
      </c>
      <c r="G93" s="571">
        <v>781102000</v>
      </c>
    </row>
    <row r="94" spans="1:7">
      <c r="A94" s="254">
        <v>24</v>
      </c>
      <c r="B94" s="571">
        <v>8913996000</v>
      </c>
      <c r="C94" s="571">
        <v>0</v>
      </c>
      <c r="D94" s="571">
        <v>8018499000</v>
      </c>
      <c r="E94" s="571">
        <v>0</v>
      </c>
      <c r="F94" s="571">
        <v>8018499000</v>
      </c>
      <c r="G94" s="571">
        <v>895497000</v>
      </c>
    </row>
    <row r="95" spans="1:7">
      <c r="A95" s="254">
        <v>29</v>
      </c>
      <c r="B95" s="571">
        <v>13036525356</v>
      </c>
      <c r="C95" s="571">
        <v>905963655</v>
      </c>
      <c r="D95" s="571">
        <v>7810849134</v>
      </c>
      <c r="E95" s="571">
        <v>0</v>
      </c>
      <c r="F95" s="571">
        <v>7810849134</v>
      </c>
      <c r="G95" s="571">
        <v>4319712567</v>
      </c>
    </row>
    <row r="96" spans="1:7">
      <c r="A96" s="254">
        <v>31</v>
      </c>
      <c r="B96" s="571">
        <v>339871872677</v>
      </c>
      <c r="C96" s="571">
        <v>102511081891</v>
      </c>
      <c r="D96" s="571">
        <v>52587761419</v>
      </c>
      <c r="E96" s="571">
        <v>5412852359</v>
      </c>
      <c r="F96" s="571">
        <v>47174909060</v>
      </c>
      <c r="G96" s="571">
        <v>184773029367</v>
      </c>
    </row>
    <row r="97" spans="1:7">
      <c r="A97" s="254">
        <v>33</v>
      </c>
      <c r="B97" s="571">
        <v>53103504388</v>
      </c>
      <c r="C97" s="571">
        <v>17027162542</v>
      </c>
      <c r="D97" s="571">
        <v>22959642552</v>
      </c>
      <c r="E97" s="571">
        <v>619560354</v>
      </c>
      <c r="F97" s="571">
        <v>22340082198</v>
      </c>
      <c r="G97" s="571">
        <v>13116699294</v>
      </c>
    </row>
    <row r="98" spans="1:7">
      <c r="A98" s="254" t="s">
        <v>650</v>
      </c>
      <c r="B98" s="571">
        <v>416375900421</v>
      </c>
      <c r="C98" s="571">
        <v>120568108088</v>
      </c>
      <c r="D98" s="571">
        <v>91921752105</v>
      </c>
      <c r="E98" s="571">
        <v>6032412713</v>
      </c>
      <c r="F98" s="571">
        <v>85889339392</v>
      </c>
      <c r="G98" s="571">
        <v>203886040228</v>
      </c>
    </row>
  </sheetData>
  <pageMargins left="0.7" right="0.7" top="0.75" bottom="0.75" header="0.3" footer="0.3"/>
  <pageSetup orientation="portrait" horizontalDpi="1200" verticalDpi="0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3"/>
  <sheetViews>
    <sheetView workbookViewId="0">
      <selection activeCell="H31" sqref="H31"/>
    </sheetView>
  </sheetViews>
  <sheetFormatPr baseColWidth="10" defaultRowHeight="15"/>
  <sheetData>
    <row r="1" spans="1:1">
      <c r="A1">
        <v>30433775</v>
      </c>
    </row>
    <row r="2" spans="1:1">
      <c r="A2">
        <v>40000845</v>
      </c>
    </row>
    <row r="3" spans="1:1">
      <c r="A3">
        <v>40019355</v>
      </c>
    </row>
    <row r="4" spans="1:1">
      <c r="A4">
        <v>30077490</v>
      </c>
    </row>
    <row r="5" spans="1:1">
      <c r="A5">
        <v>30282773</v>
      </c>
    </row>
    <row r="6" spans="1:1">
      <c r="A6">
        <v>40019477</v>
      </c>
    </row>
    <row r="7" spans="1:1">
      <c r="A7">
        <v>30419547</v>
      </c>
    </row>
    <row r="8" spans="1:1">
      <c r="A8">
        <v>30397144</v>
      </c>
    </row>
    <row r="9" spans="1:1">
      <c r="A9">
        <v>30478036</v>
      </c>
    </row>
    <row r="10" spans="1:1">
      <c r="A10">
        <v>30060589</v>
      </c>
    </row>
    <row r="11" spans="1:1">
      <c r="A11">
        <v>40002959</v>
      </c>
    </row>
    <row r="12" spans="1:1">
      <c r="A12">
        <v>40018773</v>
      </c>
    </row>
    <row r="13" spans="1:1">
      <c r="A13">
        <v>40005745</v>
      </c>
    </row>
    <row r="14" spans="1:1">
      <c r="A14">
        <v>40015528</v>
      </c>
    </row>
    <row r="15" spans="1:1">
      <c r="A15">
        <v>30280683</v>
      </c>
    </row>
    <row r="16" spans="1:1">
      <c r="A16">
        <v>30479286</v>
      </c>
    </row>
    <row r="17" spans="1:1">
      <c r="A17">
        <v>30095333</v>
      </c>
    </row>
    <row r="18" spans="1:1">
      <c r="A18">
        <v>30349526</v>
      </c>
    </row>
    <row r="19" spans="1:1">
      <c r="A19">
        <v>40019485</v>
      </c>
    </row>
    <row r="20" spans="1:1">
      <c r="A20">
        <v>40007573</v>
      </c>
    </row>
    <row r="21" spans="1:1">
      <c r="A21">
        <v>30395422</v>
      </c>
    </row>
    <row r="22" spans="1:1">
      <c r="A22">
        <v>30134234</v>
      </c>
    </row>
    <row r="23" spans="1:1">
      <c r="A23">
        <v>40018072</v>
      </c>
    </row>
    <row r="24" spans="1:1">
      <c r="A24">
        <v>30453827</v>
      </c>
    </row>
    <row r="25" spans="1:1">
      <c r="A25">
        <v>40027009</v>
      </c>
    </row>
    <row r="26" spans="1:1">
      <c r="A26">
        <v>40022435</v>
      </c>
    </row>
    <row r="27" spans="1:1">
      <c r="A27">
        <v>40019386</v>
      </c>
    </row>
    <row r="28" spans="1:1">
      <c r="A28">
        <v>30472589</v>
      </c>
    </row>
    <row r="29" spans="1:1">
      <c r="A29">
        <v>30069919</v>
      </c>
    </row>
    <row r="30" spans="1:1">
      <c r="A30">
        <v>40008282</v>
      </c>
    </row>
    <row r="32" spans="1:1">
      <c r="A32">
        <v>30485331</v>
      </c>
    </row>
    <row r="33" spans="1:1">
      <c r="A33">
        <v>400245054</v>
      </c>
    </row>
    <row r="34" spans="1:1">
      <c r="A34">
        <v>30069919</v>
      </c>
    </row>
    <row r="35" spans="1:1">
      <c r="A35">
        <v>30106468</v>
      </c>
    </row>
    <row r="36" spans="1:1">
      <c r="A36">
        <v>40007476</v>
      </c>
    </row>
    <row r="37" spans="1:1">
      <c r="A37">
        <v>40019750</v>
      </c>
    </row>
    <row r="38" spans="1:1">
      <c r="A38">
        <v>40020318</v>
      </c>
    </row>
    <row r="39" spans="1:1">
      <c r="A39">
        <v>40007939</v>
      </c>
    </row>
    <row r="40" spans="1:1">
      <c r="A40">
        <v>30341329</v>
      </c>
    </row>
    <row r="41" spans="1:1">
      <c r="A41">
        <v>40019444</v>
      </c>
    </row>
    <row r="42" spans="1:1">
      <c r="A42">
        <v>40024504</v>
      </c>
    </row>
    <row r="44" spans="1:1">
      <c r="A44">
        <v>40016563</v>
      </c>
    </row>
    <row r="45" spans="1:1">
      <c r="A45">
        <v>40007844</v>
      </c>
    </row>
    <row r="46" spans="1:1">
      <c r="A46">
        <v>40019239</v>
      </c>
    </row>
    <row r="47" spans="1:1">
      <c r="A47">
        <v>30398233</v>
      </c>
    </row>
    <row r="48" spans="1:1">
      <c r="A48">
        <v>40023036</v>
      </c>
    </row>
    <row r="49" spans="1:1">
      <c r="A49">
        <v>30077182</v>
      </c>
    </row>
    <row r="50" spans="1:1">
      <c r="A50">
        <v>40005332</v>
      </c>
    </row>
    <row r="51" spans="1:1">
      <c r="A51">
        <v>30083781</v>
      </c>
    </row>
    <row r="52" spans="1:1">
      <c r="A52">
        <v>30136320</v>
      </c>
    </row>
    <row r="53" spans="1:1">
      <c r="A53">
        <v>30337226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opLeftCell="A2" workbookViewId="0">
      <selection sqref="A1:A127"/>
    </sheetView>
  </sheetViews>
  <sheetFormatPr baseColWidth="10" defaultRowHeight="15"/>
  <sheetData>
    <row r="1" spans="1:1">
      <c r="A1" t="s">
        <v>764</v>
      </c>
    </row>
    <row r="2" spans="1:1">
      <c r="A2">
        <v>40007844</v>
      </c>
    </row>
    <row r="3" spans="1:1">
      <c r="A3">
        <v>40008014</v>
      </c>
    </row>
    <row r="4" spans="1:1">
      <c r="A4">
        <v>30136269</v>
      </c>
    </row>
    <row r="5" spans="1:1">
      <c r="A5">
        <v>30248522</v>
      </c>
    </row>
    <row r="6" spans="1:1">
      <c r="A6">
        <v>40007939</v>
      </c>
    </row>
    <row r="7" spans="1:1">
      <c r="A7">
        <v>40020318</v>
      </c>
    </row>
    <row r="8" spans="1:1">
      <c r="A8">
        <v>40019750</v>
      </c>
    </row>
    <row r="9" spans="1:1">
      <c r="A9">
        <v>30074350</v>
      </c>
    </row>
    <row r="10" spans="1:1">
      <c r="A10">
        <v>40015599</v>
      </c>
    </row>
    <row r="11" spans="1:1">
      <c r="A11">
        <v>40022780</v>
      </c>
    </row>
    <row r="12" spans="1:1">
      <c r="A12">
        <v>40000924</v>
      </c>
    </row>
    <row r="13" spans="1:1">
      <c r="A13">
        <v>40019095</v>
      </c>
    </row>
    <row r="14" spans="1:1">
      <c r="A14">
        <v>40005575</v>
      </c>
    </row>
    <row r="15" spans="1:1">
      <c r="A15">
        <v>40016388</v>
      </c>
    </row>
    <row r="16" spans="1:1">
      <c r="A16">
        <v>30479286</v>
      </c>
    </row>
    <row r="17" spans="1:1">
      <c r="A17">
        <v>30131132</v>
      </c>
    </row>
    <row r="18" spans="1:1">
      <c r="A18">
        <v>40014051</v>
      </c>
    </row>
    <row r="19" spans="1:1">
      <c r="A19">
        <v>40000845</v>
      </c>
    </row>
    <row r="20" spans="1:1">
      <c r="A20">
        <v>40000917</v>
      </c>
    </row>
    <row r="21" spans="1:1">
      <c r="A21">
        <v>40023990</v>
      </c>
    </row>
    <row r="22" spans="1:1">
      <c r="A22">
        <v>40000842</v>
      </c>
    </row>
    <row r="23" spans="1:1">
      <c r="A23">
        <v>30065600</v>
      </c>
    </row>
    <row r="24" spans="1:1">
      <c r="A24">
        <v>30433775</v>
      </c>
    </row>
    <row r="25" spans="1:1">
      <c r="A25">
        <v>30285474</v>
      </c>
    </row>
    <row r="26" spans="1:1">
      <c r="A26">
        <v>40018246</v>
      </c>
    </row>
    <row r="27" spans="1:1">
      <c r="A27">
        <v>40007476</v>
      </c>
    </row>
    <row r="28" spans="1:1">
      <c r="A28">
        <v>30461825</v>
      </c>
    </row>
    <row r="29" spans="1:1">
      <c r="A29">
        <v>30398233</v>
      </c>
    </row>
    <row r="30" spans="1:1">
      <c r="A30">
        <v>30349526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35"/>
  <sheetViews>
    <sheetView workbookViewId="0">
      <selection activeCell="A2" sqref="A2:A35"/>
    </sheetView>
  </sheetViews>
  <sheetFormatPr baseColWidth="10" defaultRowHeight="15"/>
  <sheetData>
    <row r="2" spans="1:1">
      <c r="A2">
        <v>30071598</v>
      </c>
    </row>
    <row r="3" spans="1:1">
      <c r="A3">
        <v>30077481</v>
      </c>
    </row>
    <row r="4" spans="1:1">
      <c r="A4">
        <v>30093349</v>
      </c>
    </row>
    <row r="5" spans="1:1">
      <c r="A5">
        <v>30116708</v>
      </c>
    </row>
    <row r="6" spans="1:1">
      <c r="A6">
        <v>30123182</v>
      </c>
    </row>
    <row r="7" spans="1:1">
      <c r="A7">
        <v>30135967</v>
      </c>
    </row>
    <row r="8" spans="1:1">
      <c r="A8">
        <v>30338024</v>
      </c>
    </row>
    <row r="9" spans="1:1">
      <c r="A9">
        <v>30338523</v>
      </c>
    </row>
    <row r="10" spans="1:1">
      <c r="A10">
        <v>30341678</v>
      </c>
    </row>
    <row r="11" spans="1:1">
      <c r="A11">
        <v>30402378</v>
      </c>
    </row>
    <row r="12" spans="1:1">
      <c r="A12">
        <v>30429872</v>
      </c>
    </row>
    <row r="13" spans="1:1">
      <c r="A13">
        <v>30463800</v>
      </c>
    </row>
    <row r="14" spans="1:1">
      <c r="A14">
        <v>30465134</v>
      </c>
    </row>
    <row r="15" spans="1:1">
      <c r="A15">
        <v>30474713</v>
      </c>
    </row>
    <row r="16" spans="1:1">
      <c r="A16">
        <v>30480526</v>
      </c>
    </row>
    <row r="17" spans="1:1">
      <c r="A17">
        <v>30485115</v>
      </c>
    </row>
    <row r="18" spans="1:1">
      <c r="A18">
        <v>30485139</v>
      </c>
    </row>
    <row r="19" spans="1:1">
      <c r="A19">
        <v>40000178</v>
      </c>
    </row>
    <row r="20" spans="1:1">
      <c r="A20">
        <v>40001823</v>
      </c>
    </row>
    <row r="21" spans="1:1">
      <c r="A21">
        <v>40002386</v>
      </c>
    </row>
    <row r="22" spans="1:1">
      <c r="A22">
        <v>40003992</v>
      </c>
    </row>
    <row r="23" spans="1:1">
      <c r="A23">
        <v>40005289</v>
      </c>
    </row>
    <row r="24" spans="1:1">
      <c r="A24">
        <v>40008054</v>
      </c>
    </row>
    <row r="25" spans="1:1">
      <c r="A25">
        <v>40009684</v>
      </c>
    </row>
    <row r="26" spans="1:1">
      <c r="A26">
        <v>40010103</v>
      </c>
    </row>
    <row r="27" spans="1:1">
      <c r="A27">
        <v>40012877</v>
      </c>
    </row>
    <row r="28" spans="1:1">
      <c r="A28">
        <v>40013905</v>
      </c>
    </row>
    <row r="29" spans="1:1">
      <c r="A29">
        <v>40014732</v>
      </c>
    </row>
    <row r="30" spans="1:1">
      <c r="A30">
        <v>40015676</v>
      </c>
    </row>
    <row r="31" spans="1:1">
      <c r="A31">
        <v>40017416</v>
      </c>
    </row>
    <row r="32" spans="1:1">
      <c r="A32">
        <v>40019022</v>
      </c>
    </row>
    <row r="33" spans="1:1">
      <c r="A33">
        <v>40019026</v>
      </c>
    </row>
    <row r="34" spans="1:1">
      <c r="A34">
        <v>40019107</v>
      </c>
    </row>
    <row r="35" spans="1:1">
      <c r="A35">
        <v>40019354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WTT52"/>
  <sheetViews>
    <sheetView view="pageBreakPreview" topLeftCell="A6" zoomScale="80" zoomScaleNormal="100" zoomScaleSheetLayoutView="80" workbookViewId="0">
      <selection activeCell="L6" sqref="L6"/>
    </sheetView>
  </sheetViews>
  <sheetFormatPr baseColWidth="10" defaultColWidth="11.42578125" defaultRowHeight="12.75"/>
  <cols>
    <col min="1" max="1" width="13.7109375" style="305" customWidth="1"/>
    <col min="2" max="2" width="12.85546875" style="305" customWidth="1"/>
    <col min="3" max="3" width="19.140625" style="305" customWidth="1"/>
    <col min="4" max="4" width="18.140625" style="305" customWidth="1"/>
    <col min="5" max="5" width="19.140625" style="305" customWidth="1"/>
    <col min="6" max="6" width="16.42578125" style="305" customWidth="1"/>
    <col min="7" max="7" width="8" style="305" customWidth="1"/>
    <col min="8" max="8" width="3.28515625" style="305" customWidth="1"/>
    <col min="9" max="9" width="14.7109375" style="305" customWidth="1"/>
    <col min="10" max="10" width="11.42578125" style="305"/>
    <col min="11" max="11" width="14.7109375" style="305" customWidth="1"/>
    <col min="12" max="12" width="11.42578125" style="305"/>
    <col min="13" max="13" width="18.28515625" style="305" customWidth="1"/>
    <col min="14" max="206" width="11.42578125" style="305"/>
    <col min="207" max="207" width="1.85546875" style="305" customWidth="1"/>
    <col min="208" max="209" width="2" style="305" customWidth="1"/>
    <col min="210" max="210" width="2.5703125" style="305" customWidth="1"/>
    <col min="211" max="211" width="2.28515625" style="305" customWidth="1"/>
    <col min="212" max="212" width="11.42578125" style="305"/>
    <col min="213" max="213" width="1.85546875" style="305" customWidth="1"/>
    <col min="214" max="214" width="2" style="305" customWidth="1"/>
    <col min="215" max="216" width="11.42578125" style="305" hidden="1" customWidth="1"/>
    <col min="217" max="217" width="2.140625" style="305" customWidth="1"/>
    <col min="218" max="218" width="2.28515625" style="305" customWidth="1"/>
    <col min="219" max="219" width="2" style="305" customWidth="1"/>
    <col min="220" max="220" width="1.7109375" style="305" customWidth="1"/>
    <col min="221" max="462" width="11.42578125" style="305"/>
    <col min="463" max="463" width="1.85546875" style="305" customWidth="1"/>
    <col min="464" max="465" width="2" style="305" customWidth="1"/>
    <col min="466" max="466" width="2.5703125" style="305" customWidth="1"/>
    <col min="467" max="467" width="2.28515625" style="305" customWidth="1"/>
    <col min="468" max="468" width="11.42578125" style="305"/>
    <col min="469" max="469" width="1.85546875" style="305" customWidth="1"/>
    <col min="470" max="470" width="2" style="305" customWidth="1"/>
    <col min="471" max="472" width="11.42578125" style="305" hidden="1" customWidth="1"/>
    <col min="473" max="473" width="2.140625" style="305" customWidth="1"/>
    <col min="474" max="474" width="2.28515625" style="305" customWidth="1"/>
    <col min="475" max="475" width="2" style="305" customWidth="1"/>
    <col min="476" max="476" width="1.7109375" style="305" customWidth="1"/>
    <col min="477" max="718" width="11.42578125" style="305"/>
    <col min="719" max="719" width="1.85546875" style="305" customWidth="1"/>
    <col min="720" max="721" width="2" style="305" customWidth="1"/>
    <col min="722" max="722" width="2.5703125" style="305" customWidth="1"/>
    <col min="723" max="723" width="2.28515625" style="305" customWidth="1"/>
    <col min="724" max="724" width="11.42578125" style="305"/>
    <col min="725" max="725" width="1.85546875" style="305" customWidth="1"/>
    <col min="726" max="726" width="2" style="305" customWidth="1"/>
    <col min="727" max="728" width="11.42578125" style="305" hidden="1" customWidth="1"/>
    <col min="729" max="729" width="2.140625" style="305" customWidth="1"/>
    <col min="730" max="730" width="2.28515625" style="305" customWidth="1"/>
    <col min="731" max="731" width="2" style="305" customWidth="1"/>
    <col min="732" max="732" width="1.7109375" style="305" customWidth="1"/>
    <col min="733" max="974" width="11.42578125" style="305"/>
    <col min="975" max="975" width="1.85546875" style="305" customWidth="1"/>
    <col min="976" max="977" width="2" style="305" customWidth="1"/>
    <col min="978" max="978" width="2.5703125" style="305" customWidth="1"/>
    <col min="979" max="979" width="2.28515625" style="305" customWidth="1"/>
    <col min="980" max="980" width="11.42578125" style="305"/>
    <col min="981" max="981" width="1.85546875" style="305" customWidth="1"/>
    <col min="982" max="982" width="2" style="305" customWidth="1"/>
    <col min="983" max="984" width="11.42578125" style="305" hidden="1" customWidth="1"/>
    <col min="985" max="985" width="2.140625" style="305" customWidth="1"/>
    <col min="986" max="986" width="2.28515625" style="305" customWidth="1"/>
    <col min="987" max="987" width="2" style="305" customWidth="1"/>
    <col min="988" max="988" width="1.7109375" style="305" customWidth="1"/>
    <col min="989" max="1230" width="11.42578125" style="305"/>
    <col min="1231" max="1231" width="1.85546875" style="305" customWidth="1"/>
    <col min="1232" max="1233" width="2" style="305" customWidth="1"/>
    <col min="1234" max="1234" width="2.5703125" style="305" customWidth="1"/>
    <col min="1235" max="1235" width="2.28515625" style="305" customWidth="1"/>
    <col min="1236" max="1236" width="11.42578125" style="305"/>
    <col min="1237" max="1237" width="1.85546875" style="305" customWidth="1"/>
    <col min="1238" max="1238" width="2" style="305" customWidth="1"/>
    <col min="1239" max="1240" width="11.42578125" style="305" hidden="1" customWidth="1"/>
    <col min="1241" max="1241" width="2.140625" style="305" customWidth="1"/>
    <col min="1242" max="1242" width="2.28515625" style="305" customWidth="1"/>
    <col min="1243" max="1243" width="2" style="305" customWidth="1"/>
    <col min="1244" max="1244" width="1.7109375" style="305" customWidth="1"/>
    <col min="1245" max="1486" width="11.42578125" style="305"/>
    <col min="1487" max="1487" width="1.85546875" style="305" customWidth="1"/>
    <col min="1488" max="1489" width="2" style="305" customWidth="1"/>
    <col min="1490" max="1490" width="2.5703125" style="305" customWidth="1"/>
    <col min="1491" max="1491" width="2.28515625" style="305" customWidth="1"/>
    <col min="1492" max="1492" width="11.42578125" style="305"/>
    <col min="1493" max="1493" width="1.85546875" style="305" customWidth="1"/>
    <col min="1494" max="1494" width="2" style="305" customWidth="1"/>
    <col min="1495" max="1496" width="11.42578125" style="305" hidden="1" customWidth="1"/>
    <col min="1497" max="1497" width="2.140625" style="305" customWidth="1"/>
    <col min="1498" max="1498" width="2.28515625" style="305" customWidth="1"/>
    <col min="1499" max="1499" width="2" style="305" customWidth="1"/>
    <col min="1500" max="1500" width="1.7109375" style="305" customWidth="1"/>
    <col min="1501" max="1742" width="11.42578125" style="305"/>
    <col min="1743" max="1743" width="1.85546875" style="305" customWidth="1"/>
    <col min="1744" max="1745" width="2" style="305" customWidth="1"/>
    <col min="1746" max="1746" width="2.5703125" style="305" customWidth="1"/>
    <col min="1747" max="1747" width="2.28515625" style="305" customWidth="1"/>
    <col min="1748" max="1748" width="11.42578125" style="305"/>
    <col min="1749" max="1749" width="1.85546875" style="305" customWidth="1"/>
    <col min="1750" max="1750" width="2" style="305" customWidth="1"/>
    <col min="1751" max="1752" width="11.42578125" style="305" hidden="1" customWidth="1"/>
    <col min="1753" max="1753" width="2.140625" style="305" customWidth="1"/>
    <col min="1754" max="1754" width="2.28515625" style="305" customWidth="1"/>
    <col min="1755" max="1755" width="2" style="305" customWidth="1"/>
    <col min="1756" max="1756" width="1.7109375" style="305" customWidth="1"/>
    <col min="1757" max="1998" width="11.42578125" style="305"/>
    <col min="1999" max="1999" width="1.85546875" style="305" customWidth="1"/>
    <col min="2000" max="2001" width="2" style="305" customWidth="1"/>
    <col min="2002" max="2002" width="2.5703125" style="305" customWidth="1"/>
    <col min="2003" max="2003" width="2.28515625" style="305" customWidth="1"/>
    <col min="2004" max="2004" width="11.42578125" style="305"/>
    <col min="2005" max="2005" width="1.85546875" style="305" customWidth="1"/>
    <col min="2006" max="2006" width="2" style="305" customWidth="1"/>
    <col min="2007" max="2008" width="11.42578125" style="305" hidden="1" customWidth="1"/>
    <col min="2009" max="2009" width="2.140625" style="305" customWidth="1"/>
    <col min="2010" max="2010" width="2.28515625" style="305" customWidth="1"/>
    <col min="2011" max="2011" width="2" style="305" customWidth="1"/>
    <col min="2012" max="2012" width="1.7109375" style="305" customWidth="1"/>
    <col min="2013" max="2254" width="11.42578125" style="305"/>
    <col min="2255" max="2255" width="1.85546875" style="305" customWidth="1"/>
    <col min="2256" max="2257" width="2" style="305" customWidth="1"/>
    <col min="2258" max="2258" width="2.5703125" style="305" customWidth="1"/>
    <col min="2259" max="2259" width="2.28515625" style="305" customWidth="1"/>
    <col min="2260" max="2260" width="11.42578125" style="305"/>
    <col min="2261" max="2261" width="1.85546875" style="305" customWidth="1"/>
    <col min="2262" max="2262" width="2" style="305" customWidth="1"/>
    <col min="2263" max="2264" width="11.42578125" style="305" hidden="1" customWidth="1"/>
    <col min="2265" max="2265" width="2.140625" style="305" customWidth="1"/>
    <col min="2266" max="2266" width="2.28515625" style="305" customWidth="1"/>
    <col min="2267" max="2267" width="2" style="305" customWidth="1"/>
    <col min="2268" max="2268" width="1.7109375" style="305" customWidth="1"/>
    <col min="2269" max="2510" width="11.42578125" style="305"/>
    <col min="2511" max="2511" width="1.85546875" style="305" customWidth="1"/>
    <col min="2512" max="2513" width="2" style="305" customWidth="1"/>
    <col min="2514" max="2514" width="2.5703125" style="305" customWidth="1"/>
    <col min="2515" max="2515" width="2.28515625" style="305" customWidth="1"/>
    <col min="2516" max="2516" width="11.42578125" style="305"/>
    <col min="2517" max="2517" width="1.85546875" style="305" customWidth="1"/>
    <col min="2518" max="2518" width="2" style="305" customWidth="1"/>
    <col min="2519" max="2520" width="11.42578125" style="305" hidden="1" customWidth="1"/>
    <col min="2521" max="2521" width="2.140625" style="305" customWidth="1"/>
    <col min="2522" max="2522" width="2.28515625" style="305" customWidth="1"/>
    <col min="2523" max="2523" width="2" style="305" customWidth="1"/>
    <col min="2524" max="2524" width="1.7109375" style="305" customWidth="1"/>
    <col min="2525" max="2766" width="11.42578125" style="305"/>
    <col min="2767" max="2767" width="1.85546875" style="305" customWidth="1"/>
    <col min="2768" max="2769" width="2" style="305" customWidth="1"/>
    <col min="2770" max="2770" width="2.5703125" style="305" customWidth="1"/>
    <col min="2771" max="2771" width="2.28515625" style="305" customWidth="1"/>
    <col min="2772" max="2772" width="11.42578125" style="305"/>
    <col min="2773" max="2773" width="1.85546875" style="305" customWidth="1"/>
    <col min="2774" max="2774" width="2" style="305" customWidth="1"/>
    <col min="2775" max="2776" width="11.42578125" style="305" hidden="1" customWidth="1"/>
    <col min="2777" max="2777" width="2.140625" style="305" customWidth="1"/>
    <col min="2778" max="2778" width="2.28515625" style="305" customWidth="1"/>
    <col min="2779" max="2779" width="2" style="305" customWidth="1"/>
    <col min="2780" max="2780" width="1.7109375" style="305" customWidth="1"/>
    <col min="2781" max="3022" width="11.42578125" style="305"/>
    <col min="3023" max="3023" width="1.85546875" style="305" customWidth="1"/>
    <col min="3024" max="3025" width="2" style="305" customWidth="1"/>
    <col min="3026" max="3026" width="2.5703125" style="305" customWidth="1"/>
    <col min="3027" max="3027" width="2.28515625" style="305" customWidth="1"/>
    <col min="3028" max="3028" width="11.42578125" style="305"/>
    <col min="3029" max="3029" width="1.85546875" style="305" customWidth="1"/>
    <col min="3030" max="3030" width="2" style="305" customWidth="1"/>
    <col min="3031" max="3032" width="11.42578125" style="305" hidden="1" customWidth="1"/>
    <col min="3033" max="3033" width="2.140625" style="305" customWidth="1"/>
    <col min="3034" max="3034" width="2.28515625" style="305" customWidth="1"/>
    <col min="3035" max="3035" width="2" style="305" customWidth="1"/>
    <col min="3036" max="3036" width="1.7109375" style="305" customWidth="1"/>
    <col min="3037" max="3278" width="11.42578125" style="305"/>
    <col min="3279" max="3279" width="1.85546875" style="305" customWidth="1"/>
    <col min="3280" max="3281" width="2" style="305" customWidth="1"/>
    <col min="3282" max="3282" width="2.5703125" style="305" customWidth="1"/>
    <col min="3283" max="3283" width="2.28515625" style="305" customWidth="1"/>
    <col min="3284" max="3284" width="11.42578125" style="305"/>
    <col min="3285" max="3285" width="1.85546875" style="305" customWidth="1"/>
    <col min="3286" max="3286" width="2" style="305" customWidth="1"/>
    <col min="3287" max="3288" width="11.42578125" style="305" hidden="1" customWidth="1"/>
    <col min="3289" max="3289" width="2.140625" style="305" customWidth="1"/>
    <col min="3290" max="3290" width="2.28515625" style="305" customWidth="1"/>
    <col min="3291" max="3291" width="2" style="305" customWidth="1"/>
    <col min="3292" max="3292" width="1.7109375" style="305" customWidth="1"/>
    <col min="3293" max="3534" width="11.42578125" style="305"/>
    <col min="3535" max="3535" width="1.85546875" style="305" customWidth="1"/>
    <col min="3536" max="3537" width="2" style="305" customWidth="1"/>
    <col min="3538" max="3538" width="2.5703125" style="305" customWidth="1"/>
    <col min="3539" max="3539" width="2.28515625" style="305" customWidth="1"/>
    <col min="3540" max="3540" width="11.42578125" style="305"/>
    <col min="3541" max="3541" width="1.85546875" style="305" customWidth="1"/>
    <col min="3542" max="3542" width="2" style="305" customWidth="1"/>
    <col min="3543" max="3544" width="11.42578125" style="305" hidden="1" customWidth="1"/>
    <col min="3545" max="3545" width="2.140625" style="305" customWidth="1"/>
    <col min="3546" max="3546" width="2.28515625" style="305" customWidth="1"/>
    <col min="3547" max="3547" width="2" style="305" customWidth="1"/>
    <col min="3548" max="3548" width="1.7109375" style="305" customWidth="1"/>
    <col min="3549" max="3790" width="11.42578125" style="305"/>
    <col min="3791" max="3791" width="1.85546875" style="305" customWidth="1"/>
    <col min="3792" max="3793" width="2" style="305" customWidth="1"/>
    <col min="3794" max="3794" width="2.5703125" style="305" customWidth="1"/>
    <col min="3795" max="3795" width="2.28515625" style="305" customWidth="1"/>
    <col min="3796" max="3796" width="11.42578125" style="305"/>
    <col min="3797" max="3797" width="1.85546875" style="305" customWidth="1"/>
    <col min="3798" max="3798" width="2" style="305" customWidth="1"/>
    <col min="3799" max="3800" width="11.42578125" style="305" hidden="1" customWidth="1"/>
    <col min="3801" max="3801" width="2.140625" style="305" customWidth="1"/>
    <col min="3802" max="3802" width="2.28515625" style="305" customWidth="1"/>
    <col min="3803" max="3803" width="2" style="305" customWidth="1"/>
    <col min="3804" max="3804" width="1.7109375" style="305" customWidth="1"/>
    <col min="3805" max="4046" width="11.42578125" style="305"/>
    <col min="4047" max="4047" width="1.85546875" style="305" customWidth="1"/>
    <col min="4048" max="4049" width="2" style="305" customWidth="1"/>
    <col min="4050" max="4050" width="2.5703125" style="305" customWidth="1"/>
    <col min="4051" max="4051" width="2.28515625" style="305" customWidth="1"/>
    <col min="4052" max="4052" width="11.42578125" style="305"/>
    <col min="4053" max="4053" width="1.85546875" style="305" customWidth="1"/>
    <col min="4054" max="4054" width="2" style="305" customWidth="1"/>
    <col min="4055" max="4056" width="11.42578125" style="305" hidden="1" customWidth="1"/>
    <col min="4057" max="4057" width="2.140625" style="305" customWidth="1"/>
    <col min="4058" max="4058" width="2.28515625" style="305" customWidth="1"/>
    <col min="4059" max="4059" width="2" style="305" customWidth="1"/>
    <col min="4060" max="4060" width="1.7109375" style="305" customWidth="1"/>
    <col min="4061" max="4302" width="11.42578125" style="305"/>
    <col min="4303" max="4303" width="1.85546875" style="305" customWidth="1"/>
    <col min="4304" max="4305" width="2" style="305" customWidth="1"/>
    <col min="4306" max="4306" width="2.5703125" style="305" customWidth="1"/>
    <col min="4307" max="4307" width="2.28515625" style="305" customWidth="1"/>
    <col min="4308" max="4308" width="11.42578125" style="305"/>
    <col min="4309" max="4309" width="1.85546875" style="305" customWidth="1"/>
    <col min="4310" max="4310" width="2" style="305" customWidth="1"/>
    <col min="4311" max="4312" width="11.42578125" style="305" hidden="1" customWidth="1"/>
    <col min="4313" max="4313" width="2.140625" style="305" customWidth="1"/>
    <col min="4314" max="4314" width="2.28515625" style="305" customWidth="1"/>
    <col min="4315" max="4315" width="2" style="305" customWidth="1"/>
    <col min="4316" max="4316" width="1.7109375" style="305" customWidth="1"/>
    <col min="4317" max="4558" width="11.42578125" style="305"/>
    <col min="4559" max="4559" width="1.85546875" style="305" customWidth="1"/>
    <col min="4560" max="4561" width="2" style="305" customWidth="1"/>
    <col min="4562" max="4562" width="2.5703125" style="305" customWidth="1"/>
    <col min="4563" max="4563" width="2.28515625" style="305" customWidth="1"/>
    <col min="4564" max="4564" width="11.42578125" style="305"/>
    <col min="4565" max="4565" width="1.85546875" style="305" customWidth="1"/>
    <col min="4566" max="4566" width="2" style="305" customWidth="1"/>
    <col min="4567" max="4568" width="11.42578125" style="305" hidden="1" customWidth="1"/>
    <col min="4569" max="4569" width="2.140625" style="305" customWidth="1"/>
    <col min="4570" max="4570" width="2.28515625" style="305" customWidth="1"/>
    <col min="4571" max="4571" width="2" style="305" customWidth="1"/>
    <col min="4572" max="4572" width="1.7109375" style="305" customWidth="1"/>
    <col min="4573" max="4814" width="11.42578125" style="305"/>
    <col min="4815" max="4815" width="1.85546875" style="305" customWidth="1"/>
    <col min="4816" max="4817" width="2" style="305" customWidth="1"/>
    <col min="4818" max="4818" width="2.5703125" style="305" customWidth="1"/>
    <col min="4819" max="4819" width="2.28515625" style="305" customWidth="1"/>
    <col min="4820" max="4820" width="11.42578125" style="305"/>
    <col min="4821" max="4821" width="1.85546875" style="305" customWidth="1"/>
    <col min="4822" max="4822" width="2" style="305" customWidth="1"/>
    <col min="4823" max="4824" width="11.42578125" style="305" hidden="1" customWidth="1"/>
    <col min="4825" max="4825" width="2.140625" style="305" customWidth="1"/>
    <col min="4826" max="4826" width="2.28515625" style="305" customWidth="1"/>
    <col min="4827" max="4827" width="2" style="305" customWidth="1"/>
    <col min="4828" max="4828" width="1.7109375" style="305" customWidth="1"/>
    <col min="4829" max="5070" width="11.42578125" style="305"/>
    <col min="5071" max="5071" width="1.85546875" style="305" customWidth="1"/>
    <col min="5072" max="5073" width="2" style="305" customWidth="1"/>
    <col min="5074" max="5074" width="2.5703125" style="305" customWidth="1"/>
    <col min="5075" max="5075" width="2.28515625" style="305" customWidth="1"/>
    <col min="5076" max="5076" width="11.42578125" style="305"/>
    <col min="5077" max="5077" width="1.85546875" style="305" customWidth="1"/>
    <col min="5078" max="5078" width="2" style="305" customWidth="1"/>
    <col min="5079" max="5080" width="11.42578125" style="305" hidden="1" customWidth="1"/>
    <col min="5081" max="5081" width="2.140625" style="305" customWidth="1"/>
    <col min="5082" max="5082" width="2.28515625" style="305" customWidth="1"/>
    <col min="5083" max="5083" width="2" style="305" customWidth="1"/>
    <col min="5084" max="5084" width="1.7109375" style="305" customWidth="1"/>
    <col min="5085" max="5326" width="11.42578125" style="305"/>
    <col min="5327" max="5327" width="1.85546875" style="305" customWidth="1"/>
    <col min="5328" max="5329" width="2" style="305" customWidth="1"/>
    <col min="5330" max="5330" width="2.5703125" style="305" customWidth="1"/>
    <col min="5331" max="5331" width="2.28515625" style="305" customWidth="1"/>
    <col min="5332" max="5332" width="11.42578125" style="305"/>
    <col min="5333" max="5333" width="1.85546875" style="305" customWidth="1"/>
    <col min="5334" max="5334" width="2" style="305" customWidth="1"/>
    <col min="5335" max="5336" width="11.42578125" style="305" hidden="1" customWidth="1"/>
    <col min="5337" max="5337" width="2.140625" style="305" customWidth="1"/>
    <col min="5338" max="5338" width="2.28515625" style="305" customWidth="1"/>
    <col min="5339" max="5339" width="2" style="305" customWidth="1"/>
    <col min="5340" max="5340" width="1.7109375" style="305" customWidth="1"/>
    <col min="5341" max="5582" width="11.42578125" style="305"/>
    <col min="5583" max="5583" width="1.85546875" style="305" customWidth="1"/>
    <col min="5584" max="5585" width="2" style="305" customWidth="1"/>
    <col min="5586" max="5586" width="2.5703125" style="305" customWidth="1"/>
    <col min="5587" max="5587" width="2.28515625" style="305" customWidth="1"/>
    <col min="5588" max="5588" width="11.42578125" style="305"/>
    <col min="5589" max="5589" width="1.85546875" style="305" customWidth="1"/>
    <col min="5590" max="5590" width="2" style="305" customWidth="1"/>
    <col min="5591" max="5592" width="11.42578125" style="305" hidden="1" customWidth="1"/>
    <col min="5593" max="5593" width="2.140625" style="305" customWidth="1"/>
    <col min="5594" max="5594" width="2.28515625" style="305" customWidth="1"/>
    <col min="5595" max="5595" width="2" style="305" customWidth="1"/>
    <col min="5596" max="5596" width="1.7109375" style="305" customWidth="1"/>
    <col min="5597" max="5838" width="11.42578125" style="305"/>
    <col min="5839" max="5839" width="1.85546875" style="305" customWidth="1"/>
    <col min="5840" max="5841" width="2" style="305" customWidth="1"/>
    <col min="5842" max="5842" width="2.5703125" style="305" customWidth="1"/>
    <col min="5843" max="5843" width="2.28515625" style="305" customWidth="1"/>
    <col min="5844" max="5844" width="11.42578125" style="305"/>
    <col min="5845" max="5845" width="1.85546875" style="305" customWidth="1"/>
    <col min="5846" max="5846" width="2" style="305" customWidth="1"/>
    <col min="5847" max="5848" width="11.42578125" style="305" hidden="1" customWidth="1"/>
    <col min="5849" max="5849" width="2.140625" style="305" customWidth="1"/>
    <col min="5850" max="5850" width="2.28515625" style="305" customWidth="1"/>
    <col min="5851" max="5851" width="2" style="305" customWidth="1"/>
    <col min="5852" max="5852" width="1.7109375" style="305" customWidth="1"/>
    <col min="5853" max="6094" width="11.42578125" style="305"/>
    <col min="6095" max="6095" width="1.85546875" style="305" customWidth="1"/>
    <col min="6096" max="6097" width="2" style="305" customWidth="1"/>
    <col min="6098" max="6098" width="2.5703125" style="305" customWidth="1"/>
    <col min="6099" max="6099" width="2.28515625" style="305" customWidth="1"/>
    <col min="6100" max="6100" width="11.42578125" style="305"/>
    <col min="6101" max="6101" width="1.85546875" style="305" customWidth="1"/>
    <col min="6102" max="6102" width="2" style="305" customWidth="1"/>
    <col min="6103" max="6104" width="11.42578125" style="305" hidden="1" customWidth="1"/>
    <col min="6105" max="6105" width="2.140625" style="305" customWidth="1"/>
    <col min="6106" max="6106" width="2.28515625" style="305" customWidth="1"/>
    <col min="6107" max="6107" width="2" style="305" customWidth="1"/>
    <col min="6108" max="6108" width="1.7109375" style="305" customWidth="1"/>
    <col min="6109" max="6350" width="11.42578125" style="305"/>
    <col min="6351" max="6351" width="1.85546875" style="305" customWidth="1"/>
    <col min="6352" max="6353" width="2" style="305" customWidth="1"/>
    <col min="6354" max="6354" width="2.5703125" style="305" customWidth="1"/>
    <col min="6355" max="6355" width="2.28515625" style="305" customWidth="1"/>
    <col min="6356" max="6356" width="11.42578125" style="305"/>
    <col min="6357" max="6357" width="1.85546875" style="305" customWidth="1"/>
    <col min="6358" max="6358" width="2" style="305" customWidth="1"/>
    <col min="6359" max="6360" width="11.42578125" style="305" hidden="1" customWidth="1"/>
    <col min="6361" max="6361" width="2.140625" style="305" customWidth="1"/>
    <col min="6362" max="6362" width="2.28515625" style="305" customWidth="1"/>
    <col min="6363" max="6363" width="2" style="305" customWidth="1"/>
    <col min="6364" max="6364" width="1.7109375" style="305" customWidth="1"/>
    <col min="6365" max="6606" width="11.42578125" style="305"/>
    <col min="6607" max="6607" width="1.85546875" style="305" customWidth="1"/>
    <col min="6608" max="6609" width="2" style="305" customWidth="1"/>
    <col min="6610" max="6610" width="2.5703125" style="305" customWidth="1"/>
    <col min="6611" max="6611" width="2.28515625" style="305" customWidth="1"/>
    <col min="6612" max="6612" width="11.42578125" style="305"/>
    <col min="6613" max="6613" width="1.85546875" style="305" customWidth="1"/>
    <col min="6614" max="6614" width="2" style="305" customWidth="1"/>
    <col min="6615" max="6616" width="11.42578125" style="305" hidden="1" customWidth="1"/>
    <col min="6617" max="6617" width="2.140625" style="305" customWidth="1"/>
    <col min="6618" max="6618" width="2.28515625" style="305" customWidth="1"/>
    <col min="6619" max="6619" width="2" style="305" customWidth="1"/>
    <col min="6620" max="6620" width="1.7109375" style="305" customWidth="1"/>
    <col min="6621" max="6862" width="11.42578125" style="305"/>
    <col min="6863" max="6863" width="1.85546875" style="305" customWidth="1"/>
    <col min="6864" max="6865" width="2" style="305" customWidth="1"/>
    <col min="6866" max="6866" width="2.5703125" style="305" customWidth="1"/>
    <col min="6867" max="6867" width="2.28515625" style="305" customWidth="1"/>
    <col min="6868" max="6868" width="11.42578125" style="305"/>
    <col min="6869" max="6869" width="1.85546875" style="305" customWidth="1"/>
    <col min="6870" max="6870" width="2" style="305" customWidth="1"/>
    <col min="6871" max="6872" width="11.42578125" style="305" hidden="1" customWidth="1"/>
    <col min="6873" max="6873" width="2.140625" style="305" customWidth="1"/>
    <col min="6874" max="6874" width="2.28515625" style="305" customWidth="1"/>
    <col min="6875" max="6875" width="2" style="305" customWidth="1"/>
    <col min="6876" max="6876" width="1.7109375" style="305" customWidth="1"/>
    <col min="6877" max="7118" width="11.42578125" style="305"/>
    <col min="7119" max="7119" width="1.85546875" style="305" customWidth="1"/>
    <col min="7120" max="7121" width="2" style="305" customWidth="1"/>
    <col min="7122" max="7122" width="2.5703125" style="305" customWidth="1"/>
    <col min="7123" max="7123" width="2.28515625" style="305" customWidth="1"/>
    <col min="7124" max="7124" width="11.42578125" style="305"/>
    <col min="7125" max="7125" width="1.85546875" style="305" customWidth="1"/>
    <col min="7126" max="7126" width="2" style="305" customWidth="1"/>
    <col min="7127" max="7128" width="11.42578125" style="305" hidden="1" customWidth="1"/>
    <col min="7129" max="7129" width="2.140625" style="305" customWidth="1"/>
    <col min="7130" max="7130" width="2.28515625" style="305" customWidth="1"/>
    <col min="7131" max="7131" width="2" style="305" customWidth="1"/>
    <col min="7132" max="7132" width="1.7109375" style="305" customWidth="1"/>
    <col min="7133" max="7374" width="11.42578125" style="305"/>
    <col min="7375" max="7375" width="1.85546875" style="305" customWidth="1"/>
    <col min="7376" max="7377" width="2" style="305" customWidth="1"/>
    <col min="7378" max="7378" width="2.5703125" style="305" customWidth="1"/>
    <col min="7379" max="7379" width="2.28515625" style="305" customWidth="1"/>
    <col min="7380" max="7380" width="11.42578125" style="305"/>
    <col min="7381" max="7381" width="1.85546875" style="305" customWidth="1"/>
    <col min="7382" max="7382" width="2" style="305" customWidth="1"/>
    <col min="7383" max="7384" width="11.42578125" style="305" hidden="1" customWidth="1"/>
    <col min="7385" max="7385" width="2.140625" style="305" customWidth="1"/>
    <col min="7386" max="7386" width="2.28515625" style="305" customWidth="1"/>
    <col min="7387" max="7387" width="2" style="305" customWidth="1"/>
    <col min="7388" max="7388" width="1.7109375" style="305" customWidth="1"/>
    <col min="7389" max="7630" width="11.42578125" style="305"/>
    <col min="7631" max="7631" width="1.85546875" style="305" customWidth="1"/>
    <col min="7632" max="7633" width="2" style="305" customWidth="1"/>
    <col min="7634" max="7634" width="2.5703125" style="305" customWidth="1"/>
    <col min="7635" max="7635" width="2.28515625" style="305" customWidth="1"/>
    <col min="7636" max="7636" width="11.42578125" style="305"/>
    <col min="7637" max="7637" width="1.85546875" style="305" customWidth="1"/>
    <col min="7638" max="7638" width="2" style="305" customWidth="1"/>
    <col min="7639" max="7640" width="11.42578125" style="305" hidden="1" customWidth="1"/>
    <col min="7641" max="7641" width="2.140625" style="305" customWidth="1"/>
    <col min="7642" max="7642" width="2.28515625" style="305" customWidth="1"/>
    <col min="7643" max="7643" width="2" style="305" customWidth="1"/>
    <col min="7644" max="7644" width="1.7109375" style="305" customWidth="1"/>
    <col min="7645" max="7886" width="11.42578125" style="305"/>
    <col min="7887" max="7887" width="1.85546875" style="305" customWidth="1"/>
    <col min="7888" max="7889" width="2" style="305" customWidth="1"/>
    <col min="7890" max="7890" width="2.5703125" style="305" customWidth="1"/>
    <col min="7891" max="7891" width="2.28515625" style="305" customWidth="1"/>
    <col min="7892" max="7892" width="11.42578125" style="305"/>
    <col min="7893" max="7893" width="1.85546875" style="305" customWidth="1"/>
    <col min="7894" max="7894" width="2" style="305" customWidth="1"/>
    <col min="7895" max="7896" width="11.42578125" style="305" hidden="1" customWidth="1"/>
    <col min="7897" max="7897" width="2.140625" style="305" customWidth="1"/>
    <col min="7898" max="7898" width="2.28515625" style="305" customWidth="1"/>
    <col min="7899" max="7899" width="2" style="305" customWidth="1"/>
    <col min="7900" max="7900" width="1.7109375" style="305" customWidth="1"/>
    <col min="7901" max="8142" width="11.42578125" style="305"/>
    <col min="8143" max="8143" width="1.85546875" style="305" customWidth="1"/>
    <col min="8144" max="8145" width="2" style="305" customWidth="1"/>
    <col min="8146" max="8146" width="2.5703125" style="305" customWidth="1"/>
    <col min="8147" max="8147" width="2.28515625" style="305" customWidth="1"/>
    <col min="8148" max="8148" width="11.42578125" style="305"/>
    <col min="8149" max="8149" width="1.85546875" style="305" customWidth="1"/>
    <col min="8150" max="8150" width="2" style="305" customWidth="1"/>
    <col min="8151" max="8152" width="11.42578125" style="305" hidden="1" customWidth="1"/>
    <col min="8153" max="8153" width="2.140625" style="305" customWidth="1"/>
    <col min="8154" max="8154" width="2.28515625" style="305" customWidth="1"/>
    <col min="8155" max="8155" width="2" style="305" customWidth="1"/>
    <col min="8156" max="8156" width="1.7109375" style="305" customWidth="1"/>
    <col min="8157" max="8398" width="11.42578125" style="305"/>
    <col min="8399" max="8399" width="1.85546875" style="305" customWidth="1"/>
    <col min="8400" max="8401" width="2" style="305" customWidth="1"/>
    <col min="8402" max="8402" width="2.5703125" style="305" customWidth="1"/>
    <col min="8403" max="8403" width="2.28515625" style="305" customWidth="1"/>
    <col min="8404" max="8404" width="11.42578125" style="305"/>
    <col min="8405" max="8405" width="1.85546875" style="305" customWidth="1"/>
    <col min="8406" max="8406" width="2" style="305" customWidth="1"/>
    <col min="8407" max="8408" width="11.42578125" style="305" hidden="1" customWidth="1"/>
    <col min="8409" max="8409" width="2.140625" style="305" customWidth="1"/>
    <col min="8410" max="8410" width="2.28515625" style="305" customWidth="1"/>
    <col min="8411" max="8411" width="2" style="305" customWidth="1"/>
    <col min="8412" max="8412" width="1.7109375" style="305" customWidth="1"/>
    <col min="8413" max="8654" width="11.42578125" style="305"/>
    <col min="8655" max="8655" width="1.85546875" style="305" customWidth="1"/>
    <col min="8656" max="8657" width="2" style="305" customWidth="1"/>
    <col min="8658" max="8658" width="2.5703125" style="305" customWidth="1"/>
    <col min="8659" max="8659" width="2.28515625" style="305" customWidth="1"/>
    <col min="8660" max="8660" width="11.42578125" style="305"/>
    <col min="8661" max="8661" width="1.85546875" style="305" customWidth="1"/>
    <col min="8662" max="8662" width="2" style="305" customWidth="1"/>
    <col min="8663" max="8664" width="11.42578125" style="305" hidden="1" customWidth="1"/>
    <col min="8665" max="8665" width="2.140625" style="305" customWidth="1"/>
    <col min="8666" max="8666" width="2.28515625" style="305" customWidth="1"/>
    <col min="8667" max="8667" width="2" style="305" customWidth="1"/>
    <col min="8668" max="8668" width="1.7109375" style="305" customWidth="1"/>
    <col min="8669" max="8910" width="11.42578125" style="305"/>
    <col min="8911" max="8911" width="1.85546875" style="305" customWidth="1"/>
    <col min="8912" max="8913" width="2" style="305" customWidth="1"/>
    <col min="8914" max="8914" width="2.5703125" style="305" customWidth="1"/>
    <col min="8915" max="8915" width="2.28515625" style="305" customWidth="1"/>
    <col min="8916" max="8916" width="11.42578125" style="305"/>
    <col min="8917" max="8917" width="1.85546875" style="305" customWidth="1"/>
    <col min="8918" max="8918" width="2" style="305" customWidth="1"/>
    <col min="8919" max="8920" width="11.42578125" style="305" hidden="1" customWidth="1"/>
    <col min="8921" max="8921" width="2.140625" style="305" customWidth="1"/>
    <col min="8922" max="8922" width="2.28515625" style="305" customWidth="1"/>
    <col min="8923" max="8923" width="2" style="305" customWidth="1"/>
    <col min="8924" max="8924" width="1.7109375" style="305" customWidth="1"/>
    <col min="8925" max="9166" width="11.42578125" style="305"/>
    <col min="9167" max="9167" width="1.85546875" style="305" customWidth="1"/>
    <col min="9168" max="9169" width="2" style="305" customWidth="1"/>
    <col min="9170" max="9170" width="2.5703125" style="305" customWidth="1"/>
    <col min="9171" max="9171" width="2.28515625" style="305" customWidth="1"/>
    <col min="9172" max="9172" width="11.42578125" style="305"/>
    <col min="9173" max="9173" width="1.85546875" style="305" customWidth="1"/>
    <col min="9174" max="9174" width="2" style="305" customWidth="1"/>
    <col min="9175" max="9176" width="11.42578125" style="305" hidden="1" customWidth="1"/>
    <col min="9177" max="9177" width="2.140625" style="305" customWidth="1"/>
    <col min="9178" max="9178" width="2.28515625" style="305" customWidth="1"/>
    <col min="9179" max="9179" width="2" style="305" customWidth="1"/>
    <col min="9180" max="9180" width="1.7109375" style="305" customWidth="1"/>
    <col min="9181" max="9422" width="11.42578125" style="305"/>
    <col min="9423" max="9423" width="1.85546875" style="305" customWidth="1"/>
    <col min="9424" max="9425" width="2" style="305" customWidth="1"/>
    <col min="9426" max="9426" width="2.5703125" style="305" customWidth="1"/>
    <col min="9427" max="9427" width="2.28515625" style="305" customWidth="1"/>
    <col min="9428" max="9428" width="11.42578125" style="305"/>
    <col min="9429" max="9429" width="1.85546875" style="305" customWidth="1"/>
    <col min="9430" max="9430" width="2" style="305" customWidth="1"/>
    <col min="9431" max="9432" width="11.42578125" style="305" hidden="1" customWidth="1"/>
    <col min="9433" max="9433" width="2.140625" style="305" customWidth="1"/>
    <col min="9434" max="9434" width="2.28515625" style="305" customWidth="1"/>
    <col min="9435" max="9435" width="2" style="305" customWidth="1"/>
    <col min="9436" max="9436" width="1.7109375" style="305" customWidth="1"/>
    <col min="9437" max="9678" width="11.42578125" style="305"/>
    <col min="9679" max="9679" width="1.85546875" style="305" customWidth="1"/>
    <col min="9680" max="9681" width="2" style="305" customWidth="1"/>
    <col min="9682" max="9682" width="2.5703125" style="305" customWidth="1"/>
    <col min="9683" max="9683" width="2.28515625" style="305" customWidth="1"/>
    <col min="9684" max="9684" width="11.42578125" style="305"/>
    <col min="9685" max="9685" width="1.85546875" style="305" customWidth="1"/>
    <col min="9686" max="9686" width="2" style="305" customWidth="1"/>
    <col min="9687" max="9688" width="11.42578125" style="305" hidden="1" customWidth="1"/>
    <col min="9689" max="9689" width="2.140625" style="305" customWidth="1"/>
    <col min="9690" max="9690" width="2.28515625" style="305" customWidth="1"/>
    <col min="9691" max="9691" width="2" style="305" customWidth="1"/>
    <col min="9692" max="9692" width="1.7109375" style="305" customWidth="1"/>
    <col min="9693" max="9934" width="11.42578125" style="305"/>
    <col min="9935" max="9935" width="1.85546875" style="305" customWidth="1"/>
    <col min="9936" max="9937" width="2" style="305" customWidth="1"/>
    <col min="9938" max="9938" width="2.5703125" style="305" customWidth="1"/>
    <col min="9939" max="9939" width="2.28515625" style="305" customWidth="1"/>
    <col min="9940" max="9940" width="11.42578125" style="305"/>
    <col min="9941" max="9941" width="1.85546875" style="305" customWidth="1"/>
    <col min="9942" max="9942" width="2" style="305" customWidth="1"/>
    <col min="9943" max="9944" width="11.42578125" style="305" hidden="1" customWidth="1"/>
    <col min="9945" max="9945" width="2.140625" style="305" customWidth="1"/>
    <col min="9946" max="9946" width="2.28515625" style="305" customWidth="1"/>
    <col min="9947" max="9947" width="2" style="305" customWidth="1"/>
    <col min="9948" max="9948" width="1.7109375" style="305" customWidth="1"/>
    <col min="9949" max="10190" width="11.42578125" style="305"/>
    <col min="10191" max="10191" width="1.85546875" style="305" customWidth="1"/>
    <col min="10192" max="10193" width="2" style="305" customWidth="1"/>
    <col min="10194" max="10194" width="2.5703125" style="305" customWidth="1"/>
    <col min="10195" max="10195" width="2.28515625" style="305" customWidth="1"/>
    <col min="10196" max="10196" width="11.42578125" style="305"/>
    <col min="10197" max="10197" width="1.85546875" style="305" customWidth="1"/>
    <col min="10198" max="10198" width="2" style="305" customWidth="1"/>
    <col min="10199" max="10200" width="11.42578125" style="305" hidden="1" customWidth="1"/>
    <col min="10201" max="10201" width="2.140625" style="305" customWidth="1"/>
    <col min="10202" max="10202" width="2.28515625" style="305" customWidth="1"/>
    <col min="10203" max="10203" width="2" style="305" customWidth="1"/>
    <col min="10204" max="10204" width="1.7109375" style="305" customWidth="1"/>
    <col min="10205" max="10446" width="11.42578125" style="305"/>
    <col min="10447" max="10447" width="1.85546875" style="305" customWidth="1"/>
    <col min="10448" max="10449" width="2" style="305" customWidth="1"/>
    <col min="10450" max="10450" width="2.5703125" style="305" customWidth="1"/>
    <col min="10451" max="10451" width="2.28515625" style="305" customWidth="1"/>
    <col min="10452" max="10452" width="11.42578125" style="305"/>
    <col min="10453" max="10453" width="1.85546875" style="305" customWidth="1"/>
    <col min="10454" max="10454" width="2" style="305" customWidth="1"/>
    <col min="10455" max="10456" width="11.42578125" style="305" hidden="1" customWidth="1"/>
    <col min="10457" max="10457" width="2.140625" style="305" customWidth="1"/>
    <col min="10458" max="10458" width="2.28515625" style="305" customWidth="1"/>
    <col min="10459" max="10459" width="2" style="305" customWidth="1"/>
    <col min="10460" max="10460" width="1.7109375" style="305" customWidth="1"/>
    <col min="10461" max="10702" width="11.42578125" style="305"/>
    <col min="10703" max="10703" width="1.85546875" style="305" customWidth="1"/>
    <col min="10704" max="10705" width="2" style="305" customWidth="1"/>
    <col min="10706" max="10706" width="2.5703125" style="305" customWidth="1"/>
    <col min="10707" max="10707" width="2.28515625" style="305" customWidth="1"/>
    <col min="10708" max="10708" width="11.42578125" style="305"/>
    <col min="10709" max="10709" width="1.85546875" style="305" customWidth="1"/>
    <col min="10710" max="10710" width="2" style="305" customWidth="1"/>
    <col min="10711" max="10712" width="11.42578125" style="305" hidden="1" customWidth="1"/>
    <col min="10713" max="10713" width="2.140625" style="305" customWidth="1"/>
    <col min="10714" max="10714" width="2.28515625" style="305" customWidth="1"/>
    <col min="10715" max="10715" width="2" style="305" customWidth="1"/>
    <col min="10716" max="10716" width="1.7109375" style="305" customWidth="1"/>
    <col min="10717" max="10958" width="11.42578125" style="305"/>
    <col min="10959" max="10959" width="1.85546875" style="305" customWidth="1"/>
    <col min="10960" max="10961" width="2" style="305" customWidth="1"/>
    <col min="10962" max="10962" width="2.5703125" style="305" customWidth="1"/>
    <col min="10963" max="10963" width="2.28515625" style="305" customWidth="1"/>
    <col min="10964" max="10964" width="11.42578125" style="305"/>
    <col min="10965" max="10965" width="1.85546875" style="305" customWidth="1"/>
    <col min="10966" max="10966" width="2" style="305" customWidth="1"/>
    <col min="10967" max="10968" width="11.42578125" style="305" hidden="1" customWidth="1"/>
    <col min="10969" max="10969" width="2.140625" style="305" customWidth="1"/>
    <col min="10970" max="10970" width="2.28515625" style="305" customWidth="1"/>
    <col min="10971" max="10971" width="2" style="305" customWidth="1"/>
    <col min="10972" max="10972" width="1.7109375" style="305" customWidth="1"/>
    <col min="10973" max="11214" width="11.42578125" style="305"/>
    <col min="11215" max="11215" width="1.85546875" style="305" customWidth="1"/>
    <col min="11216" max="11217" width="2" style="305" customWidth="1"/>
    <col min="11218" max="11218" width="2.5703125" style="305" customWidth="1"/>
    <col min="11219" max="11219" width="2.28515625" style="305" customWidth="1"/>
    <col min="11220" max="11220" width="11.42578125" style="305"/>
    <col min="11221" max="11221" width="1.85546875" style="305" customWidth="1"/>
    <col min="11222" max="11222" width="2" style="305" customWidth="1"/>
    <col min="11223" max="11224" width="11.42578125" style="305" hidden="1" customWidth="1"/>
    <col min="11225" max="11225" width="2.140625" style="305" customWidth="1"/>
    <col min="11226" max="11226" width="2.28515625" style="305" customWidth="1"/>
    <col min="11227" max="11227" width="2" style="305" customWidth="1"/>
    <col min="11228" max="11228" width="1.7109375" style="305" customWidth="1"/>
    <col min="11229" max="11470" width="11.42578125" style="305"/>
    <col min="11471" max="11471" width="1.85546875" style="305" customWidth="1"/>
    <col min="11472" max="11473" width="2" style="305" customWidth="1"/>
    <col min="11474" max="11474" width="2.5703125" style="305" customWidth="1"/>
    <col min="11475" max="11475" width="2.28515625" style="305" customWidth="1"/>
    <col min="11476" max="11476" width="11.42578125" style="305"/>
    <col min="11477" max="11477" width="1.85546875" style="305" customWidth="1"/>
    <col min="11478" max="11478" width="2" style="305" customWidth="1"/>
    <col min="11479" max="11480" width="11.42578125" style="305" hidden="1" customWidth="1"/>
    <col min="11481" max="11481" width="2.140625" style="305" customWidth="1"/>
    <col min="11482" max="11482" width="2.28515625" style="305" customWidth="1"/>
    <col min="11483" max="11483" width="2" style="305" customWidth="1"/>
    <col min="11484" max="11484" width="1.7109375" style="305" customWidth="1"/>
    <col min="11485" max="11726" width="11.42578125" style="305"/>
    <col min="11727" max="11727" width="1.85546875" style="305" customWidth="1"/>
    <col min="11728" max="11729" width="2" style="305" customWidth="1"/>
    <col min="11730" max="11730" width="2.5703125" style="305" customWidth="1"/>
    <col min="11731" max="11731" width="2.28515625" style="305" customWidth="1"/>
    <col min="11732" max="11732" width="11.42578125" style="305"/>
    <col min="11733" max="11733" width="1.85546875" style="305" customWidth="1"/>
    <col min="11734" max="11734" width="2" style="305" customWidth="1"/>
    <col min="11735" max="11736" width="11.42578125" style="305" hidden="1" customWidth="1"/>
    <col min="11737" max="11737" width="2.140625" style="305" customWidth="1"/>
    <col min="11738" max="11738" width="2.28515625" style="305" customWidth="1"/>
    <col min="11739" max="11739" width="2" style="305" customWidth="1"/>
    <col min="11740" max="11740" width="1.7109375" style="305" customWidth="1"/>
    <col min="11741" max="11982" width="11.42578125" style="305"/>
    <col min="11983" max="11983" width="1.85546875" style="305" customWidth="1"/>
    <col min="11984" max="11985" width="2" style="305" customWidth="1"/>
    <col min="11986" max="11986" width="2.5703125" style="305" customWidth="1"/>
    <col min="11987" max="11987" width="2.28515625" style="305" customWidth="1"/>
    <col min="11988" max="11988" width="11.42578125" style="305"/>
    <col min="11989" max="11989" width="1.85546875" style="305" customWidth="1"/>
    <col min="11990" max="11990" width="2" style="305" customWidth="1"/>
    <col min="11991" max="11992" width="11.42578125" style="305" hidden="1" customWidth="1"/>
    <col min="11993" max="11993" width="2.140625" style="305" customWidth="1"/>
    <col min="11994" max="11994" width="2.28515625" style="305" customWidth="1"/>
    <col min="11995" max="11995" width="2" style="305" customWidth="1"/>
    <col min="11996" max="11996" width="1.7109375" style="305" customWidth="1"/>
    <col min="11997" max="12238" width="11.42578125" style="305"/>
    <col min="12239" max="12239" width="1.85546875" style="305" customWidth="1"/>
    <col min="12240" max="12241" width="2" style="305" customWidth="1"/>
    <col min="12242" max="12242" width="2.5703125" style="305" customWidth="1"/>
    <col min="12243" max="12243" width="2.28515625" style="305" customWidth="1"/>
    <col min="12244" max="12244" width="11.42578125" style="305"/>
    <col min="12245" max="12245" width="1.85546875" style="305" customWidth="1"/>
    <col min="12246" max="12246" width="2" style="305" customWidth="1"/>
    <col min="12247" max="12248" width="11.42578125" style="305" hidden="1" customWidth="1"/>
    <col min="12249" max="12249" width="2.140625" style="305" customWidth="1"/>
    <col min="12250" max="12250" width="2.28515625" style="305" customWidth="1"/>
    <col min="12251" max="12251" width="2" style="305" customWidth="1"/>
    <col min="12252" max="12252" width="1.7109375" style="305" customWidth="1"/>
    <col min="12253" max="12494" width="11.42578125" style="305"/>
    <col min="12495" max="12495" width="1.85546875" style="305" customWidth="1"/>
    <col min="12496" max="12497" width="2" style="305" customWidth="1"/>
    <col min="12498" max="12498" width="2.5703125" style="305" customWidth="1"/>
    <col min="12499" max="12499" width="2.28515625" style="305" customWidth="1"/>
    <col min="12500" max="12500" width="11.42578125" style="305"/>
    <col min="12501" max="12501" width="1.85546875" style="305" customWidth="1"/>
    <col min="12502" max="12502" width="2" style="305" customWidth="1"/>
    <col min="12503" max="12504" width="11.42578125" style="305" hidden="1" customWidth="1"/>
    <col min="12505" max="12505" width="2.140625" style="305" customWidth="1"/>
    <col min="12506" max="12506" width="2.28515625" style="305" customWidth="1"/>
    <col min="12507" max="12507" width="2" style="305" customWidth="1"/>
    <col min="12508" max="12508" width="1.7109375" style="305" customWidth="1"/>
    <col min="12509" max="12750" width="11.42578125" style="305"/>
    <col min="12751" max="12751" width="1.85546875" style="305" customWidth="1"/>
    <col min="12752" max="12753" width="2" style="305" customWidth="1"/>
    <col min="12754" max="12754" width="2.5703125" style="305" customWidth="1"/>
    <col min="12755" max="12755" width="2.28515625" style="305" customWidth="1"/>
    <col min="12756" max="12756" width="11.42578125" style="305"/>
    <col min="12757" max="12757" width="1.85546875" style="305" customWidth="1"/>
    <col min="12758" max="12758" width="2" style="305" customWidth="1"/>
    <col min="12759" max="12760" width="11.42578125" style="305" hidden="1" customWidth="1"/>
    <col min="12761" max="12761" width="2.140625" style="305" customWidth="1"/>
    <col min="12762" max="12762" width="2.28515625" style="305" customWidth="1"/>
    <col min="12763" max="12763" width="2" style="305" customWidth="1"/>
    <col min="12764" max="12764" width="1.7109375" style="305" customWidth="1"/>
    <col min="12765" max="13006" width="11.42578125" style="305"/>
    <col min="13007" max="13007" width="1.85546875" style="305" customWidth="1"/>
    <col min="13008" max="13009" width="2" style="305" customWidth="1"/>
    <col min="13010" max="13010" width="2.5703125" style="305" customWidth="1"/>
    <col min="13011" max="13011" width="2.28515625" style="305" customWidth="1"/>
    <col min="13012" max="13012" width="11.42578125" style="305"/>
    <col min="13013" max="13013" width="1.85546875" style="305" customWidth="1"/>
    <col min="13014" max="13014" width="2" style="305" customWidth="1"/>
    <col min="13015" max="13016" width="11.42578125" style="305" hidden="1" customWidth="1"/>
    <col min="13017" max="13017" width="2.140625" style="305" customWidth="1"/>
    <col min="13018" max="13018" width="2.28515625" style="305" customWidth="1"/>
    <col min="13019" max="13019" width="2" style="305" customWidth="1"/>
    <col min="13020" max="13020" width="1.7109375" style="305" customWidth="1"/>
    <col min="13021" max="13262" width="11.42578125" style="305"/>
    <col min="13263" max="13263" width="1.85546875" style="305" customWidth="1"/>
    <col min="13264" max="13265" width="2" style="305" customWidth="1"/>
    <col min="13266" max="13266" width="2.5703125" style="305" customWidth="1"/>
    <col min="13267" max="13267" width="2.28515625" style="305" customWidth="1"/>
    <col min="13268" max="13268" width="11.42578125" style="305"/>
    <col min="13269" max="13269" width="1.85546875" style="305" customWidth="1"/>
    <col min="13270" max="13270" width="2" style="305" customWidth="1"/>
    <col min="13271" max="13272" width="11.42578125" style="305" hidden="1" customWidth="1"/>
    <col min="13273" max="13273" width="2.140625" style="305" customWidth="1"/>
    <col min="13274" max="13274" width="2.28515625" style="305" customWidth="1"/>
    <col min="13275" max="13275" width="2" style="305" customWidth="1"/>
    <col min="13276" max="13276" width="1.7109375" style="305" customWidth="1"/>
    <col min="13277" max="13518" width="11.42578125" style="305"/>
    <col min="13519" max="13519" width="1.85546875" style="305" customWidth="1"/>
    <col min="13520" max="13521" width="2" style="305" customWidth="1"/>
    <col min="13522" max="13522" width="2.5703125" style="305" customWidth="1"/>
    <col min="13523" max="13523" width="2.28515625" style="305" customWidth="1"/>
    <col min="13524" max="13524" width="11.42578125" style="305"/>
    <col min="13525" max="13525" width="1.85546875" style="305" customWidth="1"/>
    <col min="13526" max="13526" width="2" style="305" customWidth="1"/>
    <col min="13527" max="13528" width="11.42578125" style="305" hidden="1" customWidth="1"/>
    <col min="13529" max="13529" width="2.140625" style="305" customWidth="1"/>
    <col min="13530" max="13530" width="2.28515625" style="305" customWidth="1"/>
    <col min="13531" max="13531" width="2" style="305" customWidth="1"/>
    <col min="13532" max="13532" width="1.7109375" style="305" customWidth="1"/>
    <col min="13533" max="13774" width="11.42578125" style="305"/>
    <col min="13775" max="13775" width="1.85546875" style="305" customWidth="1"/>
    <col min="13776" max="13777" width="2" style="305" customWidth="1"/>
    <col min="13778" max="13778" width="2.5703125" style="305" customWidth="1"/>
    <col min="13779" max="13779" width="2.28515625" style="305" customWidth="1"/>
    <col min="13780" max="13780" width="11.42578125" style="305"/>
    <col min="13781" max="13781" width="1.85546875" style="305" customWidth="1"/>
    <col min="13782" max="13782" width="2" style="305" customWidth="1"/>
    <col min="13783" max="13784" width="11.42578125" style="305" hidden="1" customWidth="1"/>
    <col min="13785" max="13785" width="2.140625" style="305" customWidth="1"/>
    <col min="13786" max="13786" width="2.28515625" style="305" customWidth="1"/>
    <col min="13787" max="13787" width="2" style="305" customWidth="1"/>
    <col min="13788" max="13788" width="1.7109375" style="305" customWidth="1"/>
    <col min="13789" max="14030" width="11.42578125" style="305"/>
    <col min="14031" max="14031" width="1.85546875" style="305" customWidth="1"/>
    <col min="14032" max="14033" width="2" style="305" customWidth="1"/>
    <col min="14034" max="14034" width="2.5703125" style="305" customWidth="1"/>
    <col min="14035" max="14035" width="2.28515625" style="305" customWidth="1"/>
    <col min="14036" max="14036" width="11.42578125" style="305"/>
    <col min="14037" max="14037" width="1.85546875" style="305" customWidth="1"/>
    <col min="14038" max="14038" width="2" style="305" customWidth="1"/>
    <col min="14039" max="14040" width="11.42578125" style="305" hidden="1" customWidth="1"/>
    <col min="14041" max="14041" width="2.140625" style="305" customWidth="1"/>
    <col min="14042" max="14042" width="2.28515625" style="305" customWidth="1"/>
    <col min="14043" max="14043" width="2" style="305" customWidth="1"/>
    <col min="14044" max="14044" width="1.7109375" style="305" customWidth="1"/>
    <col min="14045" max="14286" width="11.42578125" style="305"/>
    <col min="14287" max="14287" width="1.85546875" style="305" customWidth="1"/>
    <col min="14288" max="14289" width="2" style="305" customWidth="1"/>
    <col min="14290" max="14290" width="2.5703125" style="305" customWidth="1"/>
    <col min="14291" max="14291" width="2.28515625" style="305" customWidth="1"/>
    <col min="14292" max="14292" width="11.42578125" style="305"/>
    <col min="14293" max="14293" width="1.85546875" style="305" customWidth="1"/>
    <col min="14294" max="14294" width="2" style="305" customWidth="1"/>
    <col min="14295" max="14296" width="11.42578125" style="305" hidden="1" customWidth="1"/>
    <col min="14297" max="14297" width="2.140625" style="305" customWidth="1"/>
    <col min="14298" max="14298" width="2.28515625" style="305" customWidth="1"/>
    <col min="14299" max="14299" width="2" style="305" customWidth="1"/>
    <col min="14300" max="14300" width="1.7109375" style="305" customWidth="1"/>
    <col min="14301" max="14542" width="11.42578125" style="305"/>
    <col min="14543" max="14543" width="1.85546875" style="305" customWidth="1"/>
    <col min="14544" max="14545" width="2" style="305" customWidth="1"/>
    <col min="14546" max="14546" width="2.5703125" style="305" customWidth="1"/>
    <col min="14547" max="14547" width="2.28515625" style="305" customWidth="1"/>
    <col min="14548" max="14548" width="11.42578125" style="305"/>
    <col min="14549" max="14549" width="1.85546875" style="305" customWidth="1"/>
    <col min="14550" max="14550" width="2" style="305" customWidth="1"/>
    <col min="14551" max="14552" width="11.42578125" style="305" hidden="1" customWidth="1"/>
    <col min="14553" max="14553" width="2.140625" style="305" customWidth="1"/>
    <col min="14554" max="14554" width="2.28515625" style="305" customWidth="1"/>
    <col min="14555" max="14555" width="2" style="305" customWidth="1"/>
    <col min="14556" max="14556" width="1.7109375" style="305" customWidth="1"/>
    <col min="14557" max="14798" width="11.42578125" style="305"/>
    <col min="14799" max="14799" width="1.85546875" style="305" customWidth="1"/>
    <col min="14800" max="14801" width="2" style="305" customWidth="1"/>
    <col min="14802" max="14802" width="2.5703125" style="305" customWidth="1"/>
    <col min="14803" max="14803" width="2.28515625" style="305" customWidth="1"/>
    <col min="14804" max="14804" width="11.42578125" style="305"/>
    <col min="14805" max="14805" width="1.85546875" style="305" customWidth="1"/>
    <col min="14806" max="14806" width="2" style="305" customWidth="1"/>
    <col min="14807" max="14808" width="11.42578125" style="305" hidden="1" customWidth="1"/>
    <col min="14809" max="14809" width="2.140625" style="305" customWidth="1"/>
    <col min="14810" max="14810" width="2.28515625" style="305" customWidth="1"/>
    <col min="14811" max="14811" width="2" style="305" customWidth="1"/>
    <col min="14812" max="14812" width="1.7109375" style="305" customWidth="1"/>
    <col min="14813" max="15054" width="11.42578125" style="305"/>
    <col min="15055" max="15055" width="1.85546875" style="305" customWidth="1"/>
    <col min="15056" max="15057" width="2" style="305" customWidth="1"/>
    <col min="15058" max="15058" width="2.5703125" style="305" customWidth="1"/>
    <col min="15059" max="15059" width="2.28515625" style="305" customWidth="1"/>
    <col min="15060" max="15060" width="11.42578125" style="305"/>
    <col min="15061" max="15061" width="1.85546875" style="305" customWidth="1"/>
    <col min="15062" max="15062" width="2" style="305" customWidth="1"/>
    <col min="15063" max="15064" width="11.42578125" style="305" hidden="1" customWidth="1"/>
    <col min="15065" max="15065" width="2.140625" style="305" customWidth="1"/>
    <col min="15066" max="15066" width="2.28515625" style="305" customWidth="1"/>
    <col min="15067" max="15067" width="2" style="305" customWidth="1"/>
    <col min="15068" max="15068" width="1.7109375" style="305" customWidth="1"/>
    <col min="15069" max="15310" width="11.42578125" style="305"/>
    <col min="15311" max="15311" width="1.85546875" style="305" customWidth="1"/>
    <col min="15312" max="15313" width="2" style="305" customWidth="1"/>
    <col min="15314" max="15314" width="2.5703125" style="305" customWidth="1"/>
    <col min="15315" max="15315" width="2.28515625" style="305" customWidth="1"/>
    <col min="15316" max="15316" width="11.42578125" style="305"/>
    <col min="15317" max="15317" width="1.85546875" style="305" customWidth="1"/>
    <col min="15318" max="15318" width="2" style="305" customWidth="1"/>
    <col min="15319" max="15320" width="11.42578125" style="305" hidden="1" customWidth="1"/>
    <col min="15321" max="15321" width="2.140625" style="305" customWidth="1"/>
    <col min="15322" max="15322" width="2.28515625" style="305" customWidth="1"/>
    <col min="15323" max="15323" width="2" style="305" customWidth="1"/>
    <col min="15324" max="15324" width="1.7109375" style="305" customWidth="1"/>
    <col min="15325" max="15566" width="11.42578125" style="305"/>
    <col min="15567" max="15567" width="1.85546875" style="305" customWidth="1"/>
    <col min="15568" max="15569" width="2" style="305" customWidth="1"/>
    <col min="15570" max="15570" width="2.5703125" style="305" customWidth="1"/>
    <col min="15571" max="15571" width="2.28515625" style="305" customWidth="1"/>
    <col min="15572" max="15572" width="11.42578125" style="305"/>
    <col min="15573" max="15573" width="1.85546875" style="305" customWidth="1"/>
    <col min="15574" max="15574" width="2" style="305" customWidth="1"/>
    <col min="15575" max="15576" width="11.42578125" style="305" hidden="1" customWidth="1"/>
    <col min="15577" max="15577" width="2.140625" style="305" customWidth="1"/>
    <col min="15578" max="15578" width="2.28515625" style="305" customWidth="1"/>
    <col min="15579" max="15579" width="2" style="305" customWidth="1"/>
    <col min="15580" max="15580" width="1.7109375" style="305" customWidth="1"/>
    <col min="15581" max="15822" width="11.42578125" style="305"/>
    <col min="15823" max="15823" width="1.85546875" style="305" customWidth="1"/>
    <col min="15824" max="15825" width="2" style="305" customWidth="1"/>
    <col min="15826" max="15826" width="2.5703125" style="305" customWidth="1"/>
    <col min="15827" max="15827" width="2.28515625" style="305" customWidth="1"/>
    <col min="15828" max="15828" width="11.42578125" style="305"/>
    <col min="15829" max="15829" width="1.85546875" style="305" customWidth="1"/>
    <col min="15830" max="15830" width="2" style="305" customWidth="1"/>
    <col min="15831" max="15832" width="11.42578125" style="305" hidden="1" customWidth="1"/>
    <col min="15833" max="15833" width="2.140625" style="305" customWidth="1"/>
    <col min="15834" max="15834" width="2.28515625" style="305" customWidth="1"/>
    <col min="15835" max="15835" width="2" style="305" customWidth="1"/>
    <col min="15836" max="15836" width="1.7109375" style="305" customWidth="1"/>
    <col min="15837" max="16078" width="11.42578125" style="305"/>
    <col min="16079" max="16079" width="1.85546875" style="305" customWidth="1"/>
    <col min="16080" max="16081" width="2" style="305" customWidth="1"/>
    <col min="16082" max="16082" width="2.5703125" style="305" customWidth="1"/>
    <col min="16083" max="16083" width="2.28515625" style="305" customWidth="1"/>
    <col min="16084" max="16084" width="11.42578125" style="305"/>
    <col min="16085" max="16085" width="1.85546875" style="305" customWidth="1"/>
    <col min="16086" max="16086" width="2" style="305" customWidth="1"/>
    <col min="16087" max="16088" width="11.42578125" style="305" hidden="1" customWidth="1"/>
    <col min="16089" max="16089" width="2.140625" style="305" customWidth="1"/>
    <col min="16090" max="16090" width="2.28515625" style="305" customWidth="1"/>
    <col min="16091" max="16091" width="2" style="305" customWidth="1"/>
    <col min="16092" max="16092" width="1.7109375" style="305" customWidth="1"/>
    <col min="16093" max="16384" width="11.42578125" style="305"/>
  </cols>
  <sheetData>
    <row r="3" ht="12" customHeight="1"/>
    <row r="4" hidden="1"/>
    <row r="5" hidden="1"/>
    <row r="6" ht="78" customHeight="1"/>
    <row r="7" ht="46.5" customHeight="1"/>
    <row r="36" spans="1:10" ht="38.25">
      <c r="B36" s="306"/>
      <c r="C36" s="307" t="s">
        <v>620</v>
      </c>
      <c r="D36" s="307" t="s">
        <v>621</v>
      </c>
      <c r="E36" s="308" t="s">
        <v>622</v>
      </c>
      <c r="F36" s="307" t="s">
        <v>623</v>
      </c>
      <c r="I36" s="309" t="s">
        <v>624</v>
      </c>
      <c r="J36" s="309" t="s">
        <v>625</v>
      </c>
    </row>
    <row r="37" spans="1:10">
      <c r="A37" s="310"/>
      <c r="B37" s="311" t="s">
        <v>647</v>
      </c>
      <c r="C37" s="312">
        <v>82947650</v>
      </c>
      <c r="D37" s="313">
        <v>0</v>
      </c>
      <c r="E37" s="314">
        <v>0</v>
      </c>
      <c r="F37" s="312"/>
      <c r="I37" s="315">
        <f t="shared" ref="I37" si="0">+E37/C37</f>
        <v>0</v>
      </c>
      <c r="J37" s="316">
        <v>0</v>
      </c>
    </row>
    <row r="38" spans="1:10">
      <c r="A38" s="310"/>
      <c r="B38" s="311" t="s">
        <v>27</v>
      </c>
      <c r="C38" s="312">
        <v>84311481</v>
      </c>
      <c r="D38" s="313">
        <f>+'ESTADO SITUACION'!AH811/1000</f>
        <v>6032412.7130000005</v>
      </c>
      <c r="E38" s="314">
        <f>+D38</f>
        <v>6032412.7130000005</v>
      </c>
      <c r="F38" s="312"/>
      <c r="I38" s="315">
        <f>+E38/C38</f>
        <v>7.1549125237166694E-2</v>
      </c>
      <c r="J38" s="316"/>
    </row>
    <row r="39" spans="1:10">
      <c r="A39" s="310"/>
      <c r="B39" s="311" t="s">
        <v>26</v>
      </c>
      <c r="C39" s="312"/>
      <c r="D39" s="313"/>
      <c r="E39" s="314">
        <f>+D39+E38</f>
        <v>6032412.7130000005</v>
      </c>
      <c r="F39" s="312"/>
      <c r="G39" s="317"/>
      <c r="I39" s="315"/>
      <c r="J39" s="316"/>
    </row>
    <row r="40" spans="1:10">
      <c r="A40" s="310"/>
      <c r="B40" s="311" t="s">
        <v>25</v>
      </c>
      <c r="C40" s="312"/>
      <c r="D40" s="313"/>
      <c r="E40" s="314">
        <f t="shared" ref="E40:E49" si="1">+E39+D40</f>
        <v>6032412.7130000005</v>
      </c>
      <c r="F40" s="312"/>
      <c r="G40" s="317"/>
      <c r="I40" s="315"/>
      <c r="J40" s="316"/>
    </row>
    <row r="41" spans="1:10">
      <c r="A41" s="310"/>
      <c r="B41" s="311" t="s">
        <v>24</v>
      </c>
      <c r="C41" s="312"/>
      <c r="D41" s="318"/>
      <c r="E41" s="314">
        <f t="shared" si="1"/>
        <v>6032412.7130000005</v>
      </c>
      <c r="F41" s="312"/>
      <c r="G41" s="317"/>
      <c r="I41" s="315"/>
      <c r="J41" s="316"/>
    </row>
    <row r="42" spans="1:10">
      <c r="A42" s="310"/>
      <c r="B42" s="311" t="s">
        <v>23</v>
      </c>
      <c r="C42" s="312"/>
      <c r="D42" s="318"/>
      <c r="E42" s="314">
        <f t="shared" si="1"/>
        <v>6032412.7130000005</v>
      </c>
      <c r="F42" s="312"/>
      <c r="G42" s="317"/>
      <c r="I42" s="315"/>
      <c r="J42" s="316"/>
    </row>
    <row r="43" spans="1:10">
      <c r="A43" s="310"/>
      <c r="B43" s="311" t="s">
        <v>22</v>
      </c>
      <c r="C43" s="312"/>
      <c r="D43" s="313"/>
      <c r="E43" s="314">
        <f t="shared" si="1"/>
        <v>6032412.7130000005</v>
      </c>
      <c r="F43" s="312"/>
      <c r="G43" s="317"/>
      <c r="I43" s="315"/>
      <c r="J43" s="316"/>
    </row>
    <row r="44" spans="1:10">
      <c r="A44" s="310"/>
      <c r="B44" s="311" t="s">
        <v>21</v>
      </c>
      <c r="C44" s="312"/>
      <c r="D44" s="313"/>
      <c r="E44" s="314">
        <f t="shared" si="1"/>
        <v>6032412.7130000005</v>
      </c>
      <c r="F44" s="312"/>
      <c r="G44" s="317"/>
      <c r="I44" s="315"/>
      <c r="J44" s="316"/>
    </row>
    <row r="45" spans="1:10">
      <c r="A45" s="310"/>
      <c r="B45" s="311" t="s">
        <v>20</v>
      </c>
      <c r="C45" s="312"/>
      <c r="D45" s="319"/>
      <c r="E45" s="314">
        <f t="shared" si="1"/>
        <v>6032412.7130000005</v>
      </c>
      <c r="F45" s="312"/>
      <c r="G45" s="317"/>
      <c r="I45" s="315"/>
      <c r="J45" s="316"/>
    </row>
    <row r="46" spans="1:10">
      <c r="A46" s="310"/>
      <c r="B46" s="311" t="s">
        <v>19</v>
      </c>
      <c r="C46" s="312"/>
      <c r="D46" s="319"/>
      <c r="E46" s="314">
        <f t="shared" si="1"/>
        <v>6032412.7130000005</v>
      </c>
      <c r="F46" s="312"/>
      <c r="G46" s="317"/>
      <c r="I46" s="320"/>
      <c r="J46" s="316"/>
    </row>
    <row r="47" spans="1:10">
      <c r="B47" s="311" t="s">
        <v>18</v>
      </c>
      <c r="C47" s="312"/>
      <c r="D47" s="319"/>
      <c r="E47" s="314">
        <f t="shared" si="1"/>
        <v>6032412.7130000005</v>
      </c>
      <c r="F47" s="312"/>
      <c r="I47" s="320"/>
      <c r="J47" s="316"/>
    </row>
    <row r="48" spans="1:10">
      <c r="B48" s="311" t="s">
        <v>614</v>
      </c>
      <c r="C48" s="312"/>
      <c r="D48" s="319"/>
      <c r="E48" s="314">
        <f t="shared" si="1"/>
        <v>6032412.7130000005</v>
      </c>
      <c r="F48" s="312"/>
      <c r="I48" s="320"/>
      <c r="J48" s="316"/>
    </row>
    <row r="49" spans="2:10">
      <c r="B49" s="311" t="s">
        <v>615</v>
      </c>
      <c r="C49" s="312"/>
      <c r="D49" s="319"/>
      <c r="E49" s="314">
        <f t="shared" si="1"/>
        <v>6032412.7130000005</v>
      </c>
      <c r="F49" s="312"/>
      <c r="I49" s="320"/>
      <c r="J49" s="316"/>
    </row>
    <row r="51" spans="2:10">
      <c r="D51" s="321"/>
      <c r="F51" s="322"/>
      <c r="I51" s="322"/>
    </row>
    <row r="52" spans="2:10">
      <c r="E52" s="310"/>
      <c r="F52" s="310"/>
      <c r="I52" s="323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7"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7:WUC43"/>
  <sheetViews>
    <sheetView view="pageBreakPreview" topLeftCell="A10" zoomScale="90" zoomScaleNormal="100" zoomScaleSheetLayoutView="90" workbookViewId="0">
      <selection activeCell="N9" sqref="N9"/>
    </sheetView>
  </sheetViews>
  <sheetFormatPr baseColWidth="10" defaultColWidth="11.42578125" defaultRowHeight="12.75"/>
  <cols>
    <col min="1" max="1" width="8" style="305" customWidth="1"/>
    <col min="2" max="2" width="12.85546875" style="305" customWidth="1"/>
    <col min="3" max="3" width="14.5703125" style="305" customWidth="1"/>
    <col min="4" max="4" width="13.85546875" style="305" customWidth="1"/>
    <col min="5" max="5" width="11.28515625" style="305" customWidth="1"/>
    <col min="6" max="6" width="24.42578125" style="305" customWidth="1"/>
    <col min="7" max="7" width="2" style="305" customWidth="1"/>
    <col min="8" max="8" width="7.7109375" style="305" customWidth="1"/>
    <col min="9" max="9" width="2" style="305" customWidth="1"/>
    <col min="10" max="10" width="18.42578125" style="305" customWidth="1"/>
    <col min="11" max="11" width="14.7109375" style="305" customWidth="1"/>
    <col min="12" max="12" width="18.140625" style="305" customWidth="1"/>
    <col min="13" max="13" width="3.28515625" style="305" customWidth="1"/>
    <col min="14" max="15" width="13.7109375" style="305" customWidth="1"/>
    <col min="16" max="16" width="11.42578125" style="305"/>
    <col min="17" max="17" width="13.7109375" style="305" customWidth="1"/>
    <col min="18" max="215" width="11.42578125" style="305"/>
    <col min="216" max="216" width="1.85546875" style="305" customWidth="1"/>
    <col min="217" max="218" width="2" style="305" customWidth="1"/>
    <col min="219" max="219" width="2.5703125" style="305" customWidth="1"/>
    <col min="220" max="220" width="2.28515625" style="305" customWidth="1"/>
    <col min="221" max="221" width="11.42578125" style="305"/>
    <col min="222" max="222" width="1.85546875" style="305" customWidth="1"/>
    <col min="223" max="223" width="2" style="305" customWidth="1"/>
    <col min="224" max="225" width="11.42578125" style="305" hidden="1" customWidth="1"/>
    <col min="226" max="226" width="2.140625" style="305" customWidth="1"/>
    <col min="227" max="227" width="2.28515625" style="305" customWidth="1"/>
    <col min="228" max="228" width="2" style="305" customWidth="1"/>
    <col min="229" max="229" width="1.7109375" style="305" customWidth="1"/>
    <col min="230" max="471" width="11.42578125" style="305"/>
    <col min="472" max="472" width="1.85546875" style="305" customWidth="1"/>
    <col min="473" max="474" width="2" style="305" customWidth="1"/>
    <col min="475" max="475" width="2.5703125" style="305" customWidth="1"/>
    <col min="476" max="476" width="2.28515625" style="305" customWidth="1"/>
    <col min="477" max="477" width="11.42578125" style="305"/>
    <col min="478" max="478" width="1.85546875" style="305" customWidth="1"/>
    <col min="479" max="479" width="2" style="305" customWidth="1"/>
    <col min="480" max="481" width="11.42578125" style="305" hidden="1" customWidth="1"/>
    <col min="482" max="482" width="2.140625" style="305" customWidth="1"/>
    <col min="483" max="483" width="2.28515625" style="305" customWidth="1"/>
    <col min="484" max="484" width="2" style="305" customWidth="1"/>
    <col min="485" max="485" width="1.7109375" style="305" customWidth="1"/>
    <col min="486" max="727" width="11.42578125" style="305"/>
    <col min="728" max="728" width="1.85546875" style="305" customWidth="1"/>
    <col min="729" max="730" width="2" style="305" customWidth="1"/>
    <col min="731" max="731" width="2.5703125" style="305" customWidth="1"/>
    <col min="732" max="732" width="2.28515625" style="305" customWidth="1"/>
    <col min="733" max="733" width="11.42578125" style="305"/>
    <col min="734" max="734" width="1.85546875" style="305" customWidth="1"/>
    <col min="735" max="735" width="2" style="305" customWidth="1"/>
    <col min="736" max="737" width="11.42578125" style="305" hidden="1" customWidth="1"/>
    <col min="738" max="738" width="2.140625" style="305" customWidth="1"/>
    <col min="739" max="739" width="2.28515625" style="305" customWidth="1"/>
    <col min="740" max="740" width="2" style="305" customWidth="1"/>
    <col min="741" max="741" width="1.7109375" style="305" customWidth="1"/>
    <col min="742" max="983" width="11.42578125" style="305"/>
    <col min="984" max="984" width="1.85546875" style="305" customWidth="1"/>
    <col min="985" max="986" width="2" style="305" customWidth="1"/>
    <col min="987" max="987" width="2.5703125" style="305" customWidth="1"/>
    <col min="988" max="988" width="2.28515625" style="305" customWidth="1"/>
    <col min="989" max="989" width="11.42578125" style="305"/>
    <col min="990" max="990" width="1.85546875" style="305" customWidth="1"/>
    <col min="991" max="991" width="2" style="305" customWidth="1"/>
    <col min="992" max="993" width="11.42578125" style="305" hidden="1" customWidth="1"/>
    <col min="994" max="994" width="2.140625" style="305" customWidth="1"/>
    <col min="995" max="995" width="2.28515625" style="305" customWidth="1"/>
    <col min="996" max="996" width="2" style="305" customWidth="1"/>
    <col min="997" max="997" width="1.7109375" style="305" customWidth="1"/>
    <col min="998" max="1239" width="11.42578125" style="305"/>
    <col min="1240" max="1240" width="1.85546875" style="305" customWidth="1"/>
    <col min="1241" max="1242" width="2" style="305" customWidth="1"/>
    <col min="1243" max="1243" width="2.5703125" style="305" customWidth="1"/>
    <col min="1244" max="1244" width="2.28515625" style="305" customWidth="1"/>
    <col min="1245" max="1245" width="11.42578125" style="305"/>
    <col min="1246" max="1246" width="1.85546875" style="305" customWidth="1"/>
    <col min="1247" max="1247" width="2" style="305" customWidth="1"/>
    <col min="1248" max="1249" width="11.42578125" style="305" hidden="1" customWidth="1"/>
    <col min="1250" max="1250" width="2.140625" style="305" customWidth="1"/>
    <col min="1251" max="1251" width="2.28515625" style="305" customWidth="1"/>
    <col min="1252" max="1252" width="2" style="305" customWidth="1"/>
    <col min="1253" max="1253" width="1.7109375" style="305" customWidth="1"/>
    <col min="1254" max="1495" width="11.42578125" style="305"/>
    <col min="1496" max="1496" width="1.85546875" style="305" customWidth="1"/>
    <col min="1497" max="1498" width="2" style="305" customWidth="1"/>
    <col min="1499" max="1499" width="2.5703125" style="305" customWidth="1"/>
    <col min="1500" max="1500" width="2.28515625" style="305" customWidth="1"/>
    <col min="1501" max="1501" width="11.42578125" style="305"/>
    <col min="1502" max="1502" width="1.85546875" style="305" customWidth="1"/>
    <col min="1503" max="1503" width="2" style="305" customWidth="1"/>
    <col min="1504" max="1505" width="11.42578125" style="305" hidden="1" customWidth="1"/>
    <col min="1506" max="1506" width="2.140625" style="305" customWidth="1"/>
    <col min="1507" max="1507" width="2.28515625" style="305" customWidth="1"/>
    <col min="1508" max="1508" width="2" style="305" customWidth="1"/>
    <col min="1509" max="1509" width="1.7109375" style="305" customWidth="1"/>
    <col min="1510" max="1751" width="11.42578125" style="305"/>
    <col min="1752" max="1752" width="1.85546875" style="305" customWidth="1"/>
    <col min="1753" max="1754" width="2" style="305" customWidth="1"/>
    <col min="1755" max="1755" width="2.5703125" style="305" customWidth="1"/>
    <col min="1756" max="1756" width="2.28515625" style="305" customWidth="1"/>
    <col min="1757" max="1757" width="11.42578125" style="305"/>
    <col min="1758" max="1758" width="1.85546875" style="305" customWidth="1"/>
    <col min="1759" max="1759" width="2" style="305" customWidth="1"/>
    <col min="1760" max="1761" width="11.42578125" style="305" hidden="1" customWidth="1"/>
    <col min="1762" max="1762" width="2.140625" style="305" customWidth="1"/>
    <col min="1763" max="1763" width="2.28515625" style="305" customWidth="1"/>
    <col min="1764" max="1764" width="2" style="305" customWidth="1"/>
    <col min="1765" max="1765" width="1.7109375" style="305" customWidth="1"/>
    <col min="1766" max="2007" width="11.42578125" style="305"/>
    <col min="2008" max="2008" width="1.85546875" style="305" customWidth="1"/>
    <col min="2009" max="2010" width="2" style="305" customWidth="1"/>
    <col min="2011" max="2011" width="2.5703125" style="305" customWidth="1"/>
    <col min="2012" max="2012" width="2.28515625" style="305" customWidth="1"/>
    <col min="2013" max="2013" width="11.42578125" style="305"/>
    <col min="2014" max="2014" width="1.85546875" style="305" customWidth="1"/>
    <col min="2015" max="2015" width="2" style="305" customWidth="1"/>
    <col min="2016" max="2017" width="11.42578125" style="305" hidden="1" customWidth="1"/>
    <col min="2018" max="2018" width="2.140625" style="305" customWidth="1"/>
    <col min="2019" max="2019" width="2.28515625" style="305" customWidth="1"/>
    <col min="2020" max="2020" width="2" style="305" customWidth="1"/>
    <col min="2021" max="2021" width="1.7109375" style="305" customWidth="1"/>
    <col min="2022" max="2263" width="11.42578125" style="305"/>
    <col min="2264" max="2264" width="1.85546875" style="305" customWidth="1"/>
    <col min="2265" max="2266" width="2" style="305" customWidth="1"/>
    <col min="2267" max="2267" width="2.5703125" style="305" customWidth="1"/>
    <col min="2268" max="2268" width="2.28515625" style="305" customWidth="1"/>
    <col min="2269" max="2269" width="11.42578125" style="305"/>
    <col min="2270" max="2270" width="1.85546875" style="305" customWidth="1"/>
    <col min="2271" max="2271" width="2" style="305" customWidth="1"/>
    <col min="2272" max="2273" width="11.42578125" style="305" hidden="1" customWidth="1"/>
    <col min="2274" max="2274" width="2.140625" style="305" customWidth="1"/>
    <col min="2275" max="2275" width="2.28515625" style="305" customWidth="1"/>
    <col min="2276" max="2276" width="2" style="305" customWidth="1"/>
    <col min="2277" max="2277" width="1.7109375" style="305" customWidth="1"/>
    <col min="2278" max="2519" width="11.42578125" style="305"/>
    <col min="2520" max="2520" width="1.85546875" style="305" customWidth="1"/>
    <col min="2521" max="2522" width="2" style="305" customWidth="1"/>
    <col min="2523" max="2523" width="2.5703125" style="305" customWidth="1"/>
    <col min="2524" max="2524" width="2.28515625" style="305" customWidth="1"/>
    <col min="2525" max="2525" width="11.42578125" style="305"/>
    <col min="2526" max="2526" width="1.85546875" style="305" customWidth="1"/>
    <col min="2527" max="2527" width="2" style="305" customWidth="1"/>
    <col min="2528" max="2529" width="11.42578125" style="305" hidden="1" customWidth="1"/>
    <col min="2530" max="2530" width="2.140625" style="305" customWidth="1"/>
    <col min="2531" max="2531" width="2.28515625" style="305" customWidth="1"/>
    <col min="2532" max="2532" width="2" style="305" customWidth="1"/>
    <col min="2533" max="2533" width="1.7109375" style="305" customWidth="1"/>
    <col min="2534" max="2775" width="11.42578125" style="305"/>
    <col min="2776" max="2776" width="1.85546875" style="305" customWidth="1"/>
    <col min="2777" max="2778" width="2" style="305" customWidth="1"/>
    <col min="2779" max="2779" width="2.5703125" style="305" customWidth="1"/>
    <col min="2780" max="2780" width="2.28515625" style="305" customWidth="1"/>
    <col min="2781" max="2781" width="11.42578125" style="305"/>
    <col min="2782" max="2782" width="1.85546875" style="305" customWidth="1"/>
    <col min="2783" max="2783" width="2" style="305" customWidth="1"/>
    <col min="2784" max="2785" width="11.42578125" style="305" hidden="1" customWidth="1"/>
    <col min="2786" max="2786" width="2.140625" style="305" customWidth="1"/>
    <col min="2787" max="2787" width="2.28515625" style="305" customWidth="1"/>
    <col min="2788" max="2788" width="2" style="305" customWidth="1"/>
    <col min="2789" max="2789" width="1.7109375" style="305" customWidth="1"/>
    <col min="2790" max="3031" width="11.42578125" style="305"/>
    <col min="3032" max="3032" width="1.85546875" style="305" customWidth="1"/>
    <col min="3033" max="3034" width="2" style="305" customWidth="1"/>
    <col min="3035" max="3035" width="2.5703125" style="305" customWidth="1"/>
    <col min="3036" max="3036" width="2.28515625" style="305" customWidth="1"/>
    <col min="3037" max="3037" width="11.42578125" style="305"/>
    <col min="3038" max="3038" width="1.85546875" style="305" customWidth="1"/>
    <col min="3039" max="3039" width="2" style="305" customWidth="1"/>
    <col min="3040" max="3041" width="11.42578125" style="305" hidden="1" customWidth="1"/>
    <col min="3042" max="3042" width="2.140625" style="305" customWidth="1"/>
    <col min="3043" max="3043" width="2.28515625" style="305" customWidth="1"/>
    <col min="3044" max="3044" width="2" style="305" customWidth="1"/>
    <col min="3045" max="3045" width="1.7109375" style="305" customWidth="1"/>
    <col min="3046" max="3287" width="11.42578125" style="305"/>
    <col min="3288" max="3288" width="1.85546875" style="305" customWidth="1"/>
    <col min="3289" max="3290" width="2" style="305" customWidth="1"/>
    <col min="3291" max="3291" width="2.5703125" style="305" customWidth="1"/>
    <col min="3292" max="3292" width="2.28515625" style="305" customWidth="1"/>
    <col min="3293" max="3293" width="11.42578125" style="305"/>
    <col min="3294" max="3294" width="1.85546875" style="305" customWidth="1"/>
    <col min="3295" max="3295" width="2" style="305" customWidth="1"/>
    <col min="3296" max="3297" width="11.42578125" style="305" hidden="1" customWidth="1"/>
    <col min="3298" max="3298" width="2.140625" style="305" customWidth="1"/>
    <col min="3299" max="3299" width="2.28515625" style="305" customWidth="1"/>
    <col min="3300" max="3300" width="2" style="305" customWidth="1"/>
    <col min="3301" max="3301" width="1.7109375" style="305" customWidth="1"/>
    <col min="3302" max="3543" width="11.42578125" style="305"/>
    <col min="3544" max="3544" width="1.85546875" style="305" customWidth="1"/>
    <col min="3545" max="3546" width="2" style="305" customWidth="1"/>
    <col min="3547" max="3547" width="2.5703125" style="305" customWidth="1"/>
    <col min="3548" max="3548" width="2.28515625" style="305" customWidth="1"/>
    <col min="3549" max="3549" width="11.42578125" style="305"/>
    <col min="3550" max="3550" width="1.85546875" style="305" customWidth="1"/>
    <col min="3551" max="3551" width="2" style="305" customWidth="1"/>
    <col min="3552" max="3553" width="11.42578125" style="305" hidden="1" customWidth="1"/>
    <col min="3554" max="3554" width="2.140625" style="305" customWidth="1"/>
    <col min="3555" max="3555" width="2.28515625" style="305" customWidth="1"/>
    <col min="3556" max="3556" width="2" style="305" customWidth="1"/>
    <col min="3557" max="3557" width="1.7109375" style="305" customWidth="1"/>
    <col min="3558" max="3799" width="11.42578125" style="305"/>
    <col min="3800" max="3800" width="1.85546875" style="305" customWidth="1"/>
    <col min="3801" max="3802" width="2" style="305" customWidth="1"/>
    <col min="3803" max="3803" width="2.5703125" style="305" customWidth="1"/>
    <col min="3804" max="3804" width="2.28515625" style="305" customWidth="1"/>
    <col min="3805" max="3805" width="11.42578125" style="305"/>
    <col min="3806" max="3806" width="1.85546875" style="305" customWidth="1"/>
    <col min="3807" max="3807" width="2" style="305" customWidth="1"/>
    <col min="3808" max="3809" width="11.42578125" style="305" hidden="1" customWidth="1"/>
    <col min="3810" max="3810" width="2.140625" style="305" customWidth="1"/>
    <col min="3811" max="3811" width="2.28515625" style="305" customWidth="1"/>
    <col min="3812" max="3812" width="2" style="305" customWidth="1"/>
    <col min="3813" max="3813" width="1.7109375" style="305" customWidth="1"/>
    <col min="3814" max="4055" width="11.42578125" style="305"/>
    <col min="4056" max="4056" width="1.85546875" style="305" customWidth="1"/>
    <col min="4057" max="4058" width="2" style="305" customWidth="1"/>
    <col min="4059" max="4059" width="2.5703125" style="305" customWidth="1"/>
    <col min="4060" max="4060" width="2.28515625" style="305" customWidth="1"/>
    <col min="4061" max="4061" width="11.42578125" style="305"/>
    <col min="4062" max="4062" width="1.85546875" style="305" customWidth="1"/>
    <col min="4063" max="4063" width="2" style="305" customWidth="1"/>
    <col min="4064" max="4065" width="11.42578125" style="305" hidden="1" customWidth="1"/>
    <col min="4066" max="4066" width="2.140625" style="305" customWidth="1"/>
    <col min="4067" max="4067" width="2.28515625" style="305" customWidth="1"/>
    <col min="4068" max="4068" width="2" style="305" customWidth="1"/>
    <col min="4069" max="4069" width="1.7109375" style="305" customWidth="1"/>
    <col min="4070" max="4311" width="11.42578125" style="305"/>
    <col min="4312" max="4312" width="1.85546875" style="305" customWidth="1"/>
    <col min="4313" max="4314" width="2" style="305" customWidth="1"/>
    <col min="4315" max="4315" width="2.5703125" style="305" customWidth="1"/>
    <col min="4316" max="4316" width="2.28515625" style="305" customWidth="1"/>
    <col min="4317" max="4317" width="11.42578125" style="305"/>
    <col min="4318" max="4318" width="1.85546875" style="305" customWidth="1"/>
    <col min="4319" max="4319" width="2" style="305" customWidth="1"/>
    <col min="4320" max="4321" width="11.42578125" style="305" hidden="1" customWidth="1"/>
    <col min="4322" max="4322" width="2.140625" style="305" customWidth="1"/>
    <col min="4323" max="4323" width="2.28515625" style="305" customWidth="1"/>
    <col min="4324" max="4324" width="2" style="305" customWidth="1"/>
    <col min="4325" max="4325" width="1.7109375" style="305" customWidth="1"/>
    <col min="4326" max="4567" width="11.42578125" style="305"/>
    <col min="4568" max="4568" width="1.85546875" style="305" customWidth="1"/>
    <col min="4569" max="4570" width="2" style="305" customWidth="1"/>
    <col min="4571" max="4571" width="2.5703125" style="305" customWidth="1"/>
    <col min="4572" max="4572" width="2.28515625" style="305" customWidth="1"/>
    <col min="4573" max="4573" width="11.42578125" style="305"/>
    <col min="4574" max="4574" width="1.85546875" style="305" customWidth="1"/>
    <col min="4575" max="4575" width="2" style="305" customWidth="1"/>
    <col min="4576" max="4577" width="11.42578125" style="305" hidden="1" customWidth="1"/>
    <col min="4578" max="4578" width="2.140625" style="305" customWidth="1"/>
    <col min="4579" max="4579" width="2.28515625" style="305" customWidth="1"/>
    <col min="4580" max="4580" width="2" style="305" customWidth="1"/>
    <col min="4581" max="4581" width="1.7109375" style="305" customWidth="1"/>
    <col min="4582" max="4823" width="11.42578125" style="305"/>
    <col min="4824" max="4824" width="1.85546875" style="305" customWidth="1"/>
    <col min="4825" max="4826" width="2" style="305" customWidth="1"/>
    <col min="4827" max="4827" width="2.5703125" style="305" customWidth="1"/>
    <col min="4828" max="4828" width="2.28515625" style="305" customWidth="1"/>
    <col min="4829" max="4829" width="11.42578125" style="305"/>
    <col min="4830" max="4830" width="1.85546875" style="305" customWidth="1"/>
    <col min="4831" max="4831" width="2" style="305" customWidth="1"/>
    <col min="4832" max="4833" width="11.42578125" style="305" hidden="1" customWidth="1"/>
    <col min="4834" max="4834" width="2.140625" style="305" customWidth="1"/>
    <col min="4835" max="4835" width="2.28515625" style="305" customWidth="1"/>
    <col min="4836" max="4836" width="2" style="305" customWidth="1"/>
    <col min="4837" max="4837" width="1.7109375" style="305" customWidth="1"/>
    <col min="4838" max="5079" width="11.42578125" style="305"/>
    <col min="5080" max="5080" width="1.85546875" style="305" customWidth="1"/>
    <col min="5081" max="5082" width="2" style="305" customWidth="1"/>
    <col min="5083" max="5083" width="2.5703125" style="305" customWidth="1"/>
    <col min="5084" max="5084" width="2.28515625" style="305" customWidth="1"/>
    <col min="5085" max="5085" width="11.42578125" style="305"/>
    <col min="5086" max="5086" width="1.85546875" style="305" customWidth="1"/>
    <col min="5087" max="5087" width="2" style="305" customWidth="1"/>
    <col min="5088" max="5089" width="11.42578125" style="305" hidden="1" customWidth="1"/>
    <col min="5090" max="5090" width="2.140625" style="305" customWidth="1"/>
    <col min="5091" max="5091" width="2.28515625" style="305" customWidth="1"/>
    <col min="5092" max="5092" width="2" style="305" customWidth="1"/>
    <col min="5093" max="5093" width="1.7109375" style="305" customWidth="1"/>
    <col min="5094" max="5335" width="11.42578125" style="305"/>
    <col min="5336" max="5336" width="1.85546875" style="305" customWidth="1"/>
    <col min="5337" max="5338" width="2" style="305" customWidth="1"/>
    <col min="5339" max="5339" width="2.5703125" style="305" customWidth="1"/>
    <col min="5340" max="5340" width="2.28515625" style="305" customWidth="1"/>
    <col min="5341" max="5341" width="11.42578125" style="305"/>
    <col min="5342" max="5342" width="1.85546875" style="305" customWidth="1"/>
    <col min="5343" max="5343" width="2" style="305" customWidth="1"/>
    <col min="5344" max="5345" width="11.42578125" style="305" hidden="1" customWidth="1"/>
    <col min="5346" max="5346" width="2.140625" style="305" customWidth="1"/>
    <col min="5347" max="5347" width="2.28515625" style="305" customWidth="1"/>
    <col min="5348" max="5348" width="2" style="305" customWidth="1"/>
    <col min="5349" max="5349" width="1.7109375" style="305" customWidth="1"/>
    <col min="5350" max="5591" width="11.42578125" style="305"/>
    <col min="5592" max="5592" width="1.85546875" style="305" customWidth="1"/>
    <col min="5593" max="5594" width="2" style="305" customWidth="1"/>
    <col min="5595" max="5595" width="2.5703125" style="305" customWidth="1"/>
    <col min="5596" max="5596" width="2.28515625" style="305" customWidth="1"/>
    <col min="5597" max="5597" width="11.42578125" style="305"/>
    <col min="5598" max="5598" width="1.85546875" style="305" customWidth="1"/>
    <col min="5599" max="5599" width="2" style="305" customWidth="1"/>
    <col min="5600" max="5601" width="11.42578125" style="305" hidden="1" customWidth="1"/>
    <col min="5602" max="5602" width="2.140625" style="305" customWidth="1"/>
    <col min="5603" max="5603" width="2.28515625" style="305" customWidth="1"/>
    <col min="5604" max="5604" width="2" style="305" customWidth="1"/>
    <col min="5605" max="5605" width="1.7109375" style="305" customWidth="1"/>
    <col min="5606" max="5847" width="11.42578125" style="305"/>
    <col min="5848" max="5848" width="1.85546875" style="305" customWidth="1"/>
    <col min="5849" max="5850" width="2" style="305" customWidth="1"/>
    <col min="5851" max="5851" width="2.5703125" style="305" customWidth="1"/>
    <col min="5852" max="5852" width="2.28515625" style="305" customWidth="1"/>
    <col min="5853" max="5853" width="11.42578125" style="305"/>
    <col min="5854" max="5854" width="1.85546875" style="305" customWidth="1"/>
    <col min="5855" max="5855" width="2" style="305" customWidth="1"/>
    <col min="5856" max="5857" width="11.42578125" style="305" hidden="1" customWidth="1"/>
    <col min="5858" max="5858" width="2.140625" style="305" customWidth="1"/>
    <col min="5859" max="5859" width="2.28515625" style="305" customWidth="1"/>
    <col min="5860" max="5860" width="2" style="305" customWidth="1"/>
    <col min="5861" max="5861" width="1.7109375" style="305" customWidth="1"/>
    <col min="5862" max="6103" width="11.42578125" style="305"/>
    <col min="6104" max="6104" width="1.85546875" style="305" customWidth="1"/>
    <col min="6105" max="6106" width="2" style="305" customWidth="1"/>
    <col min="6107" max="6107" width="2.5703125" style="305" customWidth="1"/>
    <col min="6108" max="6108" width="2.28515625" style="305" customWidth="1"/>
    <col min="6109" max="6109" width="11.42578125" style="305"/>
    <col min="6110" max="6110" width="1.85546875" style="305" customWidth="1"/>
    <col min="6111" max="6111" width="2" style="305" customWidth="1"/>
    <col min="6112" max="6113" width="11.42578125" style="305" hidden="1" customWidth="1"/>
    <col min="6114" max="6114" width="2.140625" style="305" customWidth="1"/>
    <col min="6115" max="6115" width="2.28515625" style="305" customWidth="1"/>
    <col min="6116" max="6116" width="2" style="305" customWidth="1"/>
    <col min="6117" max="6117" width="1.7109375" style="305" customWidth="1"/>
    <col min="6118" max="6359" width="11.42578125" style="305"/>
    <col min="6360" max="6360" width="1.85546875" style="305" customWidth="1"/>
    <col min="6361" max="6362" width="2" style="305" customWidth="1"/>
    <col min="6363" max="6363" width="2.5703125" style="305" customWidth="1"/>
    <col min="6364" max="6364" width="2.28515625" style="305" customWidth="1"/>
    <col min="6365" max="6365" width="11.42578125" style="305"/>
    <col min="6366" max="6366" width="1.85546875" style="305" customWidth="1"/>
    <col min="6367" max="6367" width="2" style="305" customWidth="1"/>
    <col min="6368" max="6369" width="11.42578125" style="305" hidden="1" customWidth="1"/>
    <col min="6370" max="6370" width="2.140625" style="305" customWidth="1"/>
    <col min="6371" max="6371" width="2.28515625" style="305" customWidth="1"/>
    <col min="6372" max="6372" width="2" style="305" customWidth="1"/>
    <col min="6373" max="6373" width="1.7109375" style="305" customWidth="1"/>
    <col min="6374" max="6615" width="11.42578125" style="305"/>
    <col min="6616" max="6616" width="1.85546875" style="305" customWidth="1"/>
    <col min="6617" max="6618" width="2" style="305" customWidth="1"/>
    <col min="6619" max="6619" width="2.5703125" style="305" customWidth="1"/>
    <col min="6620" max="6620" width="2.28515625" style="305" customWidth="1"/>
    <col min="6621" max="6621" width="11.42578125" style="305"/>
    <col min="6622" max="6622" width="1.85546875" style="305" customWidth="1"/>
    <col min="6623" max="6623" width="2" style="305" customWidth="1"/>
    <col min="6624" max="6625" width="11.42578125" style="305" hidden="1" customWidth="1"/>
    <col min="6626" max="6626" width="2.140625" style="305" customWidth="1"/>
    <col min="6627" max="6627" width="2.28515625" style="305" customWidth="1"/>
    <col min="6628" max="6628" width="2" style="305" customWidth="1"/>
    <col min="6629" max="6629" width="1.7109375" style="305" customWidth="1"/>
    <col min="6630" max="6871" width="11.42578125" style="305"/>
    <col min="6872" max="6872" width="1.85546875" style="305" customWidth="1"/>
    <col min="6873" max="6874" width="2" style="305" customWidth="1"/>
    <col min="6875" max="6875" width="2.5703125" style="305" customWidth="1"/>
    <col min="6876" max="6876" width="2.28515625" style="305" customWidth="1"/>
    <col min="6877" max="6877" width="11.42578125" style="305"/>
    <col min="6878" max="6878" width="1.85546875" style="305" customWidth="1"/>
    <col min="6879" max="6879" width="2" style="305" customWidth="1"/>
    <col min="6880" max="6881" width="11.42578125" style="305" hidden="1" customWidth="1"/>
    <col min="6882" max="6882" width="2.140625" style="305" customWidth="1"/>
    <col min="6883" max="6883" width="2.28515625" style="305" customWidth="1"/>
    <col min="6884" max="6884" width="2" style="305" customWidth="1"/>
    <col min="6885" max="6885" width="1.7109375" style="305" customWidth="1"/>
    <col min="6886" max="7127" width="11.42578125" style="305"/>
    <col min="7128" max="7128" width="1.85546875" style="305" customWidth="1"/>
    <col min="7129" max="7130" width="2" style="305" customWidth="1"/>
    <col min="7131" max="7131" width="2.5703125" style="305" customWidth="1"/>
    <col min="7132" max="7132" width="2.28515625" style="305" customWidth="1"/>
    <col min="7133" max="7133" width="11.42578125" style="305"/>
    <col min="7134" max="7134" width="1.85546875" style="305" customWidth="1"/>
    <col min="7135" max="7135" width="2" style="305" customWidth="1"/>
    <col min="7136" max="7137" width="11.42578125" style="305" hidden="1" customWidth="1"/>
    <col min="7138" max="7138" width="2.140625" style="305" customWidth="1"/>
    <col min="7139" max="7139" width="2.28515625" style="305" customWidth="1"/>
    <col min="7140" max="7140" width="2" style="305" customWidth="1"/>
    <col min="7141" max="7141" width="1.7109375" style="305" customWidth="1"/>
    <col min="7142" max="7383" width="11.42578125" style="305"/>
    <col min="7384" max="7384" width="1.85546875" style="305" customWidth="1"/>
    <col min="7385" max="7386" width="2" style="305" customWidth="1"/>
    <col min="7387" max="7387" width="2.5703125" style="305" customWidth="1"/>
    <col min="7388" max="7388" width="2.28515625" style="305" customWidth="1"/>
    <col min="7389" max="7389" width="11.42578125" style="305"/>
    <col min="7390" max="7390" width="1.85546875" style="305" customWidth="1"/>
    <col min="7391" max="7391" width="2" style="305" customWidth="1"/>
    <col min="7392" max="7393" width="11.42578125" style="305" hidden="1" customWidth="1"/>
    <col min="7394" max="7394" width="2.140625" style="305" customWidth="1"/>
    <col min="7395" max="7395" width="2.28515625" style="305" customWidth="1"/>
    <col min="7396" max="7396" width="2" style="305" customWidth="1"/>
    <col min="7397" max="7397" width="1.7109375" style="305" customWidth="1"/>
    <col min="7398" max="7639" width="11.42578125" style="305"/>
    <col min="7640" max="7640" width="1.85546875" style="305" customWidth="1"/>
    <col min="7641" max="7642" width="2" style="305" customWidth="1"/>
    <col min="7643" max="7643" width="2.5703125" style="305" customWidth="1"/>
    <col min="7644" max="7644" width="2.28515625" style="305" customWidth="1"/>
    <col min="7645" max="7645" width="11.42578125" style="305"/>
    <col min="7646" max="7646" width="1.85546875" style="305" customWidth="1"/>
    <col min="7647" max="7647" width="2" style="305" customWidth="1"/>
    <col min="7648" max="7649" width="11.42578125" style="305" hidden="1" customWidth="1"/>
    <col min="7650" max="7650" width="2.140625" style="305" customWidth="1"/>
    <col min="7651" max="7651" width="2.28515625" style="305" customWidth="1"/>
    <col min="7652" max="7652" width="2" style="305" customWidth="1"/>
    <col min="7653" max="7653" width="1.7109375" style="305" customWidth="1"/>
    <col min="7654" max="7895" width="11.42578125" style="305"/>
    <col min="7896" max="7896" width="1.85546875" style="305" customWidth="1"/>
    <col min="7897" max="7898" width="2" style="305" customWidth="1"/>
    <col min="7899" max="7899" width="2.5703125" style="305" customWidth="1"/>
    <col min="7900" max="7900" width="2.28515625" style="305" customWidth="1"/>
    <col min="7901" max="7901" width="11.42578125" style="305"/>
    <col min="7902" max="7902" width="1.85546875" style="305" customWidth="1"/>
    <col min="7903" max="7903" width="2" style="305" customWidth="1"/>
    <col min="7904" max="7905" width="11.42578125" style="305" hidden="1" customWidth="1"/>
    <col min="7906" max="7906" width="2.140625" style="305" customWidth="1"/>
    <col min="7907" max="7907" width="2.28515625" style="305" customWidth="1"/>
    <col min="7908" max="7908" width="2" style="305" customWidth="1"/>
    <col min="7909" max="7909" width="1.7109375" style="305" customWidth="1"/>
    <col min="7910" max="8151" width="11.42578125" style="305"/>
    <col min="8152" max="8152" width="1.85546875" style="305" customWidth="1"/>
    <col min="8153" max="8154" width="2" style="305" customWidth="1"/>
    <col min="8155" max="8155" width="2.5703125" style="305" customWidth="1"/>
    <col min="8156" max="8156" width="2.28515625" style="305" customWidth="1"/>
    <col min="8157" max="8157" width="11.42578125" style="305"/>
    <col min="8158" max="8158" width="1.85546875" style="305" customWidth="1"/>
    <col min="8159" max="8159" width="2" style="305" customWidth="1"/>
    <col min="8160" max="8161" width="11.42578125" style="305" hidden="1" customWidth="1"/>
    <col min="8162" max="8162" width="2.140625" style="305" customWidth="1"/>
    <col min="8163" max="8163" width="2.28515625" style="305" customWidth="1"/>
    <col min="8164" max="8164" width="2" style="305" customWidth="1"/>
    <col min="8165" max="8165" width="1.7109375" style="305" customWidth="1"/>
    <col min="8166" max="8407" width="11.42578125" style="305"/>
    <col min="8408" max="8408" width="1.85546875" style="305" customWidth="1"/>
    <col min="8409" max="8410" width="2" style="305" customWidth="1"/>
    <col min="8411" max="8411" width="2.5703125" style="305" customWidth="1"/>
    <col min="8412" max="8412" width="2.28515625" style="305" customWidth="1"/>
    <col min="8413" max="8413" width="11.42578125" style="305"/>
    <col min="8414" max="8414" width="1.85546875" style="305" customWidth="1"/>
    <col min="8415" max="8415" width="2" style="305" customWidth="1"/>
    <col min="8416" max="8417" width="11.42578125" style="305" hidden="1" customWidth="1"/>
    <col min="8418" max="8418" width="2.140625" style="305" customWidth="1"/>
    <col min="8419" max="8419" width="2.28515625" style="305" customWidth="1"/>
    <col min="8420" max="8420" width="2" style="305" customWidth="1"/>
    <col min="8421" max="8421" width="1.7109375" style="305" customWidth="1"/>
    <col min="8422" max="8663" width="11.42578125" style="305"/>
    <col min="8664" max="8664" width="1.85546875" style="305" customWidth="1"/>
    <col min="8665" max="8666" width="2" style="305" customWidth="1"/>
    <col min="8667" max="8667" width="2.5703125" style="305" customWidth="1"/>
    <col min="8668" max="8668" width="2.28515625" style="305" customWidth="1"/>
    <col min="8669" max="8669" width="11.42578125" style="305"/>
    <col min="8670" max="8670" width="1.85546875" style="305" customWidth="1"/>
    <col min="8671" max="8671" width="2" style="305" customWidth="1"/>
    <col min="8672" max="8673" width="11.42578125" style="305" hidden="1" customWidth="1"/>
    <col min="8674" max="8674" width="2.140625" style="305" customWidth="1"/>
    <col min="8675" max="8675" width="2.28515625" style="305" customWidth="1"/>
    <col min="8676" max="8676" width="2" style="305" customWidth="1"/>
    <col min="8677" max="8677" width="1.7109375" style="305" customWidth="1"/>
    <col min="8678" max="8919" width="11.42578125" style="305"/>
    <col min="8920" max="8920" width="1.85546875" style="305" customWidth="1"/>
    <col min="8921" max="8922" width="2" style="305" customWidth="1"/>
    <col min="8923" max="8923" width="2.5703125" style="305" customWidth="1"/>
    <col min="8924" max="8924" width="2.28515625" style="305" customWidth="1"/>
    <col min="8925" max="8925" width="11.42578125" style="305"/>
    <col min="8926" max="8926" width="1.85546875" style="305" customWidth="1"/>
    <col min="8927" max="8927" width="2" style="305" customWidth="1"/>
    <col min="8928" max="8929" width="11.42578125" style="305" hidden="1" customWidth="1"/>
    <col min="8930" max="8930" width="2.140625" style="305" customWidth="1"/>
    <col min="8931" max="8931" width="2.28515625" style="305" customWidth="1"/>
    <col min="8932" max="8932" width="2" style="305" customWidth="1"/>
    <col min="8933" max="8933" width="1.7109375" style="305" customWidth="1"/>
    <col min="8934" max="9175" width="11.42578125" style="305"/>
    <col min="9176" max="9176" width="1.85546875" style="305" customWidth="1"/>
    <col min="9177" max="9178" width="2" style="305" customWidth="1"/>
    <col min="9179" max="9179" width="2.5703125" style="305" customWidth="1"/>
    <col min="9180" max="9180" width="2.28515625" style="305" customWidth="1"/>
    <col min="9181" max="9181" width="11.42578125" style="305"/>
    <col min="9182" max="9182" width="1.85546875" style="305" customWidth="1"/>
    <col min="9183" max="9183" width="2" style="305" customWidth="1"/>
    <col min="9184" max="9185" width="11.42578125" style="305" hidden="1" customWidth="1"/>
    <col min="9186" max="9186" width="2.140625" style="305" customWidth="1"/>
    <col min="9187" max="9187" width="2.28515625" style="305" customWidth="1"/>
    <col min="9188" max="9188" width="2" style="305" customWidth="1"/>
    <col min="9189" max="9189" width="1.7109375" style="305" customWidth="1"/>
    <col min="9190" max="9431" width="11.42578125" style="305"/>
    <col min="9432" max="9432" width="1.85546875" style="305" customWidth="1"/>
    <col min="9433" max="9434" width="2" style="305" customWidth="1"/>
    <col min="9435" max="9435" width="2.5703125" style="305" customWidth="1"/>
    <col min="9436" max="9436" width="2.28515625" style="305" customWidth="1"/>
    <col min="9437" max="9437" width="11.42578125" style="305"/>
    <col min="9438" max="9438" width="1.85546875" style="305" customWidth="1"/>
    <col min="9439" max="9439" width="2" style="305" customWidth="1"/>
    <col min="9440" max="9441" width="11.42578125" style="305" hidden="1" customWidth="1"/>
    <col min="9442" max="9442" width="2.140625" style="305" customWidth="1"/>
    <col min="9443" max="9443" width="2.28515625" style="305" customWidth="1"/>
    <col min="9444" max="9444" width="2" style="305" customWidth="1"/>
    <col min="9445" max="9445" width="1.7109375" style="305" customWidth="1"/>
    <col min="9446" max="9687" width="11.42578125" style="305"/>
    <col min="9688" max="9688" width="1.85546875" style="305" customWidth="1"/>
    <col min="9689" max="9690" width="2" style="305" customWidth="1"/>
    <col min="9691" max="9691" width="2.5703125" style="305" customWidth="1"/>
    <col min="9692" max="9692" width="2.28515625" style="305" customWidth="1"/>
    <col min="9693" max="9693" width="11.42578125" style="305"/>
    <col min="9694" max="9694" width="1.85546875" style="305" customWidth="1"/>
    <col min="9695" max="9695" width="2" style="305" customWidth="1"/>
    <col min="9696" max="9697" width="11.42578125" style="305" hidden="1" customWidth="1"/>
    <col min="9698" max="9698" width="2.140625" style="305" customWidth="1"/>
    <col min="9699" max="9699" width="2.28515625" style="305" customWidth="1"/>
    <col min="9700" max="9700" width="2" style="305" customWidth="1"/>
    <col min="9701" max="9701" width="1.7109375" style="305" customWidth="1"/>
    <col min="9702" max="9943" width="11.42578125" style="305"/>
    <col min="9944" max="9944" width="1.85546875" style="305" customWidth="1"/>
    <col min="9945" max="9946" width="2" style="305" customWidth="1"/>
    <col min="9947" max="9947" width="2.5703125" style="305" customWidth="1"/>
    <col min="9948" max="9948" width="2.28515625" style="305" customWidth="1"/>
    <col min="9949" max="9949" width="11.42578125" style="305"/>
    <col min="9950" max="9950" width="1.85546875" style="305" customWidth="1"/>
    <col min="9951" max="9951" width="2" style="305" customWidth="1"/>
    <col min="9952" max="9953" width="11.42578125" style="305" hidden="1" customWidth="1"/>
    <col min="9954" max="9954" width="2.140625" style="305" customWidth="1"/>
    <col min="9955" max="9955" width="2.28515625" style="305" customWidth="1"/>
    <col min="9956" max="9956" width="2" style="305" customWidth="1"/>
    <col min="9957" max="9957" width="1.7109375" style="305" customWidth="1"/>
    <col min="9958" max="10199" width="11.42578125" style="305"/>
    <col min="10200" max="10200" width="1.85546875" style="305" customWidth="1"/>
    <col min="10201" max="10202" width="2" style="305" customWidth="1"/>
    <col min="10203" max="10203" width="2.5703125" style="305" customWidth="1"/>
    <col min="10204" max="10204" width="2.28515625" style="305" customWidth="1"/>
    <col min="10205" max="10205" width="11.42578125" style="305"/>
    <col min="10206" max="10206" width="1.85546875" style="305" customWidth="1"/>
    <col min="10207" max="10207" width="2" style="305" customWidth="1"/>
    <col min="10208" max="10209" width="11.42578125" style="305" hidden="1" customWidth="1"/>
    <col min="10210" max="10210" width="2.140625" style="305" customWidth="1"/>
    <col min="10211" max="10211" width="2.28515625" style="305" customWidth="1"/>
    <col min="10212" max="10212" width="2" style="305" customWidth="1"/>
    <col min="10213" max="10213" width="1.7109375" style="305" customWidth="1"/>
    <col min="10214" max="10455" width="11.42578125" style="305"/>
    <col min="10456" max="10456" width="1.85546875" style="305" customWidth="1"/>
    <col min="10457" max="10458" width="2" style="305" customWidth="1"/>
    <col min="10459" max="10459" width="2.5703125" style="305" customWidth="1"/>
    <col min="10460" max="10460" width="2.28515625" style="305" customWidth="1"/>
    <col min="10461" max="10461" width="11.42578125" style="305"/>
    <col min="10462" max="10462" width="1.85546875" style="305" customWidth="1"/>
    <col min="10463" max="10463" width="2" style="305" customWidth="1"/>
    <col min="10464" max="10465" width="11.42578125" style="305" hidden="1" customWidth="1"/>
    <col min="10466" max="10466" width="2.140625" style="305" customWidth="1"/>
    <col min="10467" max="10467" width="2.28515625" style="305" customWidth="1"/>
    <col min="10468" max="10468" width="2" style="305" customWidth="1"/>
    <col min="10469" max="10469" width="1.7109375" style="305" customWidth="1"/>
    <col min="10470" max="10711" width="11.42578125" style="305"/>
    <col min="10712" max="10712" width="1.85546875" style="305" customWidth="1"/>
    <col min="10713" max="10714" width="2" style="305" customWidth="1"/>
    <col min="10715" max="10715" width="2.5703125" style="305" customWidth="1"/>
    <col min="10716" max="10716" width="2.28515625" style="305" customWidth="1"/>
    <col min="10717" max="10717" width="11.42578125" style="305"/>
    <col min="10718" max="10718" width="1.85546875" style="305" customWidth="1"/>
    <col min="10719" max="10719" width="2" style="305" customWidth="1"/>
    <col min="10720" max="10721" width="11.42578125" style="305" hidden="1" customWidth="1"/>
    <col min="10722" max="10722" width="2.140625" style="305" customWidth="1"/>
    <col min="10723" max="10723" width="2.28515625" style="305" customWidth="1"/>
    <col min="10724" max="10724" width="2" style="305" customWidth="1"/>
    <col min="10725" max="10725" width="1.7109375" style="305" customWidth="1"/>
    <col min="10726" max="10967" width="11.42578125" style="305"/>
    <col min="10968" max="10968" width="1.85546875" style="305" customWidth="1"/>
    <col min="10969" max="10970" width="2" style="305" customWidth="1"/>
    <col min="10971" max="10971" width="2.5703125" style="305" customWidth="1"/>
    <col min="10972" max="10972" width="2.28515625" style="305" customWidth="1"/>
    <col min="10973" max="10973" width="11.42578125" style="305"/>
    <col min="10974" max="10974" width="1.85546875" style="305" customWidth="1"/>
    <col min="10975" max="10975" width="2" style="305" customWidth="1"/>
    <col min="10976" max="10977" width="11.42578125" style="305" hidden="1" customWidth="1"/>
    <col min="10978" max="10978" width="2.140625" style="305" customWidth="1"/>
    <col min="10979" max="10979" width="2.28515625" style="305" customWidth="1"/>
    <col min="10980" max="10980" width="2" style="305" customWidth="1"/>
    <col min="10981" max="10981" width="1.7109375" style="305" customWidth="1"/>
    <col min="10982" max="11223" width="11.42578125" style="305"/>
    <col min="11224" max="11224" width="1.85546875" style="305" customWidth="1"/>
    <col min="11225" max="11226" width="2" style="305" customWidth="1"/>
    <col min="11227" max="11227" width="2.5703125" style="305" customWidth="1"/>
    <col min="11228" max="11228" width="2.28515625" style="305" customWidth="1"/>
    <col min="11229" max="11229" width="11.42578125" style="305"/>
    <col min="11230" max="11230" width="1.85546875" style="305" customWidth="1"/>
    <col min="11231" max="11231" width="2" style="305" customWidth="1"/>
    <col min="11232" max="11233" width="11.42578125" style="305" hidden="1" customWidth="1"/>
    <col min="11234" max="11234" width="2.140625" style="305" customWidth="1"/>
    <col min="11235" max="11235" width="2.28515625" style="305" customWidth="1"/>
    <col min="11236" max="11236" width="2" style="305" customWidth="1"/>
    <col min="11237" max="11237" width="1.7109375" style="305" customWidth="1"/>
    <col min="11238" max="11479" width="11.42578125" style="305"/>
    <col min="11480" max="11480" width="1.85546875" style="305" customWidth="1"/>
    <col min="11481" max="11482" width="2" style="305" customWidth="1"/>
    <col min="11483" max="11483" width="2.5703125" style="305" customWidth="1"/>
    <col min="11484" max="11484" width="2.28515625" style="305" customWidth="1"/>
    <col min="11485" max="11485" width="11.42578125" style="305"/>
    <col min="11486" max="11486" width="1.85546875" style="305" customWidth="1"/>
    <col min="11487" max="11487" width="2" style="305" customWidth="1"/>
    <col min="11488" max="11489" width="11.42578125" style="305" hidden="1" customWidth="1"/>
    <col min="11490" max="11490" width="2.140625" style="305" customWidth="1"/>
    <col min="11491" max="11491" width="2.28515625" style="305" customWidth="1"/>
    <col min="11492" max="11492" width="2" style="305" customWidth="1"/>
    <col min="11493" max="11493" width="1.7109375" style="305" customWidth="1"/>
    <col min="11494" max="11735" width="11.42578125" style="305"/>
    <col min="11736" max="11736" width="1.85546875" style="305" customWidth="1"/>
    <col min="11737" max="11738" width="2" style="305" customWidth="1"/>
    <col min="11739" max="11739" width="2.5703125" style="305" customWidth="1"/>
    <col min="11740" max="11740" width="2.28515625" style="305" customWidth="1"/>
    <col min="11741" max="11741" width="11.42578125" style="305"/>
    <col min="11742" max="11742" width="1.85546875" style="305" customWidth="1"/>
    <col min="11743" max="11743" width="2" style="305" customWidth="1"/>
    <col min="11744" max="11745" width="11.42578125" style="305" hidden="1" customWidth="1"/>
    <col min="11746" max="11746" width="2.140625" style="305" customWidth="1"/>
    <col min="11747" max="11747" width="2.28515625" style="305" customWidth="1"/>
    <col min="11748" max="11748" width="2" style="305" customWidth="1"/>
    <col min="11749" max="11749" width="1.7109375" style="305" customWidth="1"/>
    <col min="11750" max="11991" width="11.42578125" style="305"/>
    <col min="11992" max="11992" width="1.85546875" style="305" customWidth="1"/>
    <col min="11993" max="11994" width="2" style="305" customWidth="1"/>
    <col min="11995" max="11995" width="2.5703125" style="305" customWidth="1"/>
    <col min="11996" max="11996" width="2.28515625" style="305" customWidth="1"/>
    <col min="11997" max="11997" width="11.42578125" style="305"/>
    <col min="11998" max="11998" width="1.85546875" style="305" customWidth="1"/>
    <col min="11999" max="11999" width="2" style="305" customWidth="1"/>
    <col min="12000" max="12001" width="11.42578125" style="305" hidden="1" customWidth="1"/>
    <col min="12002" max="12002" width="2.140625" style="305" customWidth="1"/>
    <col min="12003" max="12003" width="2.28515625" style="305" customWidth="1"/>
    <col min="12004" max="12004" width="2" style="305" customWidth="1"/>
    <col min="12005" max="12005" width="1.7109375" style="305" customWidth="1"/>
    <col min="12006" max="12247" width="11.42578125" style="305"/>
    <col min="12248" max="12248" width="1.85546875" style="305" customWidth="1"/>
    <col min="12249" max="12250" width="2" style="305" customWidth="1"/>
    <col min="12251" max="12251" width="2.5703125" style="305" customWidth="1"/>
    <col min="12252" max="12252" width="2.28515625" style="305" customWidth="1"/>
    <col min="12253" max="12253" width="11.42578125" style="305"/>
    <col min="12254" max="12254" width="1.85546875" style="305" customWidth="1"/>
    <col min="12255" max="12255" width="2" style="305" customWidth="1"/>
    <col min="12256" max="12257" width="11.42578125" style="305" hidden="1" customWidth="1"/>
    <col min="12258" max="12258" width="2.140625" style="305" customWidth="1"/>
    <col min="12259" max="12259" width="2.28515625" style="305" customWidth="1"/>
    <col min="12260" max="12260" width="2" style="305" customWidth="1"/>
    <col min="12261" max="12261" width="1.7109375" style="305" customWidth="1"/>
    <col min="12262" max="12503" width="11.42578125" style="305"/>
    <col min="12504" max="12504" width="1.85546875" style="305" customWidth="1"/>
    <col min="12505" max="12506" width="2" style="305" customWidth="1"/>
    <col min="12507" max="12507" width="2.5703125" style="305" customWidth="1"/>
    <col min="12508" max="12508" width="2.28515625" style="305" customWidth="1"/>
    <col min="12509" max="12509" width="11.42578125" style="305"/>
    <col min="12510" max="12510" width="1.85546875" style="305" customWidth="1"/>
    <col min="12511" max="12511" width="2" style="305" customWidth="1"/>
    <col min="12512" max="12513" width="11.42578125" style="305" hidden="1" customWidth="1"/>
    <col min="12514" max="12514" width="2.140625" style="305" customWidth="1"/>
    <col min="12515" max="12515" width="2.28515625" style="305" customWidth="1"/>
    <col min="12516" max="12516" width="2" style="305" customWidth="1"/>
    <col min="12517" max="12517" width="1.7109375" style="305" customWidth="1"/>
    <col min="12518" max="12759" width="11.42578125" style="305"/>
    <col min="12760" max="12760" width="1.85546875" style="305" customWidth="1"/>
    <col min="12761" max="12762" width="2" style="305" customWidth="1"/>
    <col min="12763" max="12763" width="2.5703125" style="305" customWidth="1"/>
    <col min="12764" max="12764" width="2.28515625" style="305" customWidth="1"/>
    <col min="12765" max="12765" width="11.42578125" style="305"/>
    <col min="12766" max="12766" width="1.85546875" style="305" customWidth="1"/>
    <col min="12767" max="12767" width="2" style="305" customWidth="1"/>
    <col min="12768" max="12769" width="11.42578125" style="305" hidden="1" customWidth="1"/>
    <col min="12770" max="12770" width="2.140625" style="305" customWidth="1"/>
    <col min="12771" max="12771" width="2.28515625" style="305" customWidth="1"/>
    <col min="12772" max="12772" width="2" style="305" customWidth="1"/>
    <col min="12773" max="12773" width="1.7109375" style="305" customWidth="1"/>
    <col min="12774" max="13015" width="11.42578125" style="305"/>
    <col min="13016" max="13016" width="1.85546875" style="305" customWidth="1"/>
    <col min="13017" max="13018" width="2" style="305" customWidth="1"/>
    <col min="13019" max="13019" width="2.5703125" style="305" customWidth="1"/>
    <col min="13020" max="13020" width="2.28515625" style="305" customWidth="1"/>
    <col min="13021" max="13021" width="11.42578125" style="305"/>
    <col min="13022" max="13022" width="1.85546875" style="305" customWidth="1"/>
    <col min="13023" max="13023" width="2" style="305" customWidth="1"/>
    <col min="13024" max="13025" width="11.42578125" style="305" hidden="1" customWidth="1"/>
    <col min="13026" max="13026" width="2.140625" style="305" customWidth="1"/>
    <col min="13027" max="13027" width="2.28515625" style="305" customWidth="1"/>
    <col min="13028" max="13028" width="2" style="305" customWidth="1"/>
    <col min="13029" max="13029" width="1.7109375" style="305" customWidth="1"/>
    <col min="13030" max="13271" width="11.42578125" style="305"/>
    <col min="13272" max="13272" width="1.85546875" style="305" customWidth="1"/>
    <col min="13273" max="13274" width="2" style="305" customWidth="1"/>
    <col min="13275" max="13275" width="2.5703125" style="305" customWidth="1"/>
    <col min="13276" max="13276" width="2.28515625" style="305" customWidth="1"/>
    <col min="13277" max="13277" width="11.42578125" style="305"/>
    <col min="13278" max="13278" width="1.85546875" style="305" customWidth="1"/>
    <col min="13279" max="13279" width="2" style="305" customWidth="1"/>
    <col min="13280" max="13281" width="11.42578125" style="305" hidden="1" customWidth="1"/>
    <col min="13282" max="13282" width="2.140625" style="305" customWidth="1"/>
    <col min="13283" max="13283" width="2.28515625" style="305" customWidth="1"/>
    <col min="13284" max="13284" width="2" style="305" customWidth="1"/>
    <col min="13285" max="13285" width="1.7109375" style="305" customWidth="1"/>
    <col min="13286" max="13527" width="11.42578125" style="305"/>
    <col min="13528" max="13528" width="1.85546875" style="305" customWidth="1"/>
    <col min="13529" max="13530" width="2" style="305" customWidth="1"/>
    <col min="13531" max="13531" width="2.5703125" style="305" customWidth="1"/>
    <col min="13532" max="13532" width="2.28515625" style="305" customWidth="1"/>
    <col min="13533" max="13533" width="11.42578125" style="305"/>
    <col min="13534" max="13534" width="1.85546875" style="305" customWidth="1"/>
    <col min="13535" max="13535" width="2" style="305" customWidth="1"/>
    <col min="13536" max="13537" width="11.42578125" style="305" hidden="1" customWidth="1"/>
    <col min="13538" max="13538" width="2.140625" style="305" customWidth="1"/>
    <col min="13539" max="13539" width="2.28515625" style="305" customWidth="1"/>
    <col min="13540" max="13540" width="2" style="305" customWidth="1"/>
    <col min="13541" max="13541" width="1.7109375" style="305" customWidth="1"/>
    <col min="13542" max="13783" width="11.42578125" style="305"/>
    <col min="13784" max="13784" width="1.85546875" style="305" customWidth="1"/>
    <col min="13785" max="13786" width="2" style="305" customWidth="1"/>
    <col min="13787" max="13787" width="2.5703125" style="305" customWidth="1"/>
    <col min="13788" max="13788" width="2.28515625" style="305" customWidth="1"/>
    <col min="13789" max="13789" width="11.42578125" style="305"/>
    <col min="13790" max="13790" width="1.85546875" style="305" customWidth="1"/>
    <col min="13791" max="13791" width="2" style="305" customWidth="1"/>
    <col min="13792" max="13793" width="11.42578125" style="305" hidden="1" customWidth="1"/>
    <col min="13794" max="13794" width="2.140625" style="305" customWidth="1"/>
    <col min="13795" max="13795" width="2.28515625" style="305" customWidth="1"/>
    <col min="13796" max="13796" width="2" style="305" customWidth="1"/>
    <col min="13797" max="13797" width="1.7109375" style="305" customWidth="1"/>
    <col min="13798" max="14039" width="11.42578125" style="305"/>
    <col min="14040" max="14040" width="1.85546875" style="305" customWidth="1"/>
    <col min="14041" max="14042" width="2" style="305" customWidth="1"/>
    <col min="14043" max="14043" width="2.5703125" style="305" customWidth="1"/>
    <col min="14044" max="14044" width="2.28515625" style="305" customWidth="1"/>
    <col min="14045" max="14045" width="11.42578125" style="305"/>
    <col min="14046" max="14046" width="1.85546875" style="305" customWidth="1"/>
    <col min="14047" max="14047" width="2" style="305" customWidth="1"/>
    <col min="14048" max="14049" width="11.42578125" style="305" hidden="1" customWidth="1"/>
    <col min="14050" max="14050" width="2.140625" style="305" customWidth="1"/>
    <col min="14051" max="14051" width="2.28515625" style="305" customWidth="1"/>
    <col min="14052" max="14052" width="2" style="305" customWidth="1"/>
    <col min="14053" max="14053" width="1.7109375" style="305" customWidth="1"/>
    <col min="14054" max="14295" width="11.42578125" style="305"/>
    <col min="14296" max="14296" width="1.85546875" style="305" customWidth="1"/>
    <col min="14297" max="14298" width="2" style="305" customWidth="1"/>
    <col min="14299" max="14299" width="2.5703125" style="305" customWidth="1"/>
    <col min="14300" max="14300" width="2.28515625" style="305" customWidth="1"/>
    <col min="14301" max="14301" width="11.42578125" style="305"/>
    <col min="14302" max="14302" width="1.85546875" style="305" customWidth="1"/>
    <col min="14303" max="14303" width="2" style="305" customWidth="1"/>
    <col min="14304" max="14305" width="11.42578125" style="305" hidden="1" customWidth="1"/>
    <col min="14306" max="14306" width="2.140625" style="305" customWidth="1"/>
    <col min="14307" max="14307" width="2.28515625" style="305" customWidth="1"/>
    <col min="14308" max="14308" width="2" style="305" customWidth="1"/>
    <col min="14309" max="14309" width="1.7109375" style="305" customWidth="1"/>
    <col min="14310" max="14551" width="11.42578125" style="305"/>
    <col min="14552" max="14552" width="1.85546875" style="305" customWidth="1"/>
    <col min="14553" max="14554" width="2" style="305" customWidth="1"/>
    <col min="14555" max="14555" width="2.5703125" style="305" customWidth="1"/>
    <col min="14556" max="14556" width="2.28515625" style="305" customWidth="1"/>
    <col min="14557" max="14557" width="11.42578125" style="305"/>
    <col min="14558" max="14558" width="1.85546875" style="305" customWidth="1"/>
    <col min="14559" max="14559" width="2" style="305" customWidth="1"/>
    <col min="14560" max="14561" width="11.42578125" style="305" hidden="1" customWidth="1"/>
    <col min="14562" max="14562" width="2.140625" style="305" customWidth="1"/>
    <col min="14563" max="14563" width="2.28515625" style="305" customWidth="1"/>
    <col min="14564" max="14564" width="2" style="305" customWidth="1"/>
    <col min="14565" max="14565" width="1.7109375" style="305" customWidth="1"/>
    <col min="14566" max="14807" width="11.42578125" style="305"/>
    <col min="14808" max="14808" width="1.85546875" style="305" customWidth="1"/>
    <col min="14809" max="14810" width="2" style="305" customWidth="1"/>
    <col min="14811" max="14811" width="2.5703125" style="305" customWidth="1"/>
    <col min="14812" max="14812" width="2.28515625" style="305" customWidth="1"/>
    <col min="14813" max="14813" width="11.42578125" style="305"/>
    <col min="14814" max="14814" width="1.85546875" style="305" customWidth="1"/>
    <col min="14815" max="14815" width="2" style="305" customWidth="1"/>
    <col min="14816" max="14817" width="11.42578125" style="305" hidden="1" customWidth="1"/>
    <col min="14818" max="14818" width="2.140625" style="305" customWidth="1"/>
    <col min="14819" max="14819" width="2.28515625" style="305" customWidth="1"/>
    <col min="14820" max="14820" width="2" style="305" customWidth="1"/>
    <col min="14821" max="14821" width="1.7109375" style="305" customWidth="1"/>
    <col min="14822" max="15063" width="11.42578125" style="305"/>
    <col min="15064" max="15064" width="1.85546875" style="305" customWidth="1"/>
    <col min="15065" max="15066" width="2" style="305" customWidth="1"/>
    <col min="15067" max="15067" width="2.5703125" style="305" customWidth="1"/>
    <col min="15068" max="15068" width="2.28515625" style="305" customWidth="1"/>
    <col min="15069" max="15069" width="11.42578125" style="305"/>
    <col min="15070" max="15070" width="1.85546875" style="305" customWidth="1"/>
    <col min="15071" max="15071" width="2" style="305" customWidth="1"/>
    <col min="15072" max="15073" width="11.42578125" style="305" hidden="1" customWidth="1"/>
    <col min="15074" max="15074" width="2.140625" style="305" customWidth="1"/>
    <col min="15075" max="15075" width="2.28515625" style="305" customWidth="1"/>
    <col min="15076" max="15076" width="2" style="305" customWidth="1"/>
    <col min="15077" max="15077" width="1.7109375" style="305" customWidth="1"/>
    <col min="15078" max="15319" width="11.42578125" style="305"/>
    <col min="15320" max="15320" width="1.85546875" style="305" customWidth="1"/>
    <col min="15321" max="15322" width="2" style="305" customWidth="1"/>
    <col min="15323" max="15323" width="2.5703125" style="305" customWidth="1"/>
    <col min="15324" max="15324" width="2.28515625" style="305" customWidth="1"/>
    <col min="15325" max="15325" width="11.42578125" style="305"/>
    <col min="15326" max="15326" width="1.85546875" style="305" customWidth="1"/>
    <col min="15327" max="15327" width="2" style="305" customWidth="1"/>
    <col min="15328" max="15329" width="11.42578125" style="305" hidden="1" customWidth="1"/>
    <col min="15330" max="15330" width="2.140625" style="305" customWidth="1"/>
    <col min="15331" max="15331" width="2.28515625" style="305" customWidth="1"/>
    <col min="15332" max="15332" width="2" style="305" customWidth="1"/>
    <col min="15333" max="15333" width="1.7109375" style="305" customWidth="1"/>
    <col min="15334" max="15575" width="11.42578125" style="305"/>
    <col min="15576" max="15576" width="1.85546875" style="305" customWidth="1"/>
    <col min="15577" max="15578" width="2" style="305" customWidth="1"/>
    <col min="15579" max="15579" width="2.5703125" style="305" customWidth="1"/>
    <col min="15580" max="15580" width="2.28515625" style="305" customWidth="1"/>
    <col min="15581" max="15581" width="11.42578125" style="305"/>
    <col min="15582" max="15582" width="1.85546875" style="305" customWidth="1"/>
    <col min="15583" max="15583" width="2" style="305" customWidth="1"/>
    <col min="15584" max="15585" width="11.42578125" style="305" hidden="1" customWidth="1"/>
    <col min="15586" max="15586" width="2.140625" style="305" customWidth="1"/>
    <col min="15587" max="15587" width="2.28515625" style="305" customWidth="1"/>
    <col min="15588" max="15588" width="2" style="305" customWidth="1"/>
    <col min="15589" max="15589" width="1.7109375" style="305" customWidth="1"/>
    <col min="15590" max="15831" width="11.42578125" style="305"/>
    <col min="15832" max="15832" width="1.85546875" style="305" customWidth="1"/>
    <col min="15833" max="15834" width="2" style="305" customWidth="1"/>
    <col min="15835" max="15835" width="2.5703125" style="305" customWidth="1"/>
    <col min="15836" max="15836" width="2.28515625" style="305" customWidth="1"/>
    <col min="15837" max="15837" width="11.42578125" style="305"/>
    <col min="15838" max="15838" width="1.85546875" style="305" customWidth="1"/>
    <col min="15839" max="15839" width="2" style="305" customWidth="1"/>
    <col min="15840" max="15841" width="11.42578125" style="305" hidden="1" customWidth="1"/>
    <col min="15842" max="15842" width="2.140625" style="305" customWidth="1"/>
    <col min="15843" max="15843" width="2.28515625" style="305" customWidth="1"/>
    <col min="15844" max="15844" width="2" style="305" customWidth="1"/>
    <col min="15845" max="15845" width="1.7109375" style="305" customWidth="1"/>
    <col min="15846" max="16087" width="11.42578125" style="305"/>
    <col min="16088" max="16088" width="1.85546875" style="305" customWidth="1"/>
    <col min="16089" max="16090" width="2" style="305" customWidth="1"/>
    <col min="16091" max="16091" width="2.5703125" style="305" customWidth="1"/>
    <col min="16092" max="16092" width="2.28515625" style="305" customWidth="1"/>
    <col min="16093" max="16093" width="11.42578125" style="305"/>
    <col min="16094" max="16094" width="1.85546875" style="305" customWidth="1"/>
    <col min="16095" max="16095" width="2" style="305" customWidth="1"/>
    <col min="16096" max="16097" width="11.42578125" style="305" hidden="1" customWidth="1"/>
    <col min="16098" max="16098" width="2.140625" style="305" customWidth="1"/>
    <col min="16099" max="16099" width="2.28515625" style="305" customWidth="1"/>
    <col min="16100" max="16100" width="2" style="305" customWidth="1"/>
    <col min="16101" max="16101" width="1.7109375" style="305" customWidth="1"/>
    <col min="16102" max="16384" width="11.42578125" style="305"/>
  </cols>
  <sheetData>
    <row r="17" spans="2:17">
      <c r="C17" s="310"/>
    </row>
    <row r="18" spans="2:17">
      <c r="E18" s="324"/>
      <c r="F18" s="310"/>
    </row>
    <row r="19" spans="2:17">
      <c r="E19" s="325"/>
      <c r="F19" s="310"/>
      <c r="J19" s="310"/>
      <c r="K19" s="326"/>
    </row>
    <row r="20" spans="2:17">
      <c r="E20" s="327"/>
      <c r="F20" s="310"/>
      <c r="J20" s="310"/>
    </row>
    <row r="21" spans="2:17">
      <c r="E21" s="328"/>
      <c r="F21" s="310"/>
      <c r="J21" s="329"/>
      <c r="K21" s="330"/>
    </row>
    <row r="22" spans="2:17">
      <c r="E22" s="328"/>
      <c r="F22" s="310"/>
      <c r="J22" s="329"/>
      <c r="K22" s="310"/>
      <c r="L22" s="310"/>
    </row>
    <row r="23" spans="2:17">
      <c r="E23" s="328"/>
      <c r="F23" s="331"/>
      <c r="G23" s="332"/>
      <c r="J23" s="310"/>
      <c r="K23" s="310"/>
    </row>
    <row r="24" spans="2:17">
      <c r="E24" s="333"/>
      <c r="F24" s="329"/>
      <c r="G24" s="310"/>
      <c r="J24" s="310"/>
      <c r="K24" s="310"/>
      <c r="N24" s="310"/>
    </row>
    <row r="25" spans="2:17" ht="13.5" thickBot="1">
      <c r="E25" s="328"/>
      <c r="F25" s="310"/>
    </row>
    <row r="26" spans="2:17" ht="13.5" customHeight="1" thickBot="1">
      <c r="E26" s="328"/>
      <c r="F26" s="334"/>
      <c r="G26" s="335"/>
      <c r="J26" s="310"/>
      <c r="K26" s="326"/>
      <c r="L26" s="310"/>
      <c r="N26" s="326"/>
    </row>
    <row r="27" spans="2:17">
      <c r="E27" s="336"/>
      <c r="F27" s="310"/>
      <c r="G27" s="310"/>
      <c r="K27" s="310"/>
      <c r="L27" s="310"/>
      <c r="M27" s="310"/>
    </row>
    <row r="28" spans="2:17">
      <c r="E28" s="337"/>
      <c r="F28" s="310"/>
      <c r="G28" s="338"/>
      <c r="I28" s="310"/>
    </row>
    <row r="29" spans="2:17">
      <c r="E29" s="339"/>
      <c r="F29" s="340"/>
      <c r="K29" s="310"/>
    </row>
    <row r="30" spans="2:17">
      <c r="E30" s="341"/>
      <c r="F30" s="310"/>
      <c r="J30" s="310"/>
      <c r="O30" s="310"/>
      <c r="Q30" s="310"/>
    </row>
    <row r="31" spans="2:17" ht="18" customHeight="1">
      <c r="C31" s="310"/>
      <c r="H31" s="342"/>
    </row>
    <row r="32" spans="2:17">
      <c r="B32" s="343"/>
      <c r="C32" s="310"/>
    </row>
    <row r="33" spans="3:8">
      <c r="C33" s="310"/>
    </row>
    <row r="34" spans="3:8">
      <c r="C34" s="310"/>
      <c r="H34" s="310"/>
    </row>
    <row r="35" spans="3:8">
      <c r="C35" s="310"/>
    </row>
    <row r="36" spans="3:8">
      <c r="C36" s="310"/>
    </row>
    <row r="37" spans="3:8">
      <c r="C37" s="310"/>
    </row>
    <row r="38" spans="3:8">
      <c r="C38" s="310"/>
    </row>
    <row r="39" spans="3:8">
      <c r="C39" s="310"/>
    </row>
    <row r="40" spans="3:8">
      <c r="C40" s="310"/>
    </row>
    <row r="41" spans="3:8">
      <c r="C41" s="310"/>
    </row>
    <row r="42" spans="3:8">
      <c r="C42" s="310"/>
    </row>
    <row r="43" spans="3:8">
      <c r="C43" s="310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L14"/>
  <sheetViews>
    <sheetView zoomScaleNormal="100" zoomScaleSheetLayoutView="90" workbookViewId="0">
      <selection activeCell="E8" sqref="E8"/>
    </sheetView>
  </sheetViews>
  <sheetFormatPr baseColWidth="10" defaultColWidth="11.42578125" defaultRowHeight="15"/>
  <cols>
    <col min="1" max="1" width="6.7109375" style="304" customWidth="1"/>
    <col min="2" max="2" width="12.85546875" style="304" customWidth="1"/>
    <col min="3" max="3" width="15.7109375" style="304" customWidth="1"/>
    <col min="4" max="4" width="10.42578125" style="304" customWidth="1"/>
    <col min="5" max="6" width="15.7109375" style="304" customWidth="1"/>
    <col min="7" max="7" width="14.28515625" style="304" customWidth="1"/>
    <col min="8" max="8" width="15.7109375" style="304" customWidth="1"/>
    <col min="9" max="9" width="13.7109375" style="304" hidden="1" customWidth="1"/>
    <col min="10" max="10" width="16.28515625" style="304" customWidth="1"/>
    <col min="11" max="11" width="11.28515625" style="304" customWidth="1"/>
    <col min="12" max="12" width="15.7109375" style="304" customWidth="1"/>
    <col min="13" max="13" width="6.7109375" style="304" customWidth="1"/>
    <col min="14" max="161" width="11.42578125" style="304"/>
    <col min="162" max="162" width="2.28515625" style="304" customWidth="1"/>
    <col min="163" max="163" width="2.140625" style="304" customWidth="1"/>
    <col min="164" max="164" width="1.140625" style="304" customWidth="1"/>
    <col min="165" max="166" width="2" style="304" customWidth="1"/>
    <col min="167" max="168" width="2.140625" style="304" customWidth="1"/>
    <col min="169" max="169" width="1.7109375" style="304" customWidth="1"/>
    <col min="170" max="170" width="0.85546875" style="304" customWidth="1"/>
    <col min="171" max="171" width="2" style="304" customWidth="1"/>
    <col min="172" max="172" width="2.140625" style="304" customWidth="1"/>
    <col min="173" max="417" width="11.42578125" style="304"/>
    <col min="418" max="418" width="2.28515625" style="304" customWidth="1"/>
    <col min="419" max="419" width="2.140625" style="304" customWidth="1"/>
    <col min="420" max="420" width="1.140625" style="304" customWidth="1"/>
    <col min="421" max="422" width="2" style="304" customWidth="1"/>
    <col min="423" max="424" width="2.140625" style="304" customWidth="1"/>
    <col min="425" max="425" width="1.7109375" style="304" customWidth="1"/>
    <col min="426" max="426" width="0.85546875" style="304" customWidth="1"/>
    <col min="427" max="427" width="2" style="304" customWidth="1"/>
    <col min="428" max="428" width="2.140625" style="304" customWidth="1"/>
    <col min="429" max="673" width="11.42578125" style="304"/>
    <col min="674" max="674" width="2.28515625" style="304" customWidth="1"/>
    <col min="675" max="675" width="2.140625" style="304" customWidth="1"/>
    <col min="676" max="676" width="1.140625" style="304" customWidth="1"/>
    <col min="677" max="678" width="2" style="304" customWidth="1"/>
    <col min="679" max="680" width="2.140625" style="304" customWidth="1"/>
    <col min="681" max="681" width="1.7109375" style="304" customWidth="1"/>
    <col min="682" max="682" width="0.85546875" style="304" customWidth="1"/>
    <col min="683" max="683" width="2" style="304" customWidth="1"/>
    <col min="684" max="684" width="2.140625" style="304" customWidth="1"/>
    <col min="685" max="929" width="11.42578125" style="304"/>
    <col min="930" max="930" width="2.28515625" style="304" customWidth="1"/>
    <col min="931" max="931" width="2.140625" style="304" customWidth="1"/>
    <col min="932" max="932" width="1.140625" style="304" customWidth="1"/>
    <col min="933" max="934" width="2" style="304" customWidth="1"/>
    <col min="935" max="936" width="2.140625" style="304" customWidth="1"/>
    <col min="937" max="937" width="1.7109375" style="304" customWidth="1"/>
    <col min="938" max="938" width="0.85546875" style="304" customWidth="1"/>
    <col min="939" max="939" width="2" style="304" customWidth="1"/>
    <col min="940" max="940" width="2.140625" style="304" customWidth="1"/>
    <col min="941" max="1185" width="11.42578125" style="304"/>
    <col min="1186" max="1186" width="2.28515625" style="304" customWidth="1"/>
    <col min="1187" max="1187" width="2.140625" style="304" customWidth="1"/>
    <col min="1188" max="1188" width="1.140625" style="304" customWidth="1"/>
    <col min="1189" max="1190" width="2" style="304" customWidth="1"/>
    <col min="1191" max="1192" width="2.140625" style="304" customWidth="1"/>
    <col min="1193" max="1193" width="1.7109375" style="304" customWidth="1"/>
    <col min="1194" max="1194" width="0.85546875" style="304" customWidth="1"/>
    <col min="1195" max="1195" width="2" style="304" customWidth="1"/>
    <col min="1196" max="1196" width="2.140625" style="304" customWidth="1"/>
    <col min="1197" max="1441" width="11.42578125" style="304"/>
    <col min="1442" max="1442" width="2.28515625" style="304" customWidth="1"/>
    <col min="1443" max="1443" width="2.140625" style="304" customWidth="1"/>
    <col min="1444" max="1444" width="1.140625" style="304" customWidth="1"/>
    <col min="1445" max="1446" width="2" style="304" customWidth="1"/>
    <col min="1447" max="1448" width="2.140625" style="304" customWidth="1"/>
    <col min="1449" max="1449" width="1.7109375" style="304" customWidth="1"/>
    <col min="1450" max="1450" width="0.85546875" style="304" customWidth="1"/>
    <col min="1451" max="1451" width="2" style="304" customWidth="1"/>
    <col min="1452" max="1452" width="2.140625" style="304" customWidth="1"/>
    <col min="1453" max="1697" width="11.42578125" style="304"/>
    <col min="1698" max="1698" width="2.28515625" style="304" customWidth="1"/>
    <col min="1699" max="1699" width="2.140625" style="304" customWidth="1"/>
    <col min="1700" max="1700" width="1.140625" style="304" customWidth="1"/>
    <col min="1701" max="1702" width="2" style="304" customWidth="1"/>
    <col min="1703" max="1704" width="2.140625" style="304" customWidth="1"/>
    <col min="1705" max="1705" width="1.7109375" style="304" customWidth="1"/>
    <col min="1706" max="1706" width="0.85546875" style="304" customWidth="1"/>
    <col min="1707" max="1707" width="2" style="304" customWidth="1"/>
    <col min="1708" max="1708" width="2.140625" style="304" customWidth="1"/>
    <col min="1709" max="1953" width="11.42578125" style="304"/>
    <col min="1954" max="1954" width="2.28515625" style="304" customWidth="1"/>
    <col min="1955" max="1955" width="2.140625" style="304" customWidth="1"/>
    <col min="1956" max="1956" width="1.140625" style="304" customWidth="1"/>
    <col min="1957" max="1958" width="2" style="304" customWidth="1"/>
    <col min="1959" max="1960" width="2.140625" style="304" customWidth="1"/>
    <col min="1961" max="1961" width="1.7109375" style="304" customWidth="1"/>
    <col min="1962" max="1962" width="0.85546875" style="304" customWidth="1"/>
    <col min="1963" max="1963" width="2" style="304" customWidth="1"/>
    <col min="1964" max="1964" width="2.140625" style="304" customWidth="1"/>
    <col min="1965" max="2209" width="11.42578125" style="304"/>
    <col min="2210" max="2210" width="2.28515625" style="304" customWidth="1"/>
    <col min="2211" max="2211" width="2.140625" style="304" customWidth="1"/>
    <col min="2212" max="2212" width="1.140625" style="304" customWidth="1"/>
    <col min="2213" max="2214" width="2" style="304" customWidth="1"/>
    <col min="2215" max="2216" width="2.140625" style="304" customWidth="1"/>
    <col min="2217" max="2217" width="1.7109375" style="304" customWidth="1"/>
    <col min="2218" max="2218" width="0.85546875" style="304" customWidth="1"/>
    <col min="2219" max="2219" width="2" style="304" customWidth="1"/>
    <col min="2220" max="2220" width="2.140625" style="304" customWidth="1"/>
    <col min="2221" max="2465" width="11.42578125" style="304"/>
    <col min="2466" max="2466" width="2.28515625" style="304" customWidth="1"/>
    <col min="2467" max="2467" width="2.140625" style="304" customWidth="1"/>
    <col min="2468" max="2468" width="1.140625" style="304" customWidth="1"/>
    <col min="2469" max="2470" width="2" style="304" customWidth="1"/>
    <col min="2471" max="2472" width="2.140625" style="304" customWidth="1"/>
    <col min="2473" max="2473" width="1.7109375" style="304" customWidth="1"/>
    <col min="2474" max="2474" width="0.85546875" style="304" customWidth="1"/>
    <col min="2475" max="2475" width="2" style="304" customWidth="1"/>
    <col min="2476" max="2476" width="2.140625" style="304" customWidth="1"/>
    <col min="2477" max="2721" width="11.42578125" style="304"/>
    <col min="2722" max="2722" width="2.28515625" style="304" customWidth="1"/>
    <col min="2723" max="2723" width="2.140625" style="304" customWidth="1"/>
    <col min="2724" max="2724" width="1.140625" style="304" customWidth="1"/>
    <col min="2725" max="2726" width="2" style="304" customWidth="1"/>
    <col min="2727" max="2728" width="2.140625" style="304" customWidth="1"/>
    <col min="2729" max="2729" width="1.7109375" style="304" customWidth="1"/>
    <col min="2730" max="2730" width="0.85546875" style="304" customWidth="1"/>
    <col min="2731" max="2731" width="2" style="304" customWidth="1"/>
    <col min="2732" max="2732" width="2.140625" style="304" customWidth="1"/>
    <col min="2733" max="2977" width="11.42578125" style="304"/>
    <col min="2978" max="2978" width="2.28515625" style="304" customWidth="1"/>
    <col min="2979" max="2979" width="2.140625" style="304" customWidth="1"/>
    <col min="2980" max="2980" width="1.140625" style="304" customWidth="1"/>
    <col min="2981" max="2982" width="2" style="304" customWidth="1"/>
    <col min="2983" max="2984" width="2.140625" style="304" customWidth="1"/>
    <col min="2985" max="2985" width="1.7109375" style="304" customWidth="1"/>
    <col min="2986" max="2986" width="0.85546875" style="304" customWidth="1"/>
    <col min="2987" max="2987" width="2" style="304" customWidth="1"/>
    <col min="2988" max="2988" width="2.140625" style="304" customWidth="1"/>
    <col min="2989" max="3233" width="11.42578125" style="304"/>
    <col min="3234" max="3234" width="2.28515625" style="304" customWidth="1"/>
    <col min="3235" max="3235" width="2.140625" style="304" customWidth="1"/>
    <col min="3236" max="3236" width="1.140625" style="304" customWidth="1"/>
    <col min="3237" max="3238" width="2" style="304" customWidth="1"/>
    <col min="3239" max="3240" width="2.140625" style="304" customWidth="1"/>
    <col min="3241" max="3241" width="1.7109375" style="304" customWidth="1"/>
    <col min="3242" max="3242" width="0.85546875" style="304" customWidth="1"/>
    <col min="3243" max="3243" width="2" style="304" customWidth="1"/>
    <col min="3244" max="3244" width="2.140625" style="304" customWidth="1"/>
    <col min="3245" max="3489" width="11.42578125" style="304"/>
    <col min="3490" max="3490" width="2.28515625" style="304" customWidth="1"/>
    <col min="3491" max="3491" width="2.140625" style="304" customWidth="1"/>
    <col min="3492" max="3492" width="1.140625" style="304" customWidth="1"/>
    <col min="3493" max="3494" width="2" style="304" customWidth="1"/>
    <col min="3495" max="3496" width="2.140625" style="304" customWidth="1"/>
    <col min="3497" max="3497" width="1.7109375" style="304" customWidth="1"/>
    <col min="3498" max="3498" width="0.85546875" style="304" customWidth="1"/>
    <col min="3499" max="3499" width="2" style="304" customWidth="1"/>
    <col min="3500" max="3500" width="2.140625" style="304" customWidth="1"/>
    <col min="3501" max="3745" width="11.42578125" style="304"/>
    <col min="3746" max="3746" width="2.28515625" style="304" customWidth="1"/>
    <col min="3747" max="3747" width="2.140625" style="304" customWidth="1"/>
    <col min="3748" max="3748" width="1.140625" style="304" customWidth="1"/>
    <col min="3749" max="3750" width="2" style="304" customWidth="1"/>
    <col min="3751" max="3752" width="2.140625" style="304" customWidth="1"/>
    <col min="3753" max="3753" width="1.7109375" style="304" customWidth="1"/>
    <col min="3754" max="3754" width="0.85546875" style="304" customWidth="1"/>
    <col min="3755" max="3755" width="2" style="304" customWidth="1"/>
    <col min="3756" max="3756" width="2.140625" style="304" customWidth="1"/>
    <col min="3757" max="4001" width="11.42578125" style="304"/>
    <col min="4002" max="4002" width="2.28515625" style="304" customWidth="1"/>
    <col min="4003" max="4003" width="2.140625" style="304" customWidth="1"/>
    <col min="4004" max="4004" width="1.140625" style="304" customWidth="1"/>
    <col min="4005" max="4006" width="2" style="304" customWidth="1"/>
    <col min="4007" max="4008" width="2.140625" style="304" customWidth="1"/>
    <col min="4009" max="4009" width="1.7109375" style="304" customWidth="1"/>
    <col min="4010" max="4010" width="0.85546875" style="304" customWidth="1"/>
    <col min="4011" max="4011" width="2" style="304" customWidth="1"/>
    <col min="4012" max="4012" width="2.140625" style="304" customWidth="1"/>
    <col min="4013" max="4257" width="11.42578125" style="304"/>
    <col min="4258" max="4258" width="2.28515625" style="304" customWidth="1"/>
    <col min="4259" max="4259" width="2.140625" style="304" customWidth="1"/>
    <col min="4260" max="4260" width="1.140625" style="304" customWidth="1"/>
    <col min="4261" max="4262" width="2" style="304" customWidth="1"/>
    <col min="4263" max="4264" width="2.140625" style="304" customWidth="1"/>
    <col min="4265" max="4265" width="1.7109375" style="304" customWidth="1"/>
    <col min="4266" max="4266" width="0.85546875" style="304" customWidth="1"/>
    <col min="4267" max="4267" width="2" style="304" customWidth="1"/>
    <col min="4268" max="4268" width="2.140625" style="304" customWidth="1"/>
    <col min="4269" max="4513" width="11.42578125" style="304"/>
    <col min="4514" max="4514" width="2.28515625" style="304" customWidth="1"/>
    <col min="4515" max="4515" width="2.140625" style="304" customWidth="1"/>
    <col min="4516" max="4516" width="1.140625" style="304" customWidth="1"/>
    <col min="4517" max="4518" width="2" style="304" customWidth="1"/>
    <col min="4519" max="4520" width="2.140625" style="304" customWidth="1"/>
    <col min="4521" max="4521" width="1.7109375" style="304" customWidth="1"/>
    <col min="4522" max="4522" width="0.85546875" style="304" customWidth="1"/>
    <col min="4523" max="4523" width="2" style="304" customWidth="1"/>
    <col min="4524" max="4524" width="2.140625" style="304" customWidth="1"/>
    <col min="4525" max="4769" width="11.42578125" style="304"/>
    <col min="4770" max="4770" width="2.28515625" style="304" customWidth="1"/>
    <col min="4771" max="4771" width="2.140625" style="304" customWidth="1"/>
    <col min="4772" max="4772" width="1.140625" style="304" customWidth="1"/>
    <col min="4773" max="4774" width="2" style="304" customWidth="1"/>
    <col min="4775" max="4776" width="2.140625" style="304" customWidth="1"/>
    <col min="4777" max="4777" width="1.7109375" style="304" customWidth="1"/>
    <col min="4778" max="4778" width="0.85546875" style="304" customWidth="1"/>
    <col min="4779" max="4779" width="2" style="304" customWidth="1"/>
    <col min="4780" max="4780" width="2.140625" style="304" customWidth="1"/>
    <col min="4781" max="5025" width="11.42578125" style="304"/>
    <col min="5026" max="5026" width="2.28515625" style="304" customWidth="1"/>
    <col min="5027" max="5027" width="2.140625" style="304" customWidth="1"/>
    <col min="5028" max="5028" width="1.140625" style="304" customWidth="1"/>
    <col min="5029" max="5030" width="2" style="304" customWidth="1"/>
    <col min="5031" max="5032" width="2.140625" style="304" customWidth="1"/>
    <col min="5033" max="5033" width="1.7109375" style="304" customWidth="1"/>
    <col min="5034" max="5034" width="0.85546875" style="304" customWidth="1"/>
    <col min="5035" max="5035" width="2" style="304" customWidth="1"/>
    <col min="5036" max="5036" width="2.140625" style="304" customWidth="1"/>
    <col min="5037" max="5281" width="11.42578125" style="304"/>
    <col min="5282" max="5282" width="2.28515625" style="304" customWidth="1"/>
    <col min="5283" max="5283" width="2.140625" style="304" customWidth="1"/>
    <col min="5284" max="5284" width="1.140625" style="304" customWidth="1"/>
    <col min="5285" max="5286" width="2" style="304" customWidth="1"/>
    <col min="5287" max="5288" width="2.140625" style="304" customWidth="1"/>
    <col min="5289" max="5289" width="1.7109375" style="304" customWidth="1"/>
    <col min="5290" max="5290" width="0.85546875" style="304" customWidth="1"/>
    <col min="5291" max="5291" width="2" style="304" customWidth="1"/>
    <col min="5292" max="5292" width="2.140625" style="304" customWidth="1"/>
    <col min="5293" max="5537" width="11.42578125" style="304"/>
    <col min="5538" max="5538" width="2.28515625" style="304" customWidth="1"/>
    <col min="5539" max="5539" width="2.140625" style="304" customWidth="1"/>
    <col min="5540" max="5540" width="1.140625" style="304" customWidth="1"/>
    <col min="5541" max="5542" width="2" style="304" customWidth="1"/>
    <col min="5543" max="5544" width="2.140625" style="304" customWidth="1"/>
    <col min="5545" max="5545" width="1.7109375" style="304" customWidth="1"/>
    <col min="5546" max="5546" width="0.85546875" style="304" customWidth="1"/>
    <col min="5547" max="5547" width="2" style="304" customWidth="1"/>
    <col min="5548" max="5548" width="2.140625" style="304" customWidth="1"/>
    <col min="5549" max="5793" width="11.42578125" style="304"/>
    <col min="5794" max="5794" width="2.28515625" style="304" customWidth="1"/>
    <col min="5795" max="5795" width="2.140625" style="304" customWidth="1"/>
    <col min="5796" max="5796" width="1.140625" style="304" customWidth="1"/>
    <col min="5797" max="5798" width="2" style="304" customWidth="1"/>
    <col min="5799" max="5800" width="2.140625" style="304" customWidth="1"/>
    <col min="5801" max="5801" width="1.7109375" style="304" customWidth="1"/>
    <col min="5802" max="5802" width="0.85546875" style="304" customWidth="1"/>
    <col min="5803" max="5803" width="2" style="304" customWidth="1"/>
    <col min="5804" max="5804" width="2.140625" style="304" customWidth="1"/>
    <col min="5805" max="6049" width="11.42578125" style="304"/>
    <col min="6050" max="6050" width="2.28515625" style="304" customWidth="1"/>
    <col min="6051" max="6051" width="2.140625" style="304" customWidth="1"/>
    <col min="6052" max="6052" width="1.140625" style="304" customWidth="1"/>
    <col min="6053" max="6054" width="2" style="304" customWidth="1"/>
    <col min="6055" max="6056" width="2.140625" style="304" customWidth="1"/>
    <col min="6057" max="6057" width="1.7109375" style="304" customWidth="1"/>
    <col min="6058" max="6058" width="0.85546875" style="304" customWidth="1"/>
    <col min="6059" max="6059" width="2" style="304" customWidth="1"/>
    <col min="6060" max="6060" width="2.140625" style="304" customWidth="1"/>
    <col min="6061" max="6305" width="11.42578125" style="304"/>
    <col min="6306" max="6306" width="2.28515625" style="304" customWidth="1"/>
    <col min="6307" max="6307" width="2.140625" style="304" customWidth="1"/>
    <col min="6308" max="6308" width="1.140625" style="304" customWidth="1"/>
    <col min="6309" max="6310" width="2" style="304" customWidth="1"/>
    <col min="6311" max="6312" width="2.140625" style="304" customWidth="1"/>
    <col min="6313" max="6313" width="1.7109375" style="304" customWidth="1"/>
    <col min="6314" max="6314" width="0.85546875" style="304" customWidth="1"/>
    <col min="6315" max="6315" width="2" style="304" customWidth="1"/>
    <col min="6316" max="6316" width="2.140625" style="304" customWidth="1"/>
    <col min="6317" max="6561" width="11.42578125" style="304"/>
    <col min="6562" max="6562" width="2.28515625" style="304" customWidth="1"/>
    <col min="6563" max="6563" width="2.140625" style="304" customWidth="1"/>
    <col min="6564" max="6564" width="1.140625" style="304" customWidth="1"/>
    <col min="6565" max="6566" width="2" style="304" customWidth="1"/>
    <col min="6567" max="6568" width="2.140625" style="304" customWidth="1"/>
    <col min="6569" max="6569" width="1.7109375" style="304" customWidth="1"/>
    <col min="6570" max="6570" width="0.85546875" style="304" customWidth="1"/>
    <col min="6571" max="6571" width="2" style="304" customWidth="1"/>
    <col min="6572" max="6572" width="2.140625" style="304" customWidth="1"/>
    <col min="6573" max="6817" width="11.42578125" style="304"/>
    <col min="6818" max="6818" width="2.28515625" style="304" customWidth="1"/>
    <col min="6819" max="6819" width="2.140625" style="304" customWidth="1"/>
    <col min="6820" max="6820" width="1.140625" style="304" customWidth="1"/>
    <col min="6821" max="6822" width="2" style="304" customWidth="1"/>
    <col min="6823" max="6824" width="2.140625" style="304" customWidth="1"/>
    <col min="6825" max="6825" width="1.7109375" style="304" customWidth="1"/>
    <col min="6826" max="6826" width="0.85546875" style="304" customWidth="1"/>
    <col min="6827" max="6827" width="2" style="304" customWidth="1"/>
    <col min="6828" max="6828" width="2.140625" style="304" customWidth="1"/>
    <col min="6829" max="7073" width="11.42578125" style="304"/>
    <col min="7074" max="7074" width="2.28515625" style="304" customWidth="1"/>
    <col min="7075" max="7075" width="2.140625" style="304" customWidth="1"/>
    <col min="7076" max="7076" width="1.140625" style="304" customWidth="1"/>
    <col min="7077" max="7078" width="2" style="304" customWidth="1"/>
    <col min="7079" max="7080" width="2.140625" style="304" customWidth="1"/>
    <col min="7081" max="7081" width="1.7109375" style="304" customWidth="1"/>
    <col min="7082" max="7082" width="0.85546875" style="304" customWidth="1"/>
    <col min="7083" max="7083" width="2" style="304" customWidth="1"/>
    <col min="7084" max="7084" width="2.140625" style="304" customWidth="1"/>
    <col min="7085" max="7329" width="11.42578125" style="304"/>
    <col min="7330" max="7330" width="2.28515625" style="304" customWidth="1"/>
    <col min="7331" max="7331" width="2.140625" style="304" customWidth="1"/>
    <col min="7332" max="7332" width="1.140625" style="304" customWidth="1"/>
    <col min="7333" max="7334" width="2" style="304" customWidth="1"/>
    <col min="7335" max="7336" width="2.140625" style="304" customWidth="1"/>
    <col min="7337" max="7337" width="1.7109375" style="304" customWidth="1"/>
    <col min="7338" max="7338" width="0.85546875" style="304" customWidth="1"/>
    <col min="7339" max="7339" width="2" style="304" customWidth="1"/>
    <col min="7340" max="7340" width="2.140625" style="304" customWidth="1"/>
    <col min="7341" max="7585" width="11.42578125" style="304"/>
    <col min="7586" max="7586" width="2.28515625" style="304" customWidth="1"/>
    <col min="7587" max="7587" width="2.140625" style="304" customWidth="1"/>
    <col min="7588" max="7588" width="1.140625" style="304" customWidth="1"/>
    <col min="7589" max="7590" width="2" style="304" customWidth="1"/>
    <col min="7591" max="7592" width="2.140625" style="304" customWidth="1"/>
    <col min="7593" max="7593" width="1.7109375" style="304" customWidth="1"/>
    <col min="7594" max="7594" width="0.85546875" style="304" customWidth="1"/>
    <col min="7595" max="7595" width="2" style="304" customWidth="1"/>
    <col min="7596" max="7596" width="2.140625" style="304" customWidth="1"/>
    <col min="7597" max="7841" width="11.42578125" style="304"/>
    <col min="7842" max="7842" width="2.28515625" style="304" customWidth="1"/>
    <col min="7843" max="7843" width="2.140625" style="304" customWidth="1"/>
    <col min="7844" max="7844" width="1.140625" style="304" customWidth="1"/>
    <col min="7845" max="7846" width="2" style="304" customWidth="1"/>
    <col min="7847" max="7848" width="2.140625" style="304" customWidth="1"/>
    <col min="7849" max="7849" width="1.7109375" style="304" customWidth="1"/>
    <col min="7850" max="7850" width="0.85546875" style="304" customWidth="1"/>
    <col min="7851" max="7851" width="2" style="304" customWidth="1"/>
    <col min="7852" max="7852" width="2.140625" style="304" customWidth="1"/>
    <col min="7853" max="8097" width="11.42578125" style="304"/>
    <col min="8098" max="8098" width="2.28515625" style="304" customWidth="1"/>
    <col min="8099" max="8099" width="2.140625" style="304" customWidth="1"/>
    <col min="8100" max="8100" width="1.140625" style="304" customWidth="1"/>
    <col min="8101" max="8102" width="2" style="304" customWidth="1"/>
    <col min="8103" max="8104" width="2.140625" style="304" customWidth="1"/>
    <col min="8105" max="8105" width="1.7109375" style="304" customWidth="1"/>
    <col min="8106" max="8106" width="0.85546875" style="304" customWidth="1"/>
    <col min="8107" max="8107" width="2" style="304" customWidth="1"/>
    <col min="8108" max="8108" width="2.140625" style="304" customWidth="1"/>
    <col min="8109" max="8353" width="11.42578125" style="304"/>
    <col min="8354" max="8354" width="2.28515625" style="304" customWidth="1"/>
    <col min="8355" max="8355" width="2.140625" style="304" customWidth="1"/>
    <col min="8356" max="8356" width="1.140625" style="304" customWidth="1"/>
    <col min="8357" max="8358" width="2" style="304" customWidth="1"/>
    <col min="8359" max="8360" width="2.140625" style="304" customWidth="1"/>
    <col min="8361" max="8361" width="1.7109375" style="304" customWidth="1"/>
    <col min="8362" max="8362" width="0.85546875" style="304" customWidth="1"/>
    <col min="8363" max="8363" width="2" style="304" customWidth="1"/>
    <col min="8364" max="8364" width="2.140625" style="304" customWidth="1"/>
    <col min="8365" max="8609" width="11.42578125" style="304"/>
    <col min="8610" max="8610" width="2.28515625" style="304" customWidth="1"/>
    <col min="8611" max="8611" width="2.140625" style="304" customWidth="1"/>
    <col min="8612" max="8612" width="1.140625" style="304" customWidth="1"/>
    <col min="8613" max="8614" width="2" style="304" customWidth="1"/>
    <col min="8615" max="8616" width="2.140625" style="304" customWidth="1"/>
    <col min="8617" max="8617" width="1.7109375" style="304" customWidth="1"/>
    <col min="8618" max="8618" width="0.85546875" style="304" customWidth="1"/>
    <col min="8619" max="8619" width="2" style="304" customWidth="1"/>
    <col min="8620" max="8620" width="2.140625" style="304" customWidth="1"/>
    <col min="8621" max="8865" width="11.42578125" style="304"/>
    <col min="8866" max="8866" width="2.28515625" style="304" customWidth="1"/>
    <col min="8867" max="8867" width="2.140625" style="304" customWidth="1"/>
    <col min="8868" max="8868" width="1.140625" style="304" customWidth="1"/>
    <col min="8869" max="8870" width="2" style="304" customWidth="1"/>
    <col min="8871" max="8872" width="2.140625" style="304" customWidth="1"/>
    <col min="8873" max="8873" width="1.7109375" style="304" customWidth="1"/>
    <col min="8874" max="8874" width="0.85546875" style="304" customWidth="1"/>
    <col min="8875" max="8875" width="2" style="304" customWidth="1"/>
    <col min="8876" max="8876" width="2.140625" style="304" customWidth="1"/>
    <col min="8877" max="9121" width="11.42578125" style="304"/>
    <col min="9122" max="9122" width="2.28515625" style="304" customWidth="1"/>
    <col min="9123" max="9123" width="2.140625" style="304" customWidth="1"/>
    <col min="9124" max="9124" width="1.140625" style="304" customWidth="1"/>
    <col min="9125" max="9126" width="2" style="304" customWidth="1"/>
    <col min="9127" max="9128" width="2.140625" style="304" customWidth="1"/>
    <col min="9129" max="9129" width="1.7109375" style="304" customWidth="1"/>
    <col min="9130" max="9130" width="0.85546875" style="304" customWidth="1"/>
    <col min="9131" max="9131" width="2" style="304" customWidth="1"/>
    <col min="9132" max="9132" width="2.140625" style="304" customWidth="1"/>
    <col min="9133" max="9377" width="11.42578125" style="304"/>
    <col min="9378" max="9378" width="2.28515625" style="304" customWidth="1"/>
    <col min="9379" max="9379" width="2.140625" style="304" customWidth="1"/>
    <col min="9380" max="9380" width="1.140625" style="304" customWidth="1"/>
    <col min="9381" max="9382" width="2" style="304" customWidth="1"/>
    <col min="9383" max="9384" width="2.140625" style="304" customWidth="1"/>
    <col min="9385" max="9385" width="1.7109375" style="304" customWidth="1"/>
    <col min="9386" max="9386" width="0.85546875" style="304" customWidth="1"/>
    <col min="9387" max="9387" width="2" style="304" customWidth="1"/>
    <col min="9388" max="9388" width="2.140625" style="304" customWidth="1"/>
    <col min="9389" max="9633" width="11.42578125" style="304"/>
    <col min="9634" max="9634" width="2.28515625" style="304" customWidth="1"/>
    <col min="9635" max="9635" width="2.140625" style="304" customWidth="1"/>
    <col min="9636" max="9636" width="1.140625" style="304" customWidth="1"/>
    <col min="9637" max="9638" width="2" style="304" customWidth="1"/>
    <col min="9639" max="9640" width="2.140625" style="304" customWidth="1"/>
    <col min="9641" max="9641" width="1.7109375" style="304" customWidth="1"/>
    <col min="9642" max="9642" width="0.85546875" style="304" customWidth="1"/>
    <col min="9643" max="9643" width="2" style="304" customWidth="1"/>
    <col min="9644" max="9644" width="2.140625" style="304" customWidth="1"/>
    <col min="9645" max="9889" width="11.42578125" style="304"/>
    <col min="9890" max="9890" width="2.28515625" style="304" customWidth="1"/>
    <col min="9891" max="9891" width="2.140625" style="304" customWidth="1"/>
    <col min="9892" max="9892" width="1.140625" style="304" customWidth="1"/>
    <col min="9893" max="9894" width="2" style="304" customWidth="1"/>
    <col min="9895" max="9896" width="2.140625" style="304" customWidth="1"/>
    <col min="9897" max="9897" width="1.7109375" style="304" customWidth="1"/>
    <col min="9898" max="9898" width="0.85546875" style="304" customWidth="1"/>
    <col min="9899" max="9899" width="2" style="304" customWidth="1"/>
    <col min="9900" max="9900" width="2.140625" style="304" customWidth="1"/>
    <col min="9901" max="10145" width="11.42578125" style="304"/>
    <col min="10146" max="10146" width="2.28515625" style="304" customWidth="1"/>
    <col min="10147" max="10147" width="2.140625" style="304" customWidth="1"/>
    <col min="10148" max="10148" width="1.140625" style="304" customWidth="1"/>
    <col min="10149" max="10150" width="2" style="304" customWidth="1"/>
    <col min="10151" max="10152" width="2.140625" style="304" customWidth="1"/>
    <col min="10153" max="10153" width="1.7109375" style="304" customWidth="1"/>
    <col min="10154" max="10154" width="0.85546875" style="304" customWidth="1"/>
    <col min="10155" max="10155" width="2" style="304" customWidth="1"/>
    <col min="10156" max="10156" width="2.140625" style="304" customWidth="1"/>
    <col min="10157" max="10401" width="11.42578125" style="304"/>
    <col min="10402" max="10402" width="2.28515625" style="304" customWidth="1"/>
    <col min="10403" max="10403" width="2.140625" style="304" customWidth="1"/>
    <col min="10404" max="10404" width="1.140625" style="304" customWidth="1"/>
    <col min="10405" max="10406" width="2" style="304" customWidth="1"/>
    <col min="10407" max="10408" width="2.140625" style="304" customWidth="1"/>
    <col min="10409" max="10409" width="1.7109375" style="304" customWidth="1"/>
    <col min="10410" max="10410" width="0.85546875" style="304" customWidth="1"/>
    <col min="10411" max="10411" width="2" style="304" customWidth="1"/>
    <col min="10412" max="10412" width="2.140625" style="304" customWidth="1"/>
    <col min="10413" max="10657" width="11.42578125" style="304"/>
    <col min="10658" max="10658" width="2.28515625" style="304" customWidth="1"/>
    <col min="10659" max="10659" width="2.140625" style="304" customWidth="1"/>
    <col min="10660" max="10660" width="1.140625" style="304" customWidth="1"/>
    <col min="10661" max="10662" width="2" style="304" customWidth="1"/>
    <col min="10663" max="10664" width="2.140625" style="304" customWidth="1"/>
    <col min="10665" max="10665" width="1.7109375" style="304" customWidth="1"/>
    <col min="10666" max="10666" width="0.85546875" style="304" customWidth="1"/>
    <col min="10667" max="10667" width="2" style="304" customWidth="1"/>
    <col min="10668" max="10668" width="2.140625" style="304" customWidth="1"/>
    <col min="10669" max="10913" width="11.42578125" style="304"/>
    <col min="10914" max="10914" width="2.28515625" style="304" customWidth="1"/>
    <col min="10915" max="10915" width="2.140625" style="304" customWidth="1"/>
    <col min="10916" max="10916" width="1.140625" style="304" customWidth="1"/>
    <col min="10917" max="10918" width="2" style="304" customWidth="1"/>
    <col min="10919" max="10920" width="2.140625" style="304" customWidth="1"/>
    <col min="10921" max="10921" width="1.7109375" style="304" customWidth="1"/>
    <col min="10922" max="10922" width="0.85546875" style="304" customWidth="1"/>
    <col min="10923" max="10923" width="2" style="304" customWidth="1"/>
    <col min="10924" max="10924" width="2.140625" style="304" customWidth="1"/>
    <col min="10925" max="11169" width="11.42578125" style="304"/>
    <col min="11170" max="11170" width="2.28515625" style="304" customWidth="1"/>
    <col min="11171" max="11171" width="2.140625" style="304" customWidth="1"/>
    <col min="11172" max="11172" width="1.140625" style="304" customWidth="1"/>
    <col min="11173" max="11174" width="2" style="304" customWidth="1"/>
    <col min="11175" max="11176" width="2.140625" style="304" customWidth="1"/>
    <col min="11177" max="11177" width="1.7109375" style="304" customWidth="1"/>
    <col min="11178" max="11178" width="0.85546875" style="304" customWidth="1"/>
    <col min="11179" max="11179" width="2" style="304" customWidth="1"/>
    <col min="11180" max="11180" width="2.140625" style="304" customWidth="1"/>
    <col min="11181" max="11425" width="11.42578125" style="304"/>
    <col min="11426" max="11426" width="2.28515625" style="304" customWidth="1"/>
    <col min="11427" max="11427" width="2.140625" style="304" customWidth="1"/>
    <col min="11428" max="11428" width="1.140625" style="304" customWidth="1"/>
    <col min="11429" max="11430" width="2" style="304" customWidth="1"/>
    <col min="11431" max="11432" width="2.140625" style="304" customWidth="1"/>
    <col min="11433" max="11433" width="1.7109375" style="304" customWidth="1"/>
    <col min="11434" max="11434" width="0.85546875" style="304" customWidth="1"/>
    <col min="11435" max="11435" width="2" style="304" customWidth="1"/>
    <col min="11436" max="11436" width="2.140625" style="304" customWidth="1"/>
    <col min="11437" max="11681" width="11.42578125" style="304"/>
    <col min="11682" max="11682" width="2.28515625" style="304" customWidth="1"/>
    <col min="11683" max="11683" width="2.140625" style="304" customWidth="1"/>
    <col min="11684" max="11684" width="1.140625" style="304" customWidth="1"/>
    <col min="11685" max="11686" width="2" style="304" customWidth="1"/>
    <col min="11687" max="11688" width="2.140625" style="304" customWidth="1"/>
    <col min="11689" max="11689" width="1.7109375" style="304" customWidth="1"/>
    <col min="11690" max="11690" width="0.85546875" style="304" customWidth="1"/>
    <col min="11691" max="11691" width="2" style="304" customWidth="1"/>
    <col min="11692" max="11692" width="2.140625" style="304" customWidth="1"/>
    <col min="11693" max="11937" width="11.42578125" style="304"/>
    <col min="11938" max="11938" width="2.28515625" style="304" customWidth="1"/>
    <col min="11939" max="11939" width="2.140625" style="304" customWidth="1"/>
    <col min="11940" max="11940" width="1.140625" style="304" customWidth="1"/>
    <col min="11941" max="11942" width="2" style="304" customWidth="1"/>
    <col min="11943" max="11944" width="2.140625" style="304" customWidth="1"/>
    <col min="11945" max="11945" width="1.7109375" style="304" customWidth="1"/>
    <col min="11946" max="11946" width="0.85546875" style="304" customWidth="1"/>
    <col min="11947" max="11947" width="2" style="304" customWidth="1"/>
    <col min="11948" max="11948" width="2.140625" style="304" customWidth="1"/>
    <col min="11949" max="12193" width="11.42578125" style="304"/>
    <col min="12194" max="12194" width="2.28515625" style="304" customWidth="1"/>
    <col min="12195" max="12195" width="2.140625" style="304" customWidth="1"/>
    <col min="12196" max="12196" width="1.140625" style="304" customWidth="1"/>
    <col min="12197" max="12198" width="2" style="304" customWidth="1"/>
    <col min="12199" max="12200" width="2.140625" style="304" customWidth="1"/>
    <col min="12201" max="12201" width="1.7109375" style="304" customWidth="1"/>
    <col min="12202" max="12202" width="0.85546875" style="304" customWidth="1"/>
    <col min="12203" max="12203" width="2" style="304" customWidth="1"/>
    <col min="12204" max="12204" width="2.140625" style="304" customWidth="1"/>
    <col min="12205" max="12449" width="11.42578125" style="304"/>
    <col min="12450" max="12450" width="2.28515625" style="304" customWidth="1"/>
    <col min="12451" max="12451" width="2.140625" style="304" customWidth="1"/>
    <col min="12452" max="12452" width="1.140625" style="304" customWidth="1"/>
    <col min="12453" max="12454" width="2" style="304" customWidth="1"/>
    <col min="12455" max="12456" width="2.140625" style="304" customWidth="1"/>
    <col min="12457" max="12457" width="1.7109375" style="304" customWidth="1"/>
    <col min="12458" max="12458" width="0.85546875" style="304" customWidth="1"/>
    <col min="12459" max="12459" width="2" style="304" customWidth="1"/>
    <col min="12460" max="12460" width="2.140625" style="304" customWidth="1"/>
    <col min="12461" max="12705" width="11.42578125" style="304"/>
    <col min="12706" max="12706" width="2.28515625" style="304" customWidth="1"/>
    <col min="12707" max="12707" width="2.140625" style="304" customWidth="1"/>
    <col min="12708" max="12708" width="1.140625" style="304" customWidth="1"/>
    <col min="12709" max="12710" width="2" style="304" customWidth="1"/>
    <col min="12711" max="12712" width="2.140625" style="304" customWidth="1"/>
    <col min="12713" max="12713" width="1.7109375" style="304" customWidth="1"/>
    <col min="12714" max="12714" width="0.85546875" style="304" customWidth="1"/>
    <col min="12715" max="12715" width="2" style="304" customWidth="1"/>
    <col min="12716" max="12716" width="2.140625" style="304" customWidth="1"/>
    <col min="12717" max="12961" width="11.42578125" style="304"/>
    <col min="12962" max="12962" width="2.28515625" style="304" customWidth="1"/>
    <col min="12963" max="12963" width="2.140625" style="304" customWidth="1"/>
    <col min="12964" max="12964" width="1.140625" style="304" customWidth="1"/>
    <col min="12965" max="12966" width="2" style="304" customWidth="1"/>
    <col min="12967" max="12968" width="2.140625" style="304" customWidth="1"/>
    <col min="12969" max="12969" width="1.7109375" style="304" customWidth="1"/>
    <col min="12970" max="12970" width="0.85546875" style="304" customWidth="1"/>
    <col min="12971" max="12971" width="2" style="304" customWidth="1"/>
    <col min="12972" max="12972" width="2.140625" style="304" customWidth="1"/>
    <col min="12973" max="13217" width="11.42578125" style="304"/>
    <col min="13218" max="13218" width="2.28515625" style="304" customWidth="1"/>
    <col min="13219" max="13219" width="2.140625" style="304" customWidth="1"/>
    <col min="13220" max="13220" width="1.140625" style="304" customWidth="1"/>
    <col min="13221" max="13222" width="2" style="304" customWidth="1"/>
    <col min="13223" max="13224" width="2.140625" style="304" customWidth="1"/>
    <col min="13225" max="13225" width="1.7109375" style="304" customWidth="1"/>
    <col min="13226" max="13226" width="0.85546875" style="304" customWidth="1"/>
    <col min="13227" max="13227" width="2" style="304" customWidth="1"/>
    <col min="13228" max="13228" width="2.140625" style="304" customWidth="1"/>
    <col min="13229" max="13473" width="11.42578125" style="304"/>
    <col min="13474" max="13474" width="2.28515625" style="304" customWidth="1"/>
    <col min="13475" max="13475" width="2.140625" style="304" customWidth="1"/>
    <col min="13476" max="13476" width="1.140625" style="304" customWidth="1"/>
    <col min="13477" max="13478" width="2" style="304" customWidth="1"/>
    <col min="13479" max="13480" width="2.140625" style="304" customWidth="1"/>
    <col min="13481" max="13481" width="1.7109375" style="304" customWidth="1"/>
    <col min="13482" max="13482" width="0.85546875" style="304" customWidth="1"/>
    <col min="13483" max="13483" width="2" style="304" customWidth="1"/>
    <col min="13484" max="13484" width="2.140625" style="304" customWidth="1"/>
    <col min="13485" max="13729" width="11.42578125" style="304"/>
    <col min="13730" max="13730" width="2.28515625" style="304" customWidth="1"/>
    <col min="13731" max="13731" width="2.140625" style="304" customWidth="1"/>
    <col min="13732" max="13732" width="1.140625" style="304" customWidth="1"/>
    <col min="13733" max="13734" width="2" style="304" customWidth="1"/>
    <col min="13735" max="13736" width="2.140625" style="304" customWidth="1"/>
    <col min="13737" max="13737" width="1.7109375" style="304" customWidth="1"/>
    <col min="13738" max="13738" width="0.85546875" style="304" customWidth="1"/>
    <col min="13739" max="13739" width="2" style="304" customWidth="1"/>
    <col min="13740" max="13740" width="2.140625" style="304" customWidth="1"/>
    <col min="13741" max="13985" width="11.42578125" style="304"/>
    <col min="13986" max="13986" width="2.28515625" style="304" customWidth="1"/>
    <col min="13987" max="13987" width="2.140625" style="304" customWidth="1"/>
    <col min="13988" max="13988" width="1.140625" style="304" customWidth="1"/>
    <col min="13989" max="13990" width="2" style="304" customWidth="1"/>
    <col min="13991" max="13992" width="2.140625" style="304" customWidth="1"/>
    <col min="13993" max="13993" width="1.7109375" style="304" customWidth="1"/>
    <col min="13994" max="13994" width="0.85546875" style="304" customWidth="1"/>
    <col min="13995" max="13995" width="2" style="304" customWidth="1"/>
    <col min="13996" max="13996" width="2.140625" style="304" customWidth="1"/>
    <col min="13997" max="14241" width="11.42578125" style="304"/>
    <col min="14242" max="14242" width="2.28515625" style="304" customWidth="1"/>
    <col min="14243" max="14243" width="2.140625" style="304" customWidth="1"/>
    <col min="14244" max="14244" width="1.140625" style="304" customWidth="1"/>
    <col min="14245" max="14246" width="2" style="304" customWidth="1"/>
    <col min="14247" max="14248" width="2.140625" style="304" customWidth="1"/>
    <col min="14249" max="14249" width="1.7109375" style="304" customWidth="1"/>
    <col min="14250" max="14250" width="0.85546875" style="304" customWidth="1"/>
    <col min="14251" max="14251" width="2" style="304" customWidth="1"/>
    <col min="14252" max="14252" width="2.140625" style="304" customWidth="1"/>
    <col min="14253" max="14497" width="11.42578125" style="304"/>
    <col min="14498" max="14498" width="2.28515625" style="304" customWidth="1"/>
    <col min="14499" max="14499" width="2.140625" style="304" customWidth="1"/>
    <col min="14500" max="14500" width="1.140625" style="304" customWidth="1"/>
    <col min="14501" max="14502" width="2" style="304" customWidth="1"/>
    <col min="14503" max="14504" width="2.140625" style="304" customWidth="1"/>
    <col min="14505" max="14505" width="1.7109375" style="304" customWidth="1"/>
    <col min="14506" max="14506" width="0.85546875" style="304" customWidth="1"/>
    <col min="14507" max="14507" width="2" style="304" customWidth="1"/>
    <col min="14508" max="14508" width="2.140625" style="304" customWidth="1"/>
    <col min="14509" max="14753" width="11.42578125" style="304"/>
    <col min="14754" max="14754" width="2.28515625" style="304" customWidth="1"/>
    <col min="14755" max="14755" width="2.140625" style="304" customWidth="1"/>
    <col min="14756" max="14756" width="1.140625" style="304" customWidth="1"/>
    <col min="14757" max="14758" width="2" style="304" customWidth="1"/>
    <col min="14759" max="14760" width="2.140625" style="304" customWidth="1"/>
    <col min="14761" max="14761" width="1.7109375" style="304" customWidth="1"/>
    <col min="14762" max="14762" width="0.85546875" style="304" customWidth="1"/>
    <col min="14763" max="14763" width="2" style="304" customWidth="1"/>
    <col min="14764" max="14764" width="2.140625" style="304" customWidth="1"/>
    <col min="14765" max="15009" width="11.42578125" style="304"/>
    <col min="15010" max="15010" width="2.28515625" style="304" customWidth="1"/>
    <col min="15011" max="15011" width="2.140625" style="304" customWidth="1"/>
    <col min="15012" max="15012" width="1.140625" style="304" customWidth="1"/>
    <col min="15013" max="15014" width="2" style="304" customWidth="1"/>
    <col min="15015" max="15016" width="2.140625" style="304" customWidth="1"/>
    <col min="15017" max="15017" width="1.7109375" style="304" customWidth="1"/>
    <col min="15018" max="15018" width="0.85546875" style="304" customWidth="1"/>
    <col min="15019" max="15019" width="2" style="304" customWidth="1"/>
    <col min="15020" max="15020" width="2.140625" style="304" customWidth="1"/>
    <col min="15021" max="15265" width="11.42578125" style="304"/>
    <col min="15266" max="15266" width="2.28515625" style="304" customWidth="1"/>
    <col min="15267" max="15267" width="2.140625" style="304" customWidth="1"/>
    <col min="15268" max="15268" width="1.140625" style="304" customWidth="1"/>
    <col min="15269" max="15270" width="2" style="304" customWidth="1"/>
    <col min="15271" max="15272" width="2.140625" style="304" customWidth="1"/>
    <col min="15273" max="15273" width="1.7109375" style="304" customWidth="1"/>
    <col min="15274" max="15274" width="0.85546875" style="304" customWidth="1"/>
    <col min="15275" max="15275" width="2" style="304" customWidth="1"/>
    <col min="15276" max="15276" width="2.140625" style="304" customWidth="1"/>
    <col min="15277" max="15521" width="11.42578125" style="304"/>
    <col min="15522" max="15522" width="2.28515625" style="304" customWidth="1"/>
    <col min="15523" max="15523" width="2.140625" style="304" customWidth="1"/>
    <col min="15524" max="15524" width="1.140625" style="304" customWidth="1"/>
    <col min="15525" max="15526" width="2" style="304" customWidth="1"/>
    <col min="15527" max="15528" width="2.140625" style="304" customWidth="1"/>
    <col min="15529" max="15529" width="1.7109375" style="304" customWidth="1"/>
    <col min="15530" max="15530" width="0.85546875" style="304" customWidth="1"/>
    <col min="15531" max="15531" width="2" style="304" customWidth="1"/>
    <col min="15532" max="15532" width="2.140625" style="304" customWidth="1"/>
    <col min="15533" max="15777" width="11.42578125" style="304"/>
    <col min="15778" max="15778" width="2.28515625" style="304" customWidth="1"/>
    <col min="15779" max="15779" width="2.140625" style="304" customWidth="1"/>
    <col min="15780" max="15780" width="1.140625" style="304" customWidth="1"/>
    <col min="15781" max="15782" width="2" style="304" customWidth="1"/>
    <col min="15783" max="15784" width="2.140625" style="304" customWidth="1"/>
    <col min="15785" max="15785" width="1.7109375" style="304" customWidth="1"/>
    <col min="15786" max="15786" width="0.85546875" style="304" customWidth="1"/>
    <col min="15787" max="15787" width="2" style="304" customWidth="1"/>
    <col min="15788" max="15788" width="2.140625" style="304" customWidth="1"/>
    <col min="15789" max="16033" width="11.42578125" style="304"/>
    <col min="16034" max="16034" width="2.28515625" style="304" customWidth="1"/>
    <col min="16035" max="16035" width="2.140625" style="304" customWidth="1"/>
    <col min="16036" max="16036" width="1.140625" style="304" customWidth="1"/>
    <col min="16037" max="16038" width="2" style="304" customWidth="1"/>
    <col min="16039" max="16040" width="2.140625" style="304" customWidth="1"/>
    <col min="16041" max="16041" width="1.7109375" style="304" customWidth="1"/>
    <col min="16042" max="16042" width="0.85546875" style="304" customWidth="1"/>
    <col min="16043" max="16043" width="2" style="304" customWidth="1"/>
    <col min="16044" max="16044" width="2.140625" style="304" customWidth="1"/>
    <col min="16045" max="16384" width="11.42578125" style="304"/>
  </cols>
  <sheetData>
    <row r="2" spans="2:12" ht="57.75" customHeight="1"/>
    <row r="4" spans="2:12" ht="15.75" thickBot="1">
      <c r="B4" s="305"/>
      <c r="C4" s="305"/>
      <c r="D4" s="305"/>
      <c r="E4" s="305"/>
      <c r="F4" s="305"/>
      <c r="G4" s="305"/>
      <c r="H4" s="344"/>
      <c r="I4" s="344"/>
      <c r="J4" s="344"/>
      <c r="K4" s="305"/>
      <c r="L4" s="310"/>
    </row>
    <row r="5" spans="2:12" ht="42" customHeight="1" thickBot="1">
      <c r="B5" s="305"/>
      <c r="C5" s="743" t="s">
        <v>626</v>
      </c>
      <c r="D5" s="744"/>
      <c r="E5" s="305"/>
      <c r="F5" s="745" t="s">
        <v>648</v>
      </c>
      <c r="G5" s="746"/>
      <c r="H5" s="746"/>
      <c r="I5" s="746"/>
      <c r="J5" s="746"/>
      <c r="K5" s="747"/>
      <c r="L5" s="345"/>
    </row>
    <row r="6" spans="2:12" s="356" customFormat="1" ht="53.25" customHeight="1" thickBot="1">
      <c r="B6" s="346" t="s">
        <v>7</v>
      </c>
      <c r="C6" s="347" t="s">
        <v>15</v>
      </c>
      <c r="D6" s="348" t="s">
        <v>627</v>
      </c>
      <c r="E6" s="349" t="s">
        <v>16</v>
      </c>
      <c r="F6" s="350" t="s">
        <v>658</v>
      </c>
      <c r="G6" s="351" t="s">
        <v>628</v>
      </c>
      <c r="H6" s="352" t="s">
        <v>659</v>
      </c>
      <c r="I6" s="353" t="s">
        <v>629</v>
      </c>
      <c r="J6" s="354" t="s">
        <v>630</v>
      </c>
      <c r="K6" s="352" t="s">
        <v>631</v>
      </c>
      <c r="L6" s="355" t="s">
        <v>632</v>
      </c>
    </row>
    <row r="7" spans="2:12" ht="15.95" customHeight="1">
      <c r="B7" s="357" t="s">
        <v>38</v>
      </c>
      <c r="C7" s="358">
        <f>+VLOOKUP(B7,RESUMEN!$A$4:$G$9,2,FALSE)</f>
        <v>96170860662</v>
      </c>
      <c r="D7" s="359">
        <f t="shared" ref="D7:D12" si="0">C7/C$13</f>
        <v>0.23097124632996555</v>
      </c>
      <c r="E7" s="358">
        <f>+VLOOKUP($B7,RESUMEN!$A$4:$G$9,3,FALSE)</f>
        <v>33823234849</v>
      </c>
      <c r="F7" s="358">
        <f>+VLOOKUP($B7,RESUMEN!$A$4:$G$9,4,FALSE)</f>
        <v>15677590873.666664</v>
      </c>
      <c r="G7" s="360">
        <f t="shared" ref="G7:G12" si="1">F7/F$13</f>
        <v>0.17055365585023369</v>
      </c>
      <c r="H7" s="358">
        <f>+VLOOKUP($B7,RESUMEN!$A$4:$G$9,5,FALSE)</f>
        <v>1798080313</v>
      </c>
      <c r="I7" s="361">
        <f t="shared" ref="I7:I12" si="2">+F7-H7</f>
        <v>13879510560.666664</v>
      </c>
      <c r="J7" s="358">
        <f>+VLOOKUP($B7,RESUMEN!$A$4:$G$9,6,FALSE)</f>
        <v>13879510560.666664</v>
      </c>
      <c r="K7" s="362">
        <f>H7/F7</f>
        <v>0.11469111086577718</v>
      </c>
      <c r="L7" s="358">
        <f>+VLOOKUP($B7,RESUMEN!$A$4:$G$9,7,FALSE)</f>
        <v>46670034939.333336</v>
      </c>
    </row>
    <row r="8" spans="2:12" ht="15.95" customHeight="1">
      <c r="B8" s="363" t="s">
        <v>173</v>
      </c>
      <c r="C8" s="358">
        <f>+VLOOKUP(B8,RESUMEN!$A$4:$G$9,2,FALSE)</f>
        <v>108446512764</v>
      </c>
      <c r="D8" s="364">
        <f t="shared" si="0"/>
        <v>0.26045338516073846</v>
      </c>
      <c r="E8" s="358">
        <f>+VLOOKUP(B8,RESUMEN!$A$4:$G$9,3,FALSE)</f>
        <v>30955558081</v>
      </c>
      <c r="F8" s="358">
        <f>+VLOOKUP($B8,RESUMEN!$A$4:$G$9,4,FALSE)</f>
        <v>22409803100.666634</v>
      </c>
      <c r="G8" s="365">
        <f t="shared" si="1"/>
        <v>0.24379216657085101</v>
      </c>
      <c r="H8" s="358">
        <f>+VLOOKUP($B8,RESUMEN!$A$4:$G$9,5,FALSE)</f>
        <v>3144418618</v>
      </c>
      <c r="I8" s="366">
        <f t="shared" si="2"/>
        <v>19265384482.666634</v>
      </c>
      <c r="J8" s="358">
        <f>+VLOOKUP($B8,RESUMEN!$A$4:$G$9,6,FALSE)</f>
        <v>19265384482.666634</v>
      </c>
      <c r="K8" s="367">
        <f t="shared" ref="K8:K12" si="3">H8/F8</f>
        <v>0.14031442417744677</v>
      </c>
      <c r="L8" s="358">
        <f>+VLOOKUP($B8,RESUMEN!$A$4:$G$9,7,FALSE)</f>
        <v>55081151582.333366</v>
      </c>
    </row>
    <row r="9" spans="2:12" ht="15.95" customHeight="1">
      <c r="B9" s="363" t="s">
        <v>299</v>
      </c>
      <c r="C9" s="358">
        <f>+VLOOKUP(B9,RESUMEN!$A$4:$G$9,2,FALSE)</f>
        <v>52363861309</v>
      </c>
      <c r="D9" s="364">
        <f t="shared" si="0"/>
        <v>0.12576102809037365</v>
      </c>
      <c r="E9" s="358">
        <f>+VLOOKUP(B9,RESUMEN!$A$4:$G$9,3,FALSE)</f>
        <v>15414658784</v>
      </c>
      <c r="F9" s="358">
        <f>+VLOOKUP($B9,RESUMEN!$A$4:$G$9,4,FALSE)</f>
        <v>14964340667.666702</v>
      </c>
      <c r="G9" s="365">
        <f t="shared" si="1"/>
        <v>0.16279433675908719</v>
      </c>
      <c r="H9" s="358">
        <f>+VLOOKUP($B9,RESUMEN!$A$4:$G$9,5,FALSE)</f>
        <v>678320859</v>
      </c>
      <c r="I9" s="366">
        <f t="shared" si="2"/>
        <v>14286019808.666702</v>
      </c>
      <c r="J9" s="358">
        <f>+VLOOKUP($B9,RESUMEN!$A$4:$G$9,6,FALSE)</f>
        <v>14286019808.666702</v>
      </c>
      <c r="K9" s="367">
        <f t="shared" si="3"/>
        <v>4.5329151084193164E-2</v>
      </c>
      <c r="L9" s="358">
        <f>+VLOOKUP($B9,RESUMEN!$A$4:$G$9,7,FALSE)</f>
        <v>21984861857.333298</v>
      </c>
    </row>
    <row r="10" spans="2:12" ht="15.95" customHeight="1">
      <c r="B10" s="363" t="s">
        <v>407</v>
      </c>
      <c r="C10" s="358">
        <f>+VLOOKUP(B10,RESUMEN!$A$4:$G$9,2,FALSE)</f>
        <v>79693814046</v>
      </c>
      <c r="D10" s="364">
        <f t="shared" si="0"/>
        <v>0.19139871919921672</v>
      </c>
      <c r="E10" s="358">
        <f>+VLOOKUP(B10,RESUMEN!$A$4:$G$9,3,FALSE)</f>
        <v>16907081718</v>
      </c>
      <c r="F10" s="358">
        <f>+VLOOKUP($B10,RESUMEN!$A$4:$G$9,4,FALSE)</f>
        <v>10387359332</v>
      </c>
      <c r="G10" s="365">
        <f t="shared" si="1"/>
        <v>0.11300219038617508</v>
      </c>
      <c r="H10" s="358">
        <f>+VLOOKUP($B10,RESUMEN!$A$4:$G$9,5,FALSE)</f>
        <v>398234113</v>
      </c>
      <c r="I10" s="366">
        <f t="shared" si="2"/>
        <v>9989125219</v>
      </c>
      <c r="J10" s="358">
        <f>+VLOOKUP($B10,RESUMEN!$A$4:$G$9,6,FALSE)</f>
        <v>9989125219</v>
      </c>
      <c r="K10" s="367">
        <f t="shared" si="3"/>
        <v>3.8338339925641458E-2</v>
      </c>
      <c r="L10" s="358">
        <f>+VLOOKUP($B10,RESUMEN!$A$4:$G$9,7,FALSE)</f>
        <v>52399372996</v>
      </c>
    </row>
    <row r="11" spans="2:12" ht="15.95" customHeight="1">
      <c r="B11" s="368" t="s">
        <v>461</v>
      </c>
      <c r="C11" s="358">
        <f>+VLOOKUP(B11,RESUMEN!$A$4:$G$9,2,FALSE)</f>
        <v>38301742936</v>
      </c>
      <c r="D11" s="364">
        <f t="shared" si="0"/>
        <v>9.198837612184782E-2</v>
      </c>
      <c r="E11" s="358">
        <f>+VLOOKUP(B11,RESUMEN!$A$4:$G$9,3,FALSE)</f>
        <v>6940379861</v>
      </c>
      <c r="F11" s="358">
        <f>+VLOOKUP($B11,RESUMEN!$A$4:$G$9,4,FALSE)</f>
        <v>16629930579</v>
      </c>
      <c r="G11" s="365">
        <f t="shared" si="1"/>
        <v>0.18091398606070988</v>
      </c>
      <c r="H11" s="358">
        <f>+VLOOKUP($B11,RESUMEN!$A$4:$G$9,5,FALSE)</f>
        <v>13358810</v>
      </c>
      <c r="I11" s="366">
        <f t="shared" si="2"/>
        <v>16616571769</v>
      </c>
      <c r="J11" s="358">
        <f>+VLOOKUP($B11,RESUMEN!$A$4:$G$9,6,FALSE)</f>
        <v>16616571769</v>
      </c>
      <c r="K11" s="367">
        <f t="shared" si="3"/>
        <v>8.0329920419928166E-4</v>
      </c>
      <c r="L11" s="358">
        <f>+VLOOKUP($B11,RESUMEN!$A$4:$G$9,7,FALSE)</f>
        <v>14731432496</v>
      </c>
    </row>
    <row r="12" spans="2:12" ht="15.95" customHeight="1" thickBot="1">
      <c r="B12" s="368" t="s">
        <v>497</v>
      </c>
      <c r="C12" s="358">
        <f>+VLOOKUP(B12,RESUMEN!$A$4:$G$9,2,FALSE)</f>
        <v>41399108704</v>
      </c>
      <c r="D12" s="369">
        <f t="shared" si="0"/>
        <v>9.9427245097857803E-2</v>
      </c>
      <c r="E12" s="358">
        <f>+VLOOKUP(B12,RESUMEN!$A$4:$G$9,3,FALSE)</f>
        <v>16527194795</v>
      </c>
      <c r="F12" s="358">
        <f>+VLOOKUP($B12,RESUMEN!$A$4:$G$9,4,FALSE)</f>
        <v>11852727552</v>
      </c>
      <c r="G12" s="370">
        <f t="shared" si="1"/>
        <v>0.12894366437294313</v>
      </c>
      <c r="H12" s="358">
        <f>+VLOOKUP($B12,RESUMEN!$A$4:$G$9,5,FALSE)</f>
        <v>0</v>
      </c>
      <c r="I12" s="371">
        <f t="shared" si="2"/>
        <v>11852727552</v>
      </c>
      <c r="J12" s="358">
        <f>+VLOOKUP($B12,RESUMEN!$A$4:$G$9,6,FALSE)</f>
        <v>11852727552</v>
      </c>
      <c r="K12" s="372">
        <f t="shared" si="3"/>
        <v>0</v>
      </c>
      <c r="L12" s="358">
        <f>+VLOOKUP($B12,RESUMEN!$A$4:$G$9,7,FALSE)</f>
        <v>13019186357</v>
      </c>
    </row>
    <row r="13" spans="2:12" ht="15.75" thickBot="1">
      <c r="B13" s="373" t="s">
        <v>633</v>
      </c>
      <c r="C13" s="374">
        <f t="shared" ref="C13:H13" si="4">SUM(C7:C12)</f>
        <v>416375900421</v>
      </c>
      <c r="D13" s="572">
        <f t="shared" si="4"/>
        <v>1</v>
      </c>
      <c r="E13" s="350">
        <f t="shared" si="4"/>
        <v>120568108088</v>
      </c>
      <c r="F13" s="375">
        <f t="shared" si="4"/>
        <v>91921752105</v>
      </c>
      <c r="G13" s="376">
        <f t="shared" si="4"/>
        <v>1</v>
      </c>
      <c r="H13" s="377">
        <f t="shared" si="4"/>
        <v>6032412713</v>
      </c>
      <c r="I13" s="378"/>
      <c r="J13" s="379">
        <f>SUM(J7:J12)</f>
        <v>85889339392</v>
      </c>
      <c r="K13" s="380"/>
      <c r="L13" s="381">
        <f>SUM(L7:L12)</f>
        <v>203886040228</v>
      </c>
    </row>
    <row r="14" spans="2:12" ht="18">
      <c r="B14" s="305"/>
      <c r="C14" s="382"/>
      <c r="D14" s="382"/>
      <c r="E14" s="382"/>
      <c r="F14" s="382"/>
      <c r="G14" s="305"/>
      <c r="H14" s="382"/>
      <c r="I14" s="382"/>
      <c r="J14" s="382"/>
      <c r="K14" s="382"/>
      <c r="L14" s="310"/>
    </row>
  </sheetData>
  <mergeCells count="2">
    <mergeCell ref="C5:D5"/>
    <mergeCell ref="F5:K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3" orientation="landscape" r:id="rId1"/>
  <colBreaks count="1" manualBreakCount="1">
    <brk id="1584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6"/>
  <sheetViews>
    <sheetView view="pageBreakPreview" zoomScaleNormal="100" zoomScaleSheetLayoutView="100" workbookViewId="0">
      <selection activeCell="H9" sqref="H9"/>
    </sheetView>
  </sheetViews>
  <sheetFormatPr baseColWidth="10" defaultColWidth="11.42578125" defaultRowHeight="15"/>
  <cols>
    <col min="1" max="1" width="6.7109375" style="304" customWidth="1"/>
    <col min="2" max="2" width="23.5703125" style="304" customWidth="1"/>
    <col min="3" max="3" width="12.140625" style="383" customWidth="1"/>
    <col min="4" max="4" width="14.7109375" style="304" customWidth="1"/>
    <col min="5" max="5" width="10.42578125" style="304" customWidth="1"/>
    <col min="6" max="6" width="15.7109375" style="304" customWidth="1"/>
    <col min="7" max="7" width="14.7109375" style="304" customWidth="1"/>
    <col min="8" max="9" width="14.140625" style="304" customWidth="1"/>
    <col min="10" max="10" width="15" style="304" hidden="1" customWidth="1"/>
    <col min="11" max="11" width="13.7109375" style="304" customWidth="1"/>
    <col min="12" max="12" width="11.28515625" style="304" customWidth="1"/>
    <col min="13" max="13" width="13.7109375" style="304" customWidth="1"/>
    <col min="14" max="14" width="6.7109375" style="304" customWidth="1"/>
    <col min="15" max="162" width="11.42578125" style="304"/>
    <col min="163" max="163" width="2.28515625" style="304" customWidth="1"/>
    <col min="164" max="164" width="2.140625" style="304" customWidth="1"/>
    <col min="165" max="165" width="1.140625" style="304" customWidth="1"/>
    <col min="166" max="167" width="2" style="304" customWidth="1"/>
    <col min="168" max="169" width="2.140625" style="304" customWidth="1"/>
    <col min="170" max="170" width="1.7109375" style="304" customWidth="1"/>
    <col min="171" max="171" width="0.85546875" style="304" customWidth="1"/>
    <col min="172" max="172" width="2" style="304" customWidth="1"/>
    <col min="173" max="173" width="2.140625" style="304" customWidth="1"/>
    <col min="174" max="418" width="11.42578125" style="304"/>
    <col min="419" max="419" width="2.28515625" style="304" customWidth="1"/>
    <col min="420" max="420" width="2.140625" style="304" customWidth="1"/>
    <col min="421" max="421" width="1.140625" style="304" customWidth="1"/>
    <col min="422" max="423" width="2" style="304" customWidth="1"/>
    <col min="424" max="425" width="2.140625" style="304" customWidth="1"/>
    <col min="426" max="426" width="1.7109375" style="304" customWidth="1"/>
    <col min="427" max="427" width="0.85546875" style="304" customWidth="1"/>
    <col min="428" max="428" width="2" style="304" customWidth="1"/>
    <col min="429" max="429" width="2.140625" style="304" customWidth="1"/>
    <col min="430" max="674" width="11.42578125" style="304"/>
    <col min="675" max="675" width="2.28515625" style="304" customWidth="1"/>
    <col min="676" max="676" width="2.140625" style="304" customWidth="1"/>
    <col min="677" max="677" width="1.140625" style="304" customWidth="1"/>
    <col min="678" max="679" width="2" style="304" customWidth="1"/>
    <col min="680" max="681" width="2.140625" style="304" customWidth="1"/>
    <col min="682" max="682" width="1.7109375" style="304" customWidth="1"/>
    <col min="683" max="683" width="0.85546875" style="304" customWidth="1"/>
    <col min="684" max="684" width="2" style="304" customWidth="1"/>
    <col min="685" max="685" width="2.140625" style="304" customWidth="1"/>
    <col min="686" max="930" width="11.42578125" style="304"/>
    <col min="931" max="931" width="2.28515625" style="304" customWidth="1"/>
    <col min="932" max="932" width="2.140625" style="304" customWidth="1"/>
    <col min="933" max="933" width="1.140625" style="304" customWidth="1"/>
    <col min="934" max="935" width="2" style="304" customWidth="1"/>
    <col min="936" max="937" width="2.140625" style="304" customWidth="1"/>
    <col min="938" max="938" width="1.7109375" style="304" customWidth="1"/>
    <col min="939" max="939" width="0.85546875" style="304" customWidth="1"/>
    <col min="940" max="940" width="2" style="304" customWidth="1"/>
    <col min="941" max="941" width="2.140625" style="304" customWidth="1"/>
    <col min="942" max="1186" width="11.42578125" style="304"/>
    <col min="1187" max="1187" width="2.28515625" style="304" customWidth="1"/>
    <col min="1188" max="1188" width="2.140625" style="304" customWidth="1"/>
    <col min="1189" max="1189" width="1.140625" style="304" customWidth="1"/>
    <col min="1190" max="1191" width="2" style="304" customWidth="1"/>
    <col min="1192" max="1193" width="2.140625" style="304" customWidth="1"/>
    <col min="1194" max="1194" width="1.7109375" style="304" customWidth="1"/>
    <col min="1195" max="1195" width="0.85546875" style="304" customWidth="1"/>
    <col min="1196" max="1196" width="2" style="304" customWidth="1"/>
    <col min="1197" max="1197" width="2.140625" style="304" customWidth="1"/>
    <col min="1198" max="1442" width="11.42578125" style="304"/>
    <col min="1443" max="1443" width="2.28515625" style="304" customWidth="1"/>
    <col min="1444" max="1444" width="2.140625" style="304" customWidth="1"/>
    <col min="1445" max="1445" width="1.140625" style="304" customWidth="1"/>
    <col min="1446" max="1447" width="2" style="304" customWidth="1"/>
    <col min="1448" max="1449" width="2.140625" style="304" customWidth="1"/>
    <col min="1450" max="1450" width="1.7109375" style="304" customWidth="1"/>
    <col min="1451" max="1451" width="0.85546875" style="304" customWidth="1"/>
    <col min="1452" max="1452" width="2" style="304" customWidth="1"/>
    <col min="1453" max="1453" width="2.140625" style="304" customWidth="1"/>
    <col min="1454" max="1698" width="11.42578125" style="304"/>
    <col min="1699" max="1699" width="2.28515625" style="304" customWidth="1"/>
    <col min="1700" max="1700" width="2.140625" style="304" customWidth="1"/>
    <col min="1701" max="1701" width="1.140625" style="304" customWidth="1"/>
    <col min="1702" max="1703" width="2" style="304" customWidth="1"/>
    <col min="1704" max="1705" width="2.140625" style="304" customWidth="1"/>
    <col min="1706" max="1706" width="1.7109375" style="304" customWidth="1"/>
    <col min="1707" max="1707" width="0.85546875" style="304" customWidth="1"/>
    <col min="1708" max="1708" width="2" style="304" customWidth="1"/>
    <col min="1709" max="1709" width="2.140625" style="304" customWidth="1"/>
    <col min="1710" max="1954" width="11.42578125" style="304"/>
    <col min="1955" max="1955" width="2.28515625" style="304" customWidth="1"/>
    <col min="1956" max="1956" width="2.140625" style="304" customWidth="1"/>
    <col min="1957" max="1957" width="1.140625" style="304" customWidth="1"/>
    <col min="1958" max="1959" width="2" style="304" customWidth="1"/>
    <col min="1960" max="1961" width="2.140625" style="304" customWidth="1"/>
    <col min="1962" max="1962" width="1.7109375" style="304" customWidth="1"/>
    <col min="1963" max="1963" width="0.85546875" style="304" customWidth="1"/>
    <col min="1964" max="1964" width="2" style="304" customWidth="1"/>
    <col min="1965" max="1965" width="2.140625" style="304" customWidth="1"/>
    <col min="1966" max="2210" width="11.42578125" style="304"/>
    <col min="2211" max="2211" width="2.28515625" style="304" customWidth="1"/>
    <col min="2212" max="2212" width="2.140625" style="304" customWidth="1"/>
    <col min="2213" max="2213" width="1.140625" style="304" customWidth="1"/>
    <col min="2214" max="2215" width="2" style="304" customWidth="1"/>
    <col min="2216" max="2217" width="2.140625" style="304" customWidth="1"/>
    <col min="2218" max="2218" width="1.7109375" style="304" customWidth="1"/>
    <col min="2219" max="2219" width="0.85546875" style="304" customWidth="1"/>
    <col min="2220" max="2220" width="2" style="304" customWidth="1"/>
    <col min="2221" max="2221" width="2.140625" style="304" customWidth="1"/>
    <col min="2222" max="2466" width="11.42578125" style="304"/>
    <col min="2467" max="2467" width="2.28515625" style="304" customWidth="1"/>
    <col min="2468" max="2468" width="2.140625" style="304" customWidth="1"/>
    <col min="2469" max="2469" width="1.140625" style="304" customWidth="1"/>
    <col min="2470" max="2471" width="2" style="304" customWidth="1"/>
    <col min="2472" max="2473" width="2.140625" style="304" customWidth="1"/>
    <col min="2474" max="2474" width="1.7109375" style="304" customWidth="1"/>
    <col min="2475" max="2475" width="0.85546875" style="304" customWidth="1"/>
    <col min="2476" max="2476" width="2" style="304" customWidth="1"/>
    <col min="2477" max="2477" width="2.140625" style="304" customWidth="1"/>
    <col min="2478" max="2722" width="11.42578125" style="304"/>
    <col min="2723" max="2723" width="2.28515625" style="304" customWidth="1"/>
    <col min="2724" max="2724" width="2.140625" style="304" customWidth="1"/>
    <col min="2725" max="2725" width="1.140625" style="304" customWidth="1"/>
    <col min="2726" max="2727" width="2" style="304" customWidth="1"/>
    <col min="2728" max="2729" width="2.140625" style="304" customWidth="1"/>
    <col min="2730" max="2730" width="1.7109375" style="304" customWidth="1"/>
    <col min="2731" max="2731" width="0.85546875" style="304" customWidth="1"/>
    <col min="2732" max="2732" width="2" style="304" customWidth="1"/>
    <col min="2733" max="2733" width="2.140625" style="304" customWidth="1"/>
    <col min="2734" max="2978" width="11.42578125" style="304"/>
    <col min="2979" max="2979" width="2.28515625" style="304" customWidth="1"/>
    <col min="2980" max="2980" width="2.140625" style="304" customWidth="1"/>
    <col min="2981" max="2981" width="1.140625" style="304" customWidth="1"/>
    <col min="2982" max="2983" width="2" style="304" customWidth="1"/>
    <col min="2984" max="2985" width="2.140625" style="304" customWidth="1"/>
    <col min="2986" max="2986" width="1.7109375" style="304" customWidth="1"/>
    <col min="2987" max="2987" width="0.85546875" style="304" customWidth="1"/>
    <col min="2988" max="2988" width="2" style="304" customWidth="1"/>
    <col min="2989" max="2989" width="2.140625" style="304" customWidth="1"/>
    <col min="2990" max="3234" width="11.42578125" style="304"/>
    <col min="3235" max="3235" width="2.28515625" style="304" customWidth="1"/>
    <col min="3236" max="3236" width="2.140625" style="304" customWidth="1"/>
    <col min="3237" max="3237" width="1.140625" style="304" customWidth="1"/>
    <col min="3238" max="3239" width="2" style="304" customWidth="1"/>
    <col min="3240" max="3241" width="2.140625" style="304" customWidth="1"/>
    <col min="3242" max="3242" width="1.7109375" style="304" customWidth="1"/>
    <col min="3243" max="3243" width="0.85546875" style="304" customWidth="1"/>
    <col min="3244" max="3244" width="2" style="304" customWidth="1"/>
    <col min="3245" max="3245" width="2.140625" style="304" customWidth="1"/>
    <col min="3246" max="3490" width="11.42578125" style="304"/>
    <col min="3491" max="3491" width="2.28515625" style="304" customWidth="1"/>
    <col min="3492" max="3492" width="2.140625" style="304" customWidth="1"/>
    <col min="3493" max="3493" width="1.140625" style="304" customWidth="1"/>
    <col min="3494" max="3495" width="2" style="304" customWidth="1"/>
    <col min="3496" max="3497" width="2.140625" style="304" customWidth="1"/>
    <col min="3498" max="3498" width="1.7109375" style="304" customWidth="1"/>
    <col min="3499" max="3499" width="0.85546875" style="304" customWidth="1"/>
    <col min="3500" max="3500" width="2" style="304" customWidth="1"/>
    <col min="3501" max="3501" width="2.140625" style="304" customWidth="1"/>
    <col min="3502" max="3746" width="11.42578125" style="304"/>
    <col min="3747" max="3747" width="2.28515625" style="304" customWidth="1"/>
    <col min="3748" max="3748" width="2.140625" style="304" customWidth="1"/>
    <col min="3749" max="3749" width="1.140625" style="304" customWidth="1"/>
    <col min="3750" max="3751" width="2" style="304" customWidth="1"/>
    <col min="3752" max="3753" width="2.140625" style="304" customWidth="1"/>
    <col min="3754" max="3754" width="1.7109375" style="304" customWidth="1"/>
    <col min="3755" max="3755" width="0.85546875" style="304" customWidth="1"/>
    <col min="3756" max="3756" width="2" style="304" customWidth="1"/>
    <col min="3757" max="3757" width="2.140625" style="304" customWidth="1"/>
    <col min="3758" max="4002" width="11.42578125" style="304"/>
    <col min="4003" max="4003" width="2.28515625" style="304" customWidth="1"/>
    <col min="4004" max="4004" width="2.140625" style="304" customWidth="1"/>
    <col min="4005" max="4005" width="1.140625" style="304" customWidth="1"/>
    <col min="4006" max="4007" width="2" style="304" customWidth="1"/>
    <col min="4008" max="4009" width="2.140625" style="304" customWidth="1"/>
    <col min="4010" max="4010" width="1.7109375" style="304" customWidth="1"/>
    <col min="4011" max="4011" width="0.85546875" style="304" customWidth="1"/>
    <col min="4012" max="4012" width="2" style="304" customWidth="1"/>
    <col min="4013" max="4013" width="2.140625" style="304" customWidth="1"/>
    <col min="4014" max="4258" width="11.42578125" style="304"/>
    <col min="4259" max="4259" width="2.28515625" style="304" customWidth="1"/>
    <col min="4260" max="4260" width="2.140625" style="304" customWidth="1"/>
    <col min="4261" max="4261" width="1.140625" style="304" customWidth="1"/>
    <col min="4262" max="4263" width="2" style="304" customWidth="1"/>
    <col min="4264" max="4265" width="2.140625" style="304" customWidth="1"/>
    <col min="4266" max="4266" width="1.7109375" style="304" customWidth="1"/>
    <col min="4267" max="4267" width="0.85546875" style="304" customWidth="1"/>
    <col min="4268" max="4268" width="2" style="304" customWidth="1"/>
    <col min="4269" max="4269" width="2.140625" style="304" customWidth="1"/>
    <col min="4270" max="4514" width="11.42578125" style="304"/>
    <col min="4515" max="4515" width="2.28515625" style="304" customWidth="1"/>
    <col min="4516" max="4516" width="2.140625" style="304" customWidth="1"/>
    <col min="4517" max="4517" width="1.140625" style="304" customWidth="1"/>
    <col min="4518" max="4519" width="2" style="304" customWidth="1"/>
    <col min="4520" max="4521" width="2.140625" style="304" customWidth="1"/>
    <col min="4522" max="4522" width="1.7109375" style="304" customWidth="1"/>
    <col min="4523" max="4523" width="0.85546875" style="304" customWidth="1"/>
    <col min="4524" max="4524" width="2" style="304" customWidth="1"/>
    <col min="4525" max="4525" width="2.140625" style="304" customWidth="1"/>
    <col min="4526" max="4770" width="11.42578125" style="304"/>
    <col min="4771" max="4771" width="2.28515625" style="304" customWidth="1"/>
    <col min="4772" max="4772" width="2.140625" style="304" customWidth="1"/>
    <col min="4773" max="4773" width="1.140625" style="304" customWidth="1"/>
    <col min="4774" max="4775" width="2" style="304" customWidth="1"/>
    <col min="4776" max="4777" width="2.140625" style="304" customWidth="1"/>
    <col min="4778" max="4778" width="1.7109375" style="304" customWidth="1"/>
    <col min="4779" max="4779" width="0.85546875" style="304" customWidth="1"/>
    <col min="4780" max="4780" width="2" style="304" customWidth="1"/>
    <col min="4781" max="4781" width="2.140625" style="304" customWidth="1"/>
    <col min="4782" max="5026" width="11.42578125" style="304"/>
    <col min="5027" max="5027" width="2.28515625" style="304" customWidth="1"/>
    <col min="5028" max="5028" width="2.140625" style="304" customWidth="1"/>
    <col min="5029" max="5029" width="1.140625" style="304" customWidth="1"/>
    <col min="5030" max="5031" width="2" style="304" customWidth="1"/>
    <col min="5032" max="5033" width="2.140625" style="304" customWidth="1"/>
    <col min="5034" max="5034" width="1.7109375" style="304" customWidth="1"/>
    <col min="5035" max="5035" width="0.85546875" style="304" customWidth="1"/>
    <col min="5036" max="5036" width="2" style="304" customWidth="1"/>
    <col min="5037" max="5037" width="2.140625" style="304" customWidth="1"/>
    <col min="5038" max="5282" width="11.42578125" style="304"/>
    <col min="5283" max="5283" width="2.28515625" style="304" customWidth="1"/>
    <col min="5284" max="5284" width="2.140625" style="304" customWidth="1"/>
    <col min="5285" max="5285" width="1.140625" style="304" customWidth="1"/>
    <col min="5286" max="5287" width="2" style="304" customWidth="1"/>
    <col min="5288" max="5289" width="2.140625" style="304" customWidth="1"/>
    <col min="5290" max="5290" width="1.7109375" style="304" customWidth="1"/>
    <col min="5291" max="5291" width="0.85546875" style="304" customWidth="1"/>
    <col min="5292" max="5292" width="2" style="304" customWidth="1"/>
    <col min="5293" max="5293" width="2.140625" style="304" customWidth="1"/>
    <col min="5294" max="5538" width="11.42578125" style="304"/>
    <col min="5539" max="5539" width="2.28515625" style="304" customWidth="1"/>
    <col min="5540" max="5540" width="2.140625" style="304" customWidth="1"/>
    <col min="5541" max="5541" width="1.140625" style="304" customWidth="1"/>
    <col min="5542" max="5543" width="2" style="304" customWidth="1"/>
    <col min="5544" max="5545" width="2.140625" style="304" customWidth="1"/>
    <col min="5546" max="5546" width="1.7109375" style="304" customWidth="1"/>
    <col min="5547" max="5547" width="0.85546875" style="304" customWidth="1"/>
    <col min="5548" max="5548" width="2" style="304" customWidth="1"/>
    <col min="5549" max="5549" width="2.140625" style="304" customWidth="1"/>
    <col min="5550" max="5794" width="11.42578125" style="304"/>
    <col min="5795" max="5795" width="2.28515625" style="304" customWidth="1"/>
    <col min="5796" max="5796" width="2.140625" style="304" customWidth="1"/>
    <col min="5797" max="5797" width="1.140625" style="304" customWidth="1"/>
    <col min="5798" max="5799" width="2" style="304" customWidth="1"/>
    <col min="5800" max="5801" width="2.140625" style="304" customWidth="1"/>
    <col min="5802" max="5802" width="1.7109375" style="304" customWidth="1"/>
    <col min="5803" max="5803" width="0.85546875" style="304" customWidth="1"/>
    <col min="5804" max="5804" width="2" style="304" customWidth="1"/>
    <col min="5805" max="5805" width="2.140625" style="304" customWidth="1"/>
    <col min="5806" max="6050" width="11.42578125" style="304"/>
    <col min="6051" max="6051" width="2.28515625" style="304" customWidth="1"/>
    <col min="6052" max="6052" width="2.140625" style="304" customWidth="1"/>
    <col min="6053" max="6053" width="1.140625" style="304" customWidth="1"/>
    <col min="6054" max="6055" width="2" style="304" customWidth="1"/>
    <col min="6056" max="6057" width="2.140625" style="304" customWidth="1"/>
    <col min="6058" max="6058" width="1.7109375" style="304" customWidth="1"/>
    <col min="6059" max="6059" width="0.85546875" style="304" customWidth="1"/>
    <col min="6060" max="6060" width="2" style="304" customWidth="1"/>
    <col min="6061" max="6061" width="2.140625" style="304" customWidth="1"/>
    <col min="6062" max="6306" width="11.42578125" style="304"/>
    <col min="6307" max="6307" width="2.28515625" style="304" customWidth="1"/>
    <col min="6308" max="6308" width="2.140625" style="304" customWidth="1"/>
    <col min="6309" max="6309" width="1.140625" style="304" customWidth="1"/>
    <col min="6310" max="6311" width="2" style="304" customWidth="1"/>
    <col min="6312" max="6313" width="2.140625" style="304" customWidth="1"/>
    <col min="6314" max="6314" width="1.7109375" style="304" customWidth="1"/>
    <col min="6315" max="6315" width="0.85546875" style="304" customWidth="1"/>
    <col min="6316" max="6316" width="2" style="304" customWidth="1"/>
    <col min="6317" max="6317" width="2.140625" style="304" customWidth="1"/>
    <col min="6318" max="6562" width="11.42578125" style="304"/>
    <col min="6563" max="6563" width="2.28515625" style="304" customWidth="1"/>
    <col min="6564" max="6564" width="2.140625" style="304" customWidth="1"/>
    <col min="6565" max="6565" width="1.140625" style="304" customWidth="1"/>
    <col min="6566" max="6567" width="2" style="304" customWidth="1"/>
    <col min="6568" max="6569" width="2.140625" style="304" customWidth="1"/>
    <col min="6570" max="6570" width="1.7109375" style="304" customWidth="1"/>
    <col min="6571" max="6571" width="0.85546875" style="304" customWidth="1"/>
    <col min="6572" max="6572" width="2" style="304" customWidth="1"/>
    <col min="6573" max="6573" width="2.140625" style="304" customWidth="1"/>
    <col min="6574" max="6818" width="11.42578125" style="304"/>
    <col min="6819" max="6819" width="2.28515625" style="304" customWidth="1"/>
    <col min="6820" max="6820" width="2.140625" style="304" customWidth="1"/>
    <col min="6821" max="6821" width="1.140625" style="304" customWidth="1"/>
    <col min="6822" max="6823" width="2" style="304" customWidth="1"/>
    <col min="6824" max="6825" width="2.140625" style="304" customWidth="1"/>
    <col min="6826" max="6826" width="1.7109375" style="304" customWidth="1"/>
    <col min="6827" max="6827" width="0.85546875" style="304" customWidth="1"/>
    <col min="6828" max="6828" width="2" style="304" customWidth="1"/>
    <col min="6829" max="6829" width="2.140625" style="304" customWidth="1"/>
    <col min="6830" max="7074" width="11.42578125" style="304"/>
    <col min="7075" max="7075" width="2.28515625" style="304" customWidth="1"/>
    <col min="7076" max="7076" width="2.140625" style="304" customWidth="1"/>
    <col min="7077" max="7077" width="1.140625" style="304" customWidth="1"/>
    <col min="7078" max="7079" width="2" style="304" customWidth="1"/>
    <col min="7080" max="7081" width="2.140625" style="304" customWidth="1"/>
    <col min="7082" max="7082" width="1.7109375" style="304" customWidth="1"/>
    <col min="7083" max="7083" width="0.85546875" style="304" customWidth="1"/>
    <col min="7084" max="7084" width="2" style="304" customWidth="1"/>
    <col min="7085" max="7085" width="2.140625" style="304" customWidth="1"/>
    <col min="7086" max="7330" width="11.42578125" style="304"/>
    <col min="7331" max="7331" width="2.28515625" style="304" customWidth="1"/>
    <col min="7332" max="7332" width="2.140625" style="304" customWidth="1"/>
    <col min="7333" max="7333" width="1.140625" style="304" customWidth="1"/>
    <col min="7334" max="7335" width="2" style="304" customWidth="1"/>
    <col min="7336" max="7337" width="2.140625" style="304" customWidth="1"/>
    <col min="7338" max="7338" width="1.7109375" style="304" customWidth="1"/>
    <col min="7339" max="7339" width="0.85546875" style="304" customWidth="1"/>
    <col min="7340" max="7340" width="2" style="304" customWidth="1"/>
    <col min="7341" max="7341" width="2.140625" style="304" customWidth="1"/>
    <col min="7342" max="7586" width="11.42578125" style="304"/>
    <col min="7587" max="7587" width="2.28515625" style="304" customWidth="1"/>
    <col min="7588" max="7588" width="2.140625" style="304" customWidth="1"/>
    <col min="7589" max="7589" width="1.140625" style="304" customWidth="1"/>
    <col min="7590" max="7591" width="2" style="304" customWidth="1"/>
    <col min="7592" max="7593" width="2.140625" style="304" customWidth="1"/>
    <col min="7594" max="7594" width="1.7109375" style="304" customWidth="1"/>
    <col min="7595" max="7595" width="0.85546875" style="304" customWidth="1"/>
    <col min="7596" max="7596" width="2" style="304" customWidth="1"/>
    <col min="7597" max="7597" width="2.140625" style="304" customWidth="1"/>
    <col min="7598" max="7842" width="11.42578125" style="304"/>
    <col min="7843" max="7843" width="2.28515625" style="304" customWidth="1"/>
    <col min="7844" max="7844" width="2.140625" style="304" customWidth="1"/>
    <col min="7845" max="7845" width="1.140625" style="304" customWidth="1"/>
    <col min="7846" max="7847" width="2" style="304" customWidth="1"/>
    <col min="7848" max="7849" width="2.140625" style="304" customWidth="1"/>
    <col min="7850" max="7850" width="1.7109375" style="304" customWidth="1"/>
    <col min="7851" max="7851" width="0.85546875" style="304" customWidth="1"/>
    <col min="7852" max="7852" width="2" style="304" customWidth="1"/>
    <col min="7853" max="7853" width="2.140625" style="304" customWidth="1"/>
    <col min="7854" max="8098" width="11.42578125" style="304"/>
    <col min="8099" max="8099" width="2.28515625" style="304" customWidth="1"/>
    <col min="8100" max="8100" width="2.140625" style="304" customWidth="1"/>
    <col min="8101" max="8101" width="1.140625" style="304" customWidth="1"/>
    <col min="8102" max="8103" width="2" style="304" customWidth="1"/>
    <col min="8104" max="8105" width="2.140625" style="304" customWidth="1"/>
    <col min="8106" max="8106" width="1.7109375" style="304" customWidth="1"/>
    <col min="8107" max="8107" width="0.85546875" style="304" customWidth="1"/>
    <col min="8108" max="8108" width="2" style="304" customWidth="1"/>
    <col min="8109" max="8109" width="2.140625" style="304" customWidth="1"/>
    <col min="8110" max="8354" width="11.42578125" style="304"/>
    <col min="8355" max="8355" width="2.28515625" style="304" customWidth="1"/>
    <col min="8356" max="8356" width="2.140625" style="304" customWidth="1"/>
    <col min="8357" max="8357" width="1.140625" style="304" customWidth="1"/>
    <col min="8358" max="8359" width="2" style="304" customWidth="1"/>
    <col min="8360" max="8361" width="2.140625" style="304" customWidth="1"/>
    <col min="8362" max="8362" width="1.7109375" style="304" customWidth="1"/>
    <col min="8363" max="8363" width="0.85546875" style="304" customWidth="1"/>
    <col min="8364" max="8364" width="2" style="304" customWidth="1"/>
    <col min="8365" max="8365" width="2.140625" style="304" customWidth="1"/>
    <col min="8366" max="8610" width="11.42578125" style="304"/>
    <col min="8611" max="8611" width="2.28515625" style="304" customWidth="1"/>
    <col min="8612" max="8612" width="2.140625" style="304" customWidth="1"/>
    <col min="8613" max="8613" width="1.140625" style="304" customWidth="1"/>
    <col min="8614" max="8615" width="2" style="304" customWidth="1"/>
    <col min="8616" max="8617" width="2.140625" style="304" customWidth="1"/>
    <col min="8618" max="8618" width="1.7109375" style="304" customWidth="1"/>
    <col min="8619" max="8619" width="0.85546875" style="304" customWidth="1"/>
    <col min="8620" max="8620" width="2" style="304" customWidth="1"/>
    <col min="8621" max="8621" width="2.140625" style="304" customWidth="1"/>
    <col min="8622" max="8866" width="11.42578125" style="304"/>
    <col min="8867" max="8867" width="2.28515625" style="304" customWidth="1"/>
    <col min="8868" max="8868" width="2.140625" style="304" customWidth="1"/>
    <col min="8869" max="8869" width="1.140625" style="304" customWidth="1"/>
    <col min="8870" max="8871" width="2" style="304" customWidth="1"/>
    <col min="8872" max="8873" width="2.140625" style="304" customWidth="1"/>
    <col min="8874" max="8874" width="1.7109375" style="304" customWidth="1"/>
    <col min="8875" max="8875" width="0.85546875" style="304" customWidth="1"/>
    <col min="8876" max="8876" width="2" style="304" customWidth="1"/>
    <col min="8877" max="8877" width="2.140625" style="304" customWidth="1"/>
    <col min="8878" max="9122" width="11.42578125" style="304"/>
    <col min="9123" max="9123" width="2.28515625" style="304" customWidth="1"/>
    <col min="9124" max="9124" width="2.140625" style="304" customWidth="1"/>
    <col min="9125" max="9125" width="1.140625" style="304" customWidth="1"/>
    <col min="9126" max="9127" width="2" style="304" customWidth="1"/>
    <col min="9128" max="9129" width="2.140625" style="304" customWidth="1"/>
    <col min="9130" max="9130" width="1.7109375" style="304" customWidth="1"/>
    <col min="9131" max="9131" width="0.85546875" style="304" customWidth="1"/>
    <col min="9132" max="9132" width="2" style="304" customWidth="1"/>
    <col min="9133" max="9133" width="2.140625" style="304" customWidth="1"/>
    <col min="9134" max="9378" width="11.42578125" style="304"/>
    <col min="9379" max="9379" width="2.28515625" style="304" customWidth="1"/>
    <col min="9380" max="9380" width="2.140625" style="304" customWidth="1"/>
    <col min="9381" max="9381" width="1.140625" style="304" customWidth="1"/>
    <col min="9382" max="9383" width="2" style="304" customWidth="1"/>
    <col min="9384" max="9385" width="2.140625" style="304" customWidth="1"/>
    <col min="9386" max="9386" width="1.7109375" style="304" customWidth="1"/>
    <col min="9387" max="9387" width="0.85546875" style="304" customWidth="1"/>
    <col min="9388" max="9388" width="2" style="304" customWidth="1"/>
    <col min="9389" max="9389" width="2.140625" style="304" customWidth="1"/>
    <col min="9390" max="9634" width="11.42578125" style="304"/>
    <col min="9635" max="9635" width="2.28515625" style="304" customWidth="1"/>
    <col min="9636" max="9636" width="2.140625" style="304" customWidth="1"/>
    <col min="9637" max="9637" width="1.140625" style="304" customWidth="1"/>
    <col min="9638" max="9639" width="2" style="304" customWidth="1"/>
    <col min="9640" max="9641" width="2.140625" style="304" customWidth="1"/>
    <col min="9642" max="9642" width="1.7109375" style="304" customWidth="1"/>
    <col min="9643" max="9643" width="0.85546875" style="304" customWidth="1"/>
    <col min="9644" max="9644" width="2" style="304" customWidth="1"/>
    <col min="9645" max="9645" width="2.140625" style="304" customWidth="1"/>
    <col min="9646" max="9890" width="11.42578125" style="304"/>
    <col min="9891" max="9891" width="2.28515625" style="304" customWidth="1"/>
    <col min="9892" max="9892" width="2.140625" style="304" customWidth="1"/>
    <col min="9893" max="9893" width="1.140625" style="304" customWidth="1"/>
    <col min="9894" max="9895" width="2" style="304" customWidth="1"/>
    <col min="9896" max="9897" width="2.140625" style="304" customWidth="1"/>
    <col min="9898" max="9898" width="1.7109375" style="304" customWidth="1"/>
    <col min="9899" max="9899" width="0.85546875" style="304" customWidth="1"/>
    <col min="9900" max="9900" width="2" style="304" customWidth="1"/>
    <col min="9901" max="9901" width="2.140625" style="304" customWidth="1"/>
    <col min="9902" max="10146" width="11.42578125" style="304"/>
    <col min="10147" max="10147" width="2.28515625" style="304" customWidth="1"/>
    <col min="10148" max="10148" width="2.140625" style="304" customWidth="1"/>
    <col min="10149" max="10149" width="1.140625" style="304" customWidth="1"/>
    <col min="10150" max="10151" width="2" style="304" customWidth="1"/>
    <col min="10152" max="10153" width="2.140625" style="304" customWidth="1"/>
    <col min="10154" max="10154" width="1.7109375" style="304" customWidth="1"/>
    <col min="10155" max="10155" width="0.85546875" style="304" customWidth="1"/>
    <col min="10156" max="10156" width="2" style="304" customWidth="1"/>
    <col min="10157" max="10157" width="2.140625" style="304" customWidth="1"/>
    <col min="10158" max="10402" width="11.42578125" style="304"/>
    <col min="10403" max="10403" width="2.28515625" style="304" customWidth="1"/>
    <col min="10404" max="10404" width="2.140625" style="304" customWidth="1"/>
    <col min="10405" max="10405" width="1.140625" style="304" customWidth="1"/>
    <col min="10406" max="10407" width="2" style="304" customWidth="1"/>
    <col min="10408" max="10409" width="2.140625" style="304" customWidth="1"/>
    <col min="10410" max="10410" width="1.7109375" style="304" customWidth="1"/>
    <col min="10411" max="10411" width="0.85546875" style="304" customWidth="1"/>
    <col min="10412" max="10412" width="2" style="304" customWidth="1"/>
    <col min="10413" max="10413" width="2.140625" style="304" customWidth="1"/>
    <col min="10414" max="10658" width="11.42578125" style="304"/>
    <col min="10659" max="10659" width="2.28515625" style="304" customWidth="1"/>
    <col min="10660" max="10660" width="2.140625" style="304" customWidth="1"/>
    <col min="10661" max="10661" width="1.140625" style="304" customWidth="1"/>
    <col min="10662" max="10663" width="2" style="304" customWidth="1"/>
    <col min="10664" max="10665" width="2.140625" style="304" customWidth="1"/>
    <col min="10666" max="10666" width="1.7109375" style="304" customWidth="1"/>
    <col min="10667" max="10667" width="0.85546875" style="304" customWidth="1"/>
    <col min="10668" max="10668" width="2" style="304" customWidth="1"/>
    <col min="10669" max="10669" width="2.140625" style="304" customWidth="1"/>
    <col min="10670" max="10914" width="11.42578125" style="304"/>
    <col min="10915" max="10915" width="2.28515625" style="304" customWidth="1"/>
    <col min="10916" max="10916" width="2.140625" style="304" customWidth="1"/>
    <col min="10917" max="10917" width="1.140625" style="304" customWidth="1"/>
    <col min="10918" max="10919" width="2" style="304" customWidth="1"/>
    <col min="10920" max="10921" width="2.140625" style="304" customWidth="1"/>
    <col min="10922" max="10922" width="1.7109375" style="304" customWidth="1"/>
    <col min="10923" max="10923" width="0.85546875" style="304" customWidth="1"/>
    <col min="10924" max="10924" width="2" style="304" customWidth="1"/>
    <col min="10925" max="10925" width="2.140625" style="304" customWidth="1"/>
    <col min="10926" max="11170" width="11.42578125" style="304"/>
    <col min="11171" max="11171" width="2.28515625" style="304" customWidth="1"/>
    <col min="11172" max="11172" width="2.140625" style="304" customWidth="1"/>
    <col min="11173" max="11173" width="1.140625" style="304" customWidth="1"/>
    <col min="11174" max="11175" width="2" style="304" customWidth="1"/>
    <col min="11176" max="11177" width="2.140625" style="304" customWidth="1"/>
    <col min="11178" max="11178" width="1.7109375" style="304" customWidth="1"/>
    <col min="11179" max="11179" width="0.85546875" style="304" customWidth="1"/>
    <col min="11180" max="11180" width="2" style="304" customWidth="1"/>
    <col min="11181" max="11181" width="2.140625" style="304" customWidth="1"/>
    <col min="11182" max="11426" width="11.42578125" style="304"/>
    <col min="11427" max="11427" width="2.28515625" style="304" customWidth="1"/>
    <col min="11428" max="11428" width="2.140625" style="304" customWidth="1"/>
    <col min="11429" max="11429" width="1.140625" style="304" customWidth="1"/>
    <col min="11430" max="11431" width="2" style="304" customWidth="1"/>
    <col min="11432" max="11433" width="2.140625" style="304" customWidth="1"/>
    <col min="11434" max="11434" width="1.7109375" style="304" customWidth="1"/>
    <col min="11435" max="11435" width="0.85546875" style="304" customWidth="1"/>
    <col min="11436" max="11436" width="2" style="304" customWidth="1"/>
    <col min="11437" max="11437" width="2.140625" style="304" customWidth="1"/>
    <col min="11438" max="11682" width="11.42578125" style="304"/>
    <col min="11683" max="11683" width="2.28515625" style="304" customWidth="1"/>
    <col min="11684" max="11684" width="2.140625" style="304" customWidth="1"/>
    <col min="11685" max="11685" width="1.140625" style="304" customWidth="1"/>
    <col min="11686" max="11687" width="2" style="304" customWidth="1"/>
    <col min="11688" max="11689" width="2.140625" style="304" customWidth="1"/>
    <col min="11690" max="11690" width="1.7109375" style="304" customWidth="1"/>
    <col min="11691" max="11691" width="0.85546875" style="304" customWidth="1"/>
    <col min="11692" max="11692" width="2" style="304" customWidth="1"/>
    <col min="11693" max="11693" width="2.140625" style="304" customWidth="1"/>
    <col min="11694" max="11938" width="11.42578125" style="304"/>
    <col min="11939" max="11939" width="2.28515625" style="304" customWidth="1"/>
    <col min="11940" max="11940" width="2.140625" style="304" customWidth="1"/>
    <col min="11941" max="11941" width="1.140625" style="304" customWidth="1"/>
    <col min="11942" max="11943" width="2" style="304" customWidth="1"/>
    <col min="11944" max="11945" width="2.140625" style="304" customWidth="1"/>
    <col min="11946" max="11946" width="1.7109375" style="304" customWidth="1"/>
    <col min="11947" max="11947" width="0.85546875" style="304" customWidth="1"/>
    <col min="11948" max="11948" width="2" style="304" customWidth="1"/>
    <col min="11949" max="11949" width="2.140625" style="304" customWidth="1"/>
    <col min="11950" max="12194" width="11.42578125" style="304"/>
    <col min="12195" max="12195" width="2.28515625" style="304" customWidth="1"/>
    <col min="12196" max="12196" width="2.140625" style="304" customWidth="1"/>
    <col min="12197" max="12197" width="1.140625" style="304" customWidth="1"/>
    <col min="12198" max="12199" width="2" style="304" customWidth="1"/>
    <col min="12200" max="12201" width="2.140625" style="304" customWidth="1"/>
    <col min="12202" max="12202" width="1.7109375" style="304" customWidth="1"/>
    <col min="12203" max="12203" width="0.85546875" style="304" customWidth="1"/>
    <col min="12204" max="12204" width="2" style="304" customWidth="1"/>
    <col min="12205" max="12205" width="2.140625" style="304" customWidth="1"/>
    <col min="12206" max="12450" width="11.42578125" style="304"/>
    <col min="12451" max="12451" width="2.28515625" style="304" customWidth="1"/>
    <col min="12452" max="12452" width="2.140625" style="304" customWidth="1"/>
    <col min="12453" max="12453" width="1.140625" style="304" customWidth="1"/>
    <col min="12454" max="12455" width="2" style="304" customWidth="1"/>
    <col min="12456" max="12457" width="2.140625" style="304" customWidth="1"/>
    <col min="12458" max="12458" width="1.7109375" style="304" customWidth="1"/>
    <col min="12459" max="12459" width="0.85546875" style="304" customWidth="1"/>
    <col min="12460" max="12460" width="2" style="304" customWidth="1"/>
    <col min="12461" max="12461" width="2.140625" style="304" customWidth="1"/>
    <col min="12462" max="12706" width="11.42578125" style="304"/>
    <col min="12707" max="12707" width="2.28515625" style="304" customWidth="1"/>
    <col min="12708" max="12708" width="2.140625" style="304" customWidth="1"/>
    <col min="12709" max="12709" width="1.140625" style="304" customWidth="1"/>
    <col min="12710" max="12711" width="2" style="304" customWidth="1"/>
    <col min="12712" max="12713" width="2.140625" style="304" customWidth="1"/>
    <col min="12714" max="12714" width="1.7109375" style="304" customWidth="1"/>
    <col min="12715" max="12715" width="0.85546875" style="304" customWidth="1"/>
    <col min="12716" max="12716" width="2" style="304" customWidth="1"/>
    <col min="12717" max="12717" width="2.140625" style="304" customWidth="1"/>
    <col min="12718" max="12962" width="11.42578125" style="304"/>
    <col min="12963" max="12963" width="2.28515625" style="304" customWidth="1"/>
    <col min="12964" max="12964" width="2.140625" style="304" customWidth="1"/>
    <col min="12965" max="12965" width="1.140625" style="304" customWidth="1"/>
    <col min="12966" max="12967" width="2" style="304" customWidth="1"/>
    <col min="12968" max="12969" width="2.140625" style="304" customWidth="1"/>
    <col min="12970" max="12970" width="1.7109375" style="304" customWidth="1"/>
    <col min="12971" max="12971" width="0.85546875" style="304" customWidth="1"/>
    <col min="12972" max="12972" width="2" style="304" customWidth="1"/>
    <col min="12973" max="12973" width="2.140625" style="304" customWidth="1"/>
    <col min="12974" max="13218" width="11.42578125" style="304"/>
    <col min="13219" max="13219" width="2.28515625" style="304" customWidth="1"/>
    <col min="13220" max="13220" width="2.140625" style="304" customWidth="1"/>
    <col min="13221" max="13221" width="1.140625" style="304" customWidth="1"/>
    <col min="13222" max="13223" width="2" style="304" customWidth="1"/>
    <col min="13224" max="13225" width="2.140625" style="304" customWidth="1"/>
    <col min="13226" max="13226" width="1.7109375" style="304" customWidth="1"/>
    <col min="13227" max="13227" width="0.85546875" style="304" customWidth="1"/>
    <col min="13228" max="13228" width="2" style="304" customWidth="1"/>
    <col min="13229" max="13229" width="2.140625" style="304" customWidth="1"/>
    <col min="13230" max="13474" width="11.42578125" style="304"/>
    <col min="13475" max="13475" width="2.28515625" style="304" customWidth="1"/>
    <col min="13476" max="13476" width="2.140625" style="304" customWidth="1"/>
    <col min="13477" max="13477" width="1.140625" style="304" customWidth="1"/>
    <col min="13478" max="13479" width="2" style="304" customWidth="1"/>
    <col min="13480" max="13481" width="2.140625" style="304" customWidth="1"/>
    <col min="13482" max="13482" width="1.7109375" style="304" customWidth="1"/>
    <col min="13483" max="13483" width="0.85546875" style="304" customWidth="1"/>
    <col min="13484" max="13484" width="2" style="304" customWidth="1"/>
    <col min="13485" max="13485" width="2.140625" style="304" customWidth="1"/>
    <col min="13486" max="13730" width="11.42578125" style="304"/>
    <col min="13731" max="13731" width="2.28515625" style="304" customWidth="1"/>
    <col min="13732" max="13732" width="2.140625" style="304" customWidth="1"/>
    <col min="13733" max="13733" width="1.140625" style="304" customWidth="1"/>
    <col min="13734" max="13735" width="2" style="304" customWidth="1"/>
    <col min="13736" max="13737" width="2.140625" style="304" customWidth="1"/>
    <col min="13738" max="13738" width="1.7109375" style="304" customWidth="1"/>
    <col min="13739" max="13739" width="0.85546875" style="304" customWidth="1"/>
    <col min="13740" max="13740" width="2" style="304" customWidth="1"/>
    <col min="13741" max="13741" width="2.140625" style="304" customWidth="1"/>
    <col min="13742" max="13986" width="11.42578125" style="304"/>
    <col min="13987" max="13987" width="2.28515625" style="304" customWidth="1"/>
    <col min="13988" max="13988" width="2.140625" style="304" customWidth="1"/>
    <col min="13989" max="13989" width="1.140625" style="304" customWidth="1"/>
    <col min="13990" max="13991" width="2" style="304" customWidth="1"/>
    <col min="13992" max="13993" width="2.140625" style="304" customWidth="1"/>
    <col min="13994" max="13994" width="1.7109375" style="304" customWidth="1"/>
    <col min="13995" max="13995" width="0.85546875" style="304" customWidth="1"/>
    <col min="13996" max="13996" width="2" style="304" customWidth="1"/>
    <col min="13997" max="13997" width="2.140625" style="304" customWidth="1"/>
    <col min="13998" max="14242" width="11.42578125" style="304"/>
    <col min="14243" max="14243" width="2.28515625" style="304" customWidth="1"/>
    <col min="14244" max="14244" width="2.140625" style="304" customWidth="1"/>
    <col min="14245" max="14245" width="1.140625" style="304" customWidth="1"/>
    <col min="14246" max="14247" width="2" style="304" customWidth="1"/>
    <col min="14248" max="14249" width="2.140625" style="304" customWidth="1"/>
    <col min="14250" max="14250" width="1.7109375" style="304" customWidth="1"/>
    <col min="14251" max="14251" width="0.85546875" style="304" customWidth="1"/>
    <col min="14252" max="14252" width="2" style="304" customWidth="1"/>
    <col min="14253" max="14253" width="2.140625" style="304" customWidth="1"/>
    <col min="14254" max="14498" width="11.42578125" style="304"/>
    <col min="14499" max="14499" width="2.28515625" style="304" customWidth="1"/>
    <col min="14500" max="14500" width="2.140625" style="304" customWidth="1"/>
    <col min="14501" max="14501" width="1.140625" style="304" customWidth="1"/>
    <col min="14502" max="14503" width="2" style="304" customWidth="1"/>
    <col min="14504" max="14505" width="2.140625" style="304" customWidth="1"/>
    <col min="14506" max="14506" width="1.7109375" style="304" customWidth="1"/>
    <col min="14507" max="14507" width="0.85546875" style="304" customWidth="1"/>
    <col min="14508" max="14508" width="2" style="304" customWidth="1"/>
    <col min="14509" max="14509" width="2.140625" style="304" customWidth="1"/>
    <col min="14510" max="14754" width="11.42578125" style="304"/>
    <col min="14755" max="14755" width="2.28515625" style="304" customWidth="1"/>
    <col min="14756" max="14756" width="2.140625" style="304" customWidth="1"/>
    <col min="14757" max="14757" width="1.140625" style="304" customWidth="1"/>
    <col min="14758" max="14759" width="2" style="304" customWidth="1"/>
    <col min="14760" max="14761" width="2.140625" style="304" customWidth="1"/>
    <col min="14762" max="14762" width="1.7109375" style="304" customWidth="1"/>
    <col min="14763" max="14763" width="0.85546875" style="304" customWidth="1"/>
    <col min="14764" max="14764" width="2" style="304" customWidth="1"/>
    <col min="14765" max="14765" width="2.140625" style="304" customWidth="1"/>
    <col min="14766" max="15010" width="11.42578125" style="304"/>
    <col min="15011" max="15011" width="2.28515625" style="304" customWidth="1"/>
    <col min="15012" max="15012" width="2.140625" style="304" customWidth="1"/>
    <col min="15013" max="15013" width="1.140625" style="304" customWidth="1"/>
    <col min="15014" max="15015" width="2" style="304" customWidth="1"/>
    <col min="15016" max="15017" width="2.140625" style="304" customWidth="1"/>
    <col min="15018" max="15018" width="1.7109375" style="304" customWidth="1"/>
    <col min="15019" max="15019" width="0.85546875" style="304" customWidth="1"/>
    <col min="15020" max="15020" width="2" style="304" customWidth="1"/>
    <col min="15021" max="15021" width="2.140625" style="304" customWidth="1"/>
    <col min="15022" max="15266" width="11.42578125" style="304"/>
    <col min="15267" max="15267" width="2.28515625" style="304" customWidth="1"/>
    <col min="15268" max="15268" width="2.140625" style="304" customWidth="1"/>
    <col min="15269" max="15269" width="1.140625" style="304" customWidth="1"/>
    <col min="15270" max="15271" width="2" style="304" customWidth="1"/>
    <col min="15272" max="15273" width="2.140625" style="304" customWidth="1"/>
    <col min="15274" max="15274" width="1.7109375" style="304" customWidth="1"/>
    <col min="15275" max="15275" width="0.85546875" style="304" customWidth="1"/>
    <col min="15276" max="15276" width="2" style="304" customWidth="1"/>
    <col min="15277" max="15277" width="2.140625" style="304" customWidth="1"/>
    <col min="15278" max="15522" width="11.42578125" style="304"/>
    <col min="15523" max="15523" width="2.28515625" style="304" customWidth="1"/>
    <col min="15524" max="15524" width="2.140625" style="304" customWidth="1"/>
    <col min="15525" max="15525" width="1.140625" style="304" customWidth="1"/>
    <col min="15526" max="15527" width="2" style="304" customWidth="1"/>
    <col min="15528" max="15529" width="2.140625" style="304" customWidth="1"/>
    <col min="15530" max="15530" width="1.7109375" style="304" customWidth="1"/>
    <col min="15531" max="15531" width="0.85546875" style="304" customWidth="1"/>
    <col min="15532" max="15532" width="2" style="304" customWidth="1"/>
    <col min="15533" max="15533" width="2.140625" style="304" customWidth="1"/>
    <col min="15534" max="15778" width="11.42578125" style="304"/>
    <col min="15779" max="15779" width="2.28515625" style="304" customWidth="1"/>
    <col min="15780" max="15780" width="2.140625" style="304" customWidth="1"/>
    <col min="15781" max="15781" width="1.140625" style="304" customWidth="1"/>
    <col min="15782" max="15783" width="2" style="304" customWidth="1"/>
    <col min="15784" max="15785" width="2.140625" style="304" customWidth="1"/>
    <col min="15786" max="15786" width="1.7109375" style="304" customWidth="1"/>
    <col min="15787" max="15787" width="0.85546875" style="304" customWidth="1"/>
    <col min="15788" max="15788" width="2" style="304" customWidth="1"/>
    <col min="15789" max="15789" width="2.140625" style="304" customWidth="1"/>
    <col min="15790" max="16034" width="11.42578125" style="304"/>
    <col min="16035" max="16035" width="2.28515625" style="304" customWidth="1"/>
    <col min="16036" max="16036" width="2.140625" style="304" customWidth="1"/>
    <col min="16037" max="16037" width="1.140625" style="304" customWidth="1"/>
    <col min="16038" max="16039" width="2" style="304" customWidth="1"/>
    <col min="16040" max="16041" width="2.140625" style="304" customWidth="1"/>
    <col min="16042" max="16042" width="1.7109375" style="304" customWidth="1"/>
    <col min="16043" max="16043" width="0.85546875" style="304" customWidth="1"/>
    <col min="16044" max="16044" width="2" style="304" customWidth="1"/>
    <col min="16045" max="16045" width="2.140625" style="304" customWidth="1"/>
    <col min="16046" max="16384" width="11.42578125" style="304"/>
  </cols>
  <sheetData>
    <row r="1" spans="2:13" ht="8.25" customHeight="1"/>
    <row r="2" spans="2:13" ht="57.75" customHeight="1" thickBot="1"/>
    <row r="3" spans="2:13" s="386" customFormat="1" ht="16.5" thickBot="1">
      <c r="B3" s="384"/>
      <c r="C3" s="385"/>
      <c r="D3" s="748" t="s">
        <v>626</v>
      </c>
      <c r="E3" s="749"/>
      <c r="F3" s="384"/>
      <c r="G3" s="750" t="s">
        <v>648</v>
      </c>
      <c r="H3" s="751"/>
      <c r="I3" s="751"/>
      <c r="J3" s="751"/>
      <c r="K3" s="751"/>
      <c r="L3" s="752"/>
      <c r="M3" s="414"/>
    </row>
    <row r="4" spans="2:13" s="356" customFormat="1" ht="43.5" customHeight="1" thickBot="1">
      <c r="B4" s="387" t="s">
        <v>7</v>
      </c>
      <c r="C4" s="388" t="s">
        <v>634</v>
      </c>
      <c r="D4" s="389" t="s">
        <v>15</v>
      </c>
      <c r="E4" s="390" t="s">
        <v>627</v>
      </c>
      <c r="F4" s="589" t="s">
        <v>16</v>
      </c>
      <c r="G4" s="591" t="s">
        <v>658</v>
      </c>
      <c r="H4" s="391" t="s">
        <v>628</v>
      </c>
      <c r="I4" s="391" t="s">
        <v>659</v>
      </c>
      <c r="J4" s="390" t="s">
        <v>629</v>
      </c>
      <c r="K4" s="391" t="s">
        <v>630</v>
      </c>
      <c r="L4" s="391" t="s">
        <v>631</v>
      </c>
      <c r="M4" s="590" t="s">
        <v>632</v>
      </c>
    </row>
    <row r="5" spans="2:13" s="398" customFormat="1" ht="15.95" customHeight="1">
      <c r="B5" s="392" t="s">
        <v>151</v>
      </c>
      <c r="C5" s="393">
        <f>+VLOOKUP($B5,RESUMEN!$A$15:$H$52,2,FALSE)</f>
        <v>14</v>
      </c>
      <c r="D5" s="393">
        <f>+VLOOKUP($B5,RESUMEN!$A$15:$H$52,3,FALSE)</f>
        <v>39160210367</v>
      </c>
      <c r="E5" s="394">
        <f>D5/D$13</f>
        <v>0.40719413445442293</v>
      </c>
      <c r="F5" s="582">
        <f>+VLOOKUP($B5,RESUMEN!$A$15:$H$52,4,FALSE)</f>
        <v>14004908464</v>
      </c>
      <c r="G5" s="592">
        <f>+VLOOKUP($B5,RESUMEN!$A$15:$H$52,5,FALSE)</f>
        <v>4256079174.3333302</v>
      </c>
      <c r="H5" s="585">
        <f t="shared" ref="H5:H12" si="0">G5/G$13</f>
        <v>0.27147533116725109</v>
      </c>
      <c r="I5" s="584">
        <f>+VLOOKUP($B5,RESUMEN!$A$15:$H$52,6,FALSE)</f>
        <v>1002676489</v>
      </c>
      <c r="J5" s="586">
        <f t="shared" ref="J5:J12" si="1">+G5-I5</f>
        <v>3253402685.3333302</v>
      </c>
      <c r="K5" s="584">
        <f>+VLOOKUP($B5,RESUMEN!$A$15:$H$52,7,FALSE)</f>
        <v>3253402685.3333302</v>
      </c>
      <c r="L5" s="594">
        <f>I5/G5</f>
        <v>0.23558689768901178</v>
      </c>
      <c r="M5" s="583">
        <f>+VLOOKUP($B5,RESUMEN!$A$15:$H$52,8,FALSE)</f>
        <v>20899222728.666672</v>
      </c>
    </row>
    <row r="6" spans="2:13" s="398" customFormat="1" ht="15.95" customHeight="1">
      <c r="B6" s="399" t="s">
        <v>38</v>
      </c>
      <c r="C6" s="393">
        <f>+VLOOKUP($B6,RESUMEN!$A$15:$H$52,2,FALSE)</f>
        <v>13</v>
      </c>
      <c r="D6" s="393">
        <f>+VLOOKUP($B6,RESUMEN!$A$15:$H$52,3,FALSE)</f>
        <v>28918469000</v>
      </c>
      <c r="E6" s="400">
        <f t="shared" ref="E6:E12" si="2">D6/D$13</f>
        <v>0.30069886866913065</v>
      </c>
      <c r="F6" s="582">
        <f>+VLOOKUP($B6,RESUMEN!$A$15:$H$52,4,FALSE)</f>
        <v>9800562401</v>
      </c>
      <c r="G6" s="593">
        <f>+VLOOKUP($B6,RESUMEN!$A$15:$H$52,5,FALSE)</f>
        <v>5889864144.666667</v>
      </c>
      <c r="H6" s="588">
        <f t="shared" si="0"/>
        <v>0.37568681260586756</v>
      </c>
      <c r="I6" s="587">
        <f>+VLOOKUP($B6,RESUMEN!$A$15:$H$52,6,FALSE)</f>
        <v>1300000</v>
      </c>
      <c r="J6" s="402">
        <f t="shared" si="1"/>
        <v>5888564144.666667</v>
      </c>
      <c r="K6" s="587">
        <f>+VLOOKUP($B6,RESUMEN!$A$15:$H$52,7,FALSE)</f>
        <v>5888564144.666667</v>
      </c>
      <c r="L6" s="595">
        <f t="shared" ref="L6:L12" si="3">I6/G6</f>
        <v>2.2071816396260403E-4</v>
      </c>
      <c r="M6" s="583">
        <f>+VLOOKUP($B6,RESUMEN!$A$15:$H$52,8,FALSE)</f>
        <v>13228042454.333332</v>
      </c>
    </row>
    <row r="7" spans="2:13" s="398" customFormat="1" ht="15.95" customHeight="1">
      <c r="B7" s="399" t="s">
        <v>86</v>
      </c>
      <c r="C7" s="393">
        <f>+VLOOKUP($B7,RESUMEN!$A$15:$H$52,2,FALSE)</f>
        <v>5</v>
      </c>
      <c r="D7" s="393">
        <f>+VLOOKUP($B7,RESUMEN!$A$15:$H$52,3,FALSE)</f>
        <v>2233130764</v>
      </c>
      <c r="E7" s="400">
        <f t="shared" si="2"/>
        <v>2.3220451066238375E-2</v>
      </c>
      <c r="F7" s="582">
        <f>+VLOOKUP($B7,RESUMEN!$A$15:$H$52,4,FALSE)</f>
        <v>1072531447</v>
      </c>
      <c r="G7" s="593">
        <f>+VLOOKUP($B7,RESUMEN!$A$15:$H$52,5,FALSE)</f>
        <v>949451106</v>
      </c>
      <c r="H7" s="588">
        <f t="shared" si="0"/>
        <v>6.0561033493658399E-2</v>
      </c>
      <c r="I7" s="587">
        <f>+VLOOKUP($B7,RESUMEN!$A$15:$H$52,6,FALSE)</f>
        <v>330943961</v>
      </c>
      <c r="J7" s="402">
        <f t="shared" si="1"/>
        <v>618507145</v>
      </c>
      <c r="K7" s="587">
        <f>+VLOOKUP($B7,RESUMEN!$A$15:$H$52,7,FALSE)</f>
        <v>618507145</v>
      </c>
      <c r="L7" s="595">
        <f t="shared" si="3"/>
        <v>0.34856345830619317</v>
      </c>
      <c r="M7" s="583">
        <f>+VLOOKUP($B7,RESUMEN!$A$15:$H$52,8,FALSE)</f>
        <v>211148211</v>
      </c>
    </row>
    <row r="8" spans="2:13" s="398" customFormat="1" ht="15.95" customHeight="1">
      <c r="B8" s="399" t="s">
        <v>96</v>
      </c>
      <c r="C8" s="393">
        <f>+VLOOKUP($B8,RESUMEN!$A$15:$H$52,2,FALSE)</f>
        <v>14</v>
      </c>
      <c r="D8" s="393">
        <f>+VLOOKUP($B8,RESUMEN!$A$15:$H$52,3,FALSE)</f>
        <v>8486039432</v>
      </c>
      <c r="E8" s="400">
        <f t="shared" si="2"/>
        <v>8.8239196088978011E-2</v>
      </c>
      <c r="F8" s="582">
        <f>+VLOOKUP($B8,RESUMEN!$A$15:$H$52,4,FALSE)</f>
        <v>1428139679</v>
      </c>
      <c r="G8" s="593">
        <f>+VLOOKUP($B8,RESUMEN!$A$15:$H$52,5,FALSE)</f>
        <v>1298845237.6666665</v>
      </c>
      <c r="H8" s="588">
        <f t="shared" si="0"/>
        <v>8.2847246629474874E-2</v>
      </c>
      <c r="I8" s="587">
        <f>+VLOOKUP($B8,RESUMEN!$A$15:$H$52,6,FALSE)</f>
        <v>25212039</v>
      </c>
      <c r="J8" s="402">
        <f t="shared" si="1"/>
        <v>1273633198.6666665</v>
      </c>
      <c r="K8" s="587">
        <f>+VLOOKUP($B8,RESUMEN!$A$15:$H$52,7,FALSE)</f>
        <v>1273633198.6666665</v>
      </c>
      <c r="L8" s="595">
        <f t="shared" si="3"/>
        <v>1.9411118637423359E-2</v>
      </c>
      <c r="M8" s="583">
        <f>+VLOOKUP($B8,RESUMEN!$A$15:$H$52,8,FALSE)</f>
        <v>5759054515.333333</v>
      </c>
    </row>
    <row r="9" spans="2:13" s="398" customFormat="1" ht="15.95" customHeight="1">
      <c r="B9" s="404" t="s">
        <v>113</v>
      </c>
      <c r="C9" s="393">
        <f>+VLOOKUP($B9,RESUMEN!$A$15:$H$52,2,FALSE)</f>
        <v>7</v>
      </c>
      <c r="D9" s="393">
        <f>+VLOOKUP($B9,RESUMEN!$A$15:$H$52,3,FALSE)</f>
        <v>4434676930</v>
      </c>
      <c r="E9" s="400">
        <f t="shared" si="2"/>
        <v>4.6112480427787983E-2</v>
      </c>
      <c r="F9" s="582">
        <f>+VLOOKUP($B9,RESUMEN!$A$15:$H$52,4,FALSE)</f>
        <v>3093489670</v>
      </c>
      <c r="G9" s="593">
        <f>+VLOOKUP($B9,RESUMEN!$A$15:$H$52,5,FALSE)</f>
        <v>564666839</v>
      </c>
      <c r="H9" s="588">
        <f t="shared" si="0"/>
        <v>3.6017449590961051E-2</v>
      </c>
      <c r="I9" s="587">
        <f>+VLOOKUP($B9,RESUMEN!$A$15:$H$52,6,FALSE)</f>
        <v>0</v>
      </c>
      <c r="J9" s="402">
        <f t="shared" si="1"/>
        <v>564666839</v>
      </c>
      <c r="K9" s="587">
        <f>+VLOOKUP($B9,RESUMEN!$A$15:$H$52,7,FALSE)</f>
        <v>564666839</v>
      </c>
      <c r="L9" s="595">
        <f t="shared" si="3"/>
        <v>0</v>
      </c>
      <c r="M9" s="583">
        <f>+VLOOKUP($B9,RESUMEN!$A$15:$H$52,8,FALSE)</f>
        <v>776520421</v>
      </c>
    </row>
    <row r="10" spans="2:13" s="398" customFormat="1" ht="15.95" customHeight="1">
      <c r="B10" s="404" t="s">
        <v>125</v>
      </c>
      <c r="C10" s="393">
        <f>+VLOOKUP($B10,RESUMEN!$A$15:$H$52,2,FALSE)</f>
        <v>8</v>
      </c>
      <c r="D10" s="393">
        <f>+VLOOKUP($B10,RESUMEN!$A$15:$H$52,3,FALSE)</f>
        <v>2173451169</v>
      </c>
      <c r="E10" s="400">
        <f t="shared" si="2"/>
        <v>2.2599893086521956E-2</v>
      </c>
      <c r="F10" s="582">
        <f>+VLOOKUP($B10,RESUMEN!$A$15:$H$52,4,FALSE)</f>
        <v>1180324687</v>
      </c>
      <c r="G10" s="593">
        <f>+VLOOKUP($B10,RESUMEN!$A$15:$H$52,5,FALSE)</f>
        <v>440904734</v>
      </c>
      <c r="H10" s="588">
        <f t="shared" si="0"/>
        <v>2.812324530936567E-2</v>
      </c>
      <c r="I10" s="587">
        <f>+VLOOKUP($B10,RESUMEN!$A$15:$H$52,6,FALSE)</f>
        <v>61942026</v>
      </c>
      <c r="J10" s="402">
        <f t="shared" si="1"/>
        <v>378962708</v>
      </c>
      <c r="K10" s="587">
        <f>+VLOOKUP($B10,RESUMEN!$A$15:$H$52,7,FALSE)</f>
        <v>378962708</v>
      </c>
      <c r="L10" s="595">
        <f t="shared" si="3"/>
        <v>0.1404884575360445</v>
      </c>
      <c r="M10" s="583">
        <f>+VLOOKUP($B10,RESUMEN!$A$15:$H$52,8,FALSE)</f>
        <v>552221748</v>
      </c>
    </row>
    <row r="11" spans="2:13" s="398" customFormat="1" ht="15.95" customHeight="1">
      <c r="B11" s="404" t="s">
        <v>139</v>
      </c>
      <c r="C11" s="393">
        <f>+VLOOKUP($B11,RESUMEN!$A$15:$H$52,2,FALSE)</f>
        <v>4</v>
      </c>
      <c r="D11" s="393">
        <f>+VLOOKUP($B11,RESUMEN!$A$15:$H$52,3,FALSE)</f>
        <v>7125410000</v>
      </c>
      <c r="E11" s="400">
        <f t="shared" si="2"/>
        <v>7.4091153504831461E-2</v>
      </c>
      <c r="F11" s="582">
        <f>+VLOOKUP($B11,RESUMEN!$A$15:$H$52,4,FALSE)</f>
        <v>3231549001</v>
      </c>
      <c r="G11" s="593">
        <f>+VLOOKUP($B11,RESUMEN!$A$15:$H$52,5,FALSE)</f>
        <v>1243126699</v>
      </c>
      <c r="H11" s="588">
        <f t="shared" si="0"/>
        <v>7.9293222346301637E-2</v>
      </c>
      <c r="I11" s="587">
        <f>+VLOOKUP($B11,RESUMEN!$A$15:$H$52,6,FALSE)</f>
        <v>15666931</v>
      </c>
      <c r="J11" s="402">
        <f t="shared" si="1"/>
        <v>1227459768</v>
      </c>
      <c r="K11" s="587">
        <f>+VLOOKUP($B11,RESUMEN!$A$15:$H$52,7,FALSE)</f>
        <v>1227459768</v>
      </c>
      <c r="L11" s="595">
        <f t="shared" si="3"/>
        <v>1.2602843308411639E-2</v>
      </c>
      <c r="M11" s="583">
        <f>+VLOOKUP($B11,RESUMEN!$A$15:$H$52,8,FALSE)</f>
        <v>2650734300</v>
      </c>
    </row>
    <row r="12" spans="2:13" s="398" customFormat="1" ht="15.95" customHeight="1">
      <c r="B12" s="404" t="s">
        <v>145</v>
      </c>
      <c r="C12" s="393">
        <f>+VLOOKUP($B12,RESUMEN!$A$15:$H$52,2,FALSE)</f>
        <v>3</v>
      </c>
      <c r="D12" s="393">
        <f>+VLOOKUP($B12,RESUMEN!$A$15:$H$52,3,FALSE)</f>
        <v>3639473000</v>
      </c>
      <c r="E12" s="400">
        <f t="shared" si="2"/>
        <v>3.784382270208865E-2</v>
      </c>
      <c r="F12" s="582">
        <f>+VLOOKUP($B12,RESUMEN!$A$15:$H$52,4,FALSE)</f>
        <v>11729500</v>
      </c>
      <c r="G12" s="593">
        <f>+VLOOKUP($B12,RESUMEN!$A$15:$H$52,5,FALSE)</f>
        <v>1034652939</v>
      </c>
      <c r="H12" s="588">
        <f t="shared" si="0"/>
        <v>6.5995658857119818E-2</v>
      </c>
      <c r="I12" s="587">
        <f>+VLOOKUP($B12,RESUMEN!$A$15:$H$52,6,FALSE)</f>
        <v>360338867</v>
      </c>
      <c r="J12" s="402">
        <f t="shared" si="1"/>
        <v>674314072</v>
      </c>
      <c r="K12" s="587">
        <f>+VLOOKUP($B12,RESUMEN!$A$15:$H$52,7,FALSE)</f>
        <v>674314072</v>
      </c>
      <c r="L12" s="595">
        <f t="shared" si="3"/>
        <v>0.34827027829087331</v>
      </c>
      <c r="M12" s="583">
        <f>+VLOOKUP($B12,RESUMEN!$A$15:$H$52,8,FALSE)</f>
        <v>2593090561</v>
      </c>
    </row>
    <row r="13" spans="2:13" ht="15.75" thickBot="1">
      <c r="B13" s="405" t="s">
        <v>633</v>
      </c>
      <c r="C13" s="406">
        <f>SUM(C5:C12)</f>
        <v>68</v>
      </c>
      <c r="D13" s="407">
        <f>SUM(D5:D12)</f>
        <v>96170860662</v>
      </c>
      <c r="E13" s="573">
        <f>SUM(E5:E12)</f>
        <v>1</v>
      </c>
      <c r="F13" s="408">
        <f t="shared" ref="F13:K13" si="4">SUM(F5:F12)</f>
        <v>33823234849</v>
      </c>
      <c r="G13" s="407">
        <f t="shared" si="4"/>
        <v>15677590873.666662</v>
      </c>
      <c r="H13" s="409">
        <f t="shared" si="4"/>
        <v>1.0000000000000002</v>
      </c>
      <c r="I13" s="410">
        <f t="shared" si="4"/>
        <v>1798080313</v>
      </c>
      <c r="J13" s="410">
        <f t="shared" si="4"/>
        <v>13879510560.666662</v>
      </c>
      <c r="K13" s="411">
        <f t="shared" si="4"/>
        <v>13879510560.666662</v>
      </c>
      <c r="L13" s="412">
        <f>I13/G13</f>
        <v>0.1146911108657772</v>
      </c>
      <c r="M13" s="413">
        <f>SUM(M5:M12)</f>
        <v>46670034939.333336</v>
      </c>
    </row>
    <row r="14" spans="2:13" ht="18">
      <c r="B14" s="305"/>
      <c r="C14" s="306"/>
      <c r="D14" s="382"/>
      <c r="E14" s="382"/>
      <c r="F14" s="382"/>
      <c r="G14" s="382"/>
      <c r="H14" s="305"/>
      <c r="I14" s="382"/>
      <c r="J14" s="382"/>
      <c r="K14" s="382"/>
      <c r="L14" s="382"/>
      <c r="M14" s="310"/>
    </row>
    <row r="17" ht="66.75" customHeight="1"/>
    <row r="21" ht="46.5" customHeight="1"/>
    <row r="26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8"/>
  <sheetViews>
    <sheetView view="pageBreakPreview" zoomScale="90" zoomScaleNormal="100" zoomScaleSheetLayoutView="90" workbookViewId="0">
      <selection activeCell="M3" sqref="M3"/>
    </sheetView>
  </sheetViews>
  <sheetFormatPr baseColWidth="10" defaultColWidth="11.42578125" defaultRowHeight="15"/>
  <cols>
    <col min="1" max="1" width="6.7109375" style="304" customWidth="1"/>
    <col min="2" max="2" width="16.7109375" style="304" customWidth="1"/>
    <col min="3" max="3" width="12.140625" style="383" customWidth="1"/>
    <col min="4" max="4" width="15.7109375" style="304" bestFit="1" customWidth="1"/>
    <col min="5" max="5" width="10.42578125" style="304" customWidth="1"/>
    <col min="6" max="6" width="15.7109375" style="304" customWidth="1"/>
    <col min="7" max="7" width="14.7109375" style="304" customWidth="1"/>
    <col min="8" max="8" width="14.140625" style="304" customWidth="1"/>
    <col min="9" max="9" width="17.140625" style="304" bestFit="1" customWidth="1"/>
    <col min="10" max="10" width="15" style="304" hidden="1" customWidth="1"/>
    <col min="11" max="11" width="14.5703125" style="304" bestFit="1" customWidth="1"/>
    <col min="12" max="12" width="11.28515625" style="304" customWidth="1"/>
    <col min="13" max="13" width="14.7109375" style="304" customWidth="1"/>
    <col min="14" max="14" width="6.7109375" style="304" customWidth="1"/>
    <col min="15" max="161" width="11.42578125" style="304"/>
    <col min="162" max="162" width="2.28515625" style="304" customWidth="1"/>
    <col min="163" max="163" width="2.140625" style="304" customWidth="1"/>
    <col min="164" max="164" width="1.140625" style="304" customWidth="1"/>
    <col min="165" max="166" width="2" style="304" customWidth="1"/>
    <col min="167" max="168" width="2.140625" style="304" customWidth="1"/>
    <col min="169" max="169" width="1.7109375" style="304" customWidth="1"/>
    <col min="170" max="170" width="0.85546875" style="304" customWidth="1"/>
    <col min="171" max="171" width="2" style="304" customWidth="1"/>
    <col min="172" max="172" width="2.140625" style="304" customWidth="1"/>
    <col min="173" max="417" width="11.42578125" style="304"/>
    <col min="418" max="418" width="2.28515625" style="304" customWidth="1"/>
    <col min="419" max="419" width="2.140625" style="304" customWidth="1"/>
    <col min="420" max="420" width="1.140625" style="304" customWidth="1"/>
    <col min="421" max="422" width="2" style="304" customWidth="1"/>
    <col min="423" max="424" width="2.140625" style="304" customWidth="1"/>
    <col min="425" max="425" width="1.7109375" style="304" customWidth="1"/>
    <col min="426" max="426" width="0.85546875" style="304" customWidth="1"/>
    <col min="427" max="427" width="2" style="304" customWidth="1"/>
    <col min="428" max="428" width="2.140625" style="304" customWidth="1"/>
    <col min="429" max="673" width="11.42578125" style="304"/>
    <col min="674" max="674" width="2.28515625" style="304" customWidth="1"/>
    <col min="675" max="675" width="2.140625" style="304" customWidth="1"/>
    <col min="676" max="676" width="1.140625" style="304" customWidth="1"/>
    <col min="677" max="678" width="2" style="304" customWidth="1"/>
    <col min="679" max="680" width="2.140625" style="304" customWidth="1"/>
    <col min="681" max="681" width="1.7109375" style="304" customWidth="1"/>
    <col min="682" max="682" width="0.85546875" style="304" customWidth="1"/>
    <col min="683" max="683" width="2" style="304" customWidth="1"/>
    <col min="684" max="684" width="2.140625" style="304" customWidth="1"/>
    <col min="685" max="929" width="11.42578125" style="304"/>
    <col min="930" max="930" width="2.28515625" style="304" customWidth="1"/>
    <col min="931" max="931" width="2.140625" style="304" customWidth="1"/>
    <col min="932" max="932" width="1.140625" style="304" customWidth="1"/>
    <col min="933" max="934" width="2" style="304" customWidth="1"/>
    <col min="935" max="936" width="2.140625" style="304" customWidth="1"/>
    <col min="937" max="937" width="1.7109375" style="304" customWidth="1"/>
    <col min="938" max="938" width="0.85546875" style="304" customWidth="1"/>
    <col min="939" max="939" width="2" style="304" customWidth="1"/>
    <col min="940" max="940" width="2.140625" style="304" customWidth="1"/>
    <col min="941" max="1185" width="11.42578125" style="304"/>
    <col min="1186" max="1186" width="2.28515625" style="304" customWidth="1"/>
    <col min="1187" max="1187" width="2.140625" style="304" customWidth="1"/>
    <col min="1188" max="1188" width="1.140625" style="304" customWidth="1"/>
    <col min="1189" max="1190" width="2" style="304" customWidth="1"/>
    <col min="1191" max="1192" width="2.140625" style="304" customWidth="1"/>
    <col min="1193" max="1193" width="1.7109375" style="304" customWidth="1"/>
    <col min="1194" max="1194" width="0.85546875" style="304" customWidth="1"/>
    <col min="1195" max="1195" width="2" style="304" customWidth="1"/>
    <col min="1196" max="1196" width="2.140625" style="304" customWidth="1"/>
    <col min="1197" max="1441" width="11.42578125" style="304"/>
    <col min="1442" max="1442" width="2.28515625" style="304" customWidth="1"/>
    <col min="1443" max="1443" width="2.140625" style="304" customWidth="1"/>
    <col min="1444" max="1444" width="1.140625" style="304" customWidth="1"/>
    <col min="1445" max="1446" width="2" style="304" customWidth="1"/>
    <col min="1447" max="1448" width="2.140625" style="304" customWidth="1"/>
    <col min="1449" max="1449" width="1.7109375" style="304" customWidth="1"/>
    <col min="1450" max="1450" width="0.85546875" style="304" customWidth="1"/>
    <col min="1451" max="1451" width="2" style="304" customWidth="1"/>
    <col min="1452" max="1452" width="2.140625" style="304" customWidth="1"/>
    <col min="1453" max="1697" width="11.42578125" style="304"/>
    <col min="1698" max="1698" width="2.28515625" style="304" customWidth="1"/>
    <col min="1699" max="1699" width="2.140625" style="304" customWidth="1"/>
    <col min="1700" max="1700" width="1.140625" style="304" customWidth="1"/>
    <col min="1701" max="1702" width="2" style="304" customWidth="1"/>
    <col min="1703" max="1704" width="2.140625" style="304" customWidth="1"/>
    <col min="1705" max="1705" width="1.7109375" style="304" customWidth="1"/>
    <col min="1706" max="1706" width="0.85546875" style="304" customWidth="1"/>
    <col min="1707" max="1707" width="2" style="304" customWidth="1"/>
    <col min="1708" max="1708" width="2.140625" style="304" customWidth="1"/>
    <col min="1709" max="1953" width="11.42578125" style="304"/>
    <col min="1954" max="1954" width="2.28515625" style="304" customWidth="1"/>
    <col min="1955" max="1955" width="2.140625" style="304" customWidth="1"/>
    <col min="1956" max="1956" width="1.140625" style="304" customWidth="1"/>
    <col min="1957" max="1958" width="2" style="304" customWidth="1"/>
    <col min="1959" max="1960" width="2.140625" style="304" customWidth="1"/>
    <col min="1961" max="1961" width="1.7109375" style="304" customWidth="1"/>
    <col min="1962" max="1962" width="0.85546875" style="304" customWidth="1"/>
    <col min="1963" max="1963" width="2" style="304" customWidth="1"/>
    <col min="1964" max="1964" width="2.140625" style="304" customWidth="1"/>
    <col min="1965" max="2209" width="11.42578125" style="304"/>
    <col min="2210" max="2210" width="2.28515625" style="304" customWidth="1"/>
    <col min="2211" max="2211" width="2.140625" style="304" customWidth="1"/>
    <col min="2212" max="2212" width="1.140625" style="304" customWidth="1"/>
    <col min="2213" max="2214" width="2" style="304" customWidth="1"/>
    <col min="2215" max="2216" width="2.140625" style="304" customWidth="1"/>
    <col min="2217" max="2217" width="1.7109375" style="304" customWidth="1"/>
    <col min="2218" max="2218" width="0.85546875" style="304" customWidth="1"/>
    <col min="2219" max="2219" width="2" style="304" customWidth="1"/>
    <col min="2220" max="2220" width="2.140625" style="304" customWidth="1"/>
    <col min="2221" max="2465" width="11.42578125" style="304"/>
    <col min="2466" max="2466" width="2.28515625" style="304" customWidth="1"/>
    <col min="2467" max="2467" width="2.140625" style="304" customWidth="1"/>
    <col min="2468" max="2468" width="1.140625" style="304" customWidth="1"/>
    <col min="2469" max="2470" width="2" style="304" customWidth="1"/>
    <col min="2471" max="2472" width="2.140625" style="304" customWidth="1"/>
    <col min="2473" max="2473" width="1.7109375" style="304" customWidth="1"/>
    <col min="2474" max="2474" width="0.85546875" style="304" customWidth="1"/>
    <col min="2475" max="2475" width="2" style="304" customWidth="1"/>
    <col min="2476" max="2476" width="2.140625" style="304" customWidth="1"/>
    <col min="2477" max="2721" width="11.42578125" style="304"/>
    <col min="2722" max="2722" width="2.28515625" style="304" customWidth="1"/>
    <col min="2723" max="2723" width="2.140625" style="304" customWidth="1"/>
    <col min="2724" max="2724" width="1.140625" style="304" customWidth="1"/>
    <col min="2725" max="2726" width="2" style="304" customWidth="1"/>
    <col min="2727" max="2728" width="2.140625" style="304" customWidth="1"/>
    <col min="2729" max="2729" width="1.7109375" style="304" customWidth="1"/>
    <col min="2730" max="2730" width="0.85546875" style="304" customWidth="1"/>
    <col min="2731" max="2731" width="2" style="304" customWidth="1"/>
    <col min="2732" max="2732" width="2.140625" style="304" customWidth="1"/>
    <col min="2733" max="2977" width="11.42578125" style="304"/>
    <col min="2978" max="2978" width="2.28515625" style="304" customWidth="1"/>
    <col min="2979" max="2979" width="2.140625" style="304" customWidth="1"/>
    <col min="2980" max="2980" width="1.140625" style="304" customWidth="1"/>
    <col min="2981" max="2982" width="2" style="304" customWidth="1"/>
    <col min="2983" max="2984" width="2.140625" style="304" customWidth="1"/>
    <col min="2985" max="2985" width="1.7109375" style="304" customWidth="1"/>
    <col min="2986" max="2986" width="0.85546875" style="304" customWidth="1"/>
    <col min="2987" max="2987" width="2" style="304" customWidth="1"/>
    <col min="2988" max="2988" width="2.140625" style="304" customWidth="1"/>
    <col min="2989" max="3233" width="11.42578125" style="304"/>
    <col min="3234" max="3234" width="2.28515625" style="304" customWidth="1"/>
    <col min="3235" max="3235" width="2.140625" style="304" customWidth="1"/>
    <col min="3236" max="3236" width="1.140625" style="304" customWidth="1"/>
    <col min="3237" max="3238" width="2" style="304" customWidth="1"/>
    <col min="3239" max="3240" width="2.140625" style="304" customWidth="1"/>
    <col min="3241" max="3241" width="1.7109375" style="304" customWidth="1"/>
    <col min="3242" max="3242" width="0.85546875" style="304" customWidth="1"/>
    <col min="3243" max="3243" width="2" style="304" customWidth="1"/>
    <col min="3244" max="3244" width="2.140625" style="304" customWidth="1"/>
    <col min="3245" max="3489" width="11.42578125" style="304"/>
    <col min="3490" max="3490" width="2.28515625" style="304" customWidth="1"/>
    <col min="3491" max="3491" width="2.140625" style="304" customWidth="1"/>
    <col min="3492" max="3492" width="1.140625" style="304" customWidth="1"/>
    <col min="3493" max="3494" width="2" style="304" customWidth="1"/>
    <col min="3495" max="3496" width="2.140625" style="304" customWidth="1"/>
    <col min="3497" max="3497" width="1.7109375" style="304" customWidth="1"/>
    <col min="3498" max="3498" width="0.85546875" style="304" customWidth="1"/>
    <col min="3499" max="3499" width="2" style="304" customWidth="1"/>
    <col min="3500" max="3500" width="2.140625" style="304" customWidth="1"/>
    <col min="3501" max="3745" width="11.42578125" style="304"/>
    <col min="3746" max="3746" width="2.28515625" style="304" customWidth="1"/>
    <col min="3747" max="3747" width="2.140625" style="304" customWidth="1"/>
    <col min="3748" max="3748" width="1.140625" style="304" customWidth="1"/>
    <col min="3749" max="3750" width="2" style="304" customWidth="1"/>
    <col min="3751" max="3752" width="2.140625" style="304" customWidth="1"/>
    <col min="3753" max="3753" width="1.7109375" style="304" customWidth="1"/>
    <col min="3754" max="3754" width="0.85546875" style="304" customWidth="1"/>
    <col min="3755" max="3755" width="2" style="304" customWidth="1"/>
    <col min="3756" max="3756" width="2.140625" style="304" customWidth="1"/>
    <col min="3757" max="4001" width="11.42578125" style="304"/>
    <col min="4002" max="4002" width="2.28515625" style="304" customWidth="1"/>
    <col min="4003" max="4003" width="2.140625" style="304" customWidth="1"/>
    <col min="4004" max="4004" width="1.140625" style="304" customWidth="1"/>
    <col min="4005" max="4006" width="2" style="304" customWidth="1"/>
    <col min="4007" max="4008" width="2.140625" style="304" customWidth="1"/>
    <col min="4009" max="4009" width="1.7109375" style="304" customWidth="1"/>
    <col min="4010" max="4010" width="0.85546875" style="304" customWidth="1"/>
    <col min="4011" max="4011" width="2" style="304" customWidth="1"/>
    <col min="4012" max="4012" width="2.140625" style="304" customWidth="1"/>
    <col min="4013" max="4257" width="11.42578125" style="304"/>
    <col min="4258" max="4258" width="2.28515625" style="304" customWidth="1"/>
    <col min="4259" max="4259" width="2.140625" style="304" customWidth="1"/>
    <col min="4260" max="4260" width="1.140625" style="304" customWidth="1"/>
    <col min="4261" max="4262" width="2" style="304" customWidth="1"/>
    <col min="4263" max="4264" width="2.140625" style="304" customWidth="1"/>
    <col min="4265" max="4265" width="1.7109375" style="304" customWidth="1"/>
    <col min="4266" max="4266" width="0.85546875" style="304" customWidth="1"/>
    <col min="4267" max="4267" width="2" style="304" customWidth="1"/>
    <col min="4268" max="4268" width="2.140625" style="304" customWidth="1"/>
    <col min="4269" max="4513" width="11.42578125" style="304"/>
    <col min="4514" max="4514" width="2.28515625" style="304" customWidth="1"/>
    <col min="4515" max="4515" width="2.140625" style="304" customWidth="1"/>
    <col min="4516" max="4516" width="1.140625" style="304" customWidth="1"/>
    <col min="4517" max="4518" width="2" style="304" customWidth="1"/>
    <col min="4519" max="4520" width="2.140625" style="304" customWidth="1"/>
    <col min="4521" max="4521" width="1.7109375" style="304" customWidth="1"/>
    <col min="4522" max="4522" width="0.85546875" style="304" customWidth="1"/>
    <col min="4523" max="4523" width="2" style="304" customWidth="1"/>
    <col min="4524" max="4524" width="2.140625" style="304" customWidth="1"/>
    <col min="4525" max="4769" width="11.42578125" style="304"/>
    <col min="4770" max="4770" width="2.28515625" style="304" customWidth="1"/>
    <col min="4771" max="4771" width="2.140625" style="304" customWidth="1"/>
    <col min="4772" max="4772" width="1.140625" style="304" customWidth="1"/>
    <col min="4773" max="4774" width="2" style="304" customWidth="1"/>
    <col min="4775" max="4776" width="2.140625" style="304" customWidth="1"/>
    <col min="4777" max="4777" width="1.7109375" style="304" customWidth="1"/>
    <col min="4778" max="4778" width="0.85546875" style="304" customWidth="1"/>
    <col min="4779" max="4779" width="2" style="304" customWidth="1"/>
    <col min="4780" max="4780" width="2.140625" style="304" customWidth="1"/>
    <col min="4781" max="5025" width="11.42578125" style="304"/>
    <col min="5026" max="5026" width="2.28515625" style="304" customWidth="1"/>
    <col min="5027" max="5027" width="2.140625" style="304" customWidth="1"/>
    <col min="5028" max="5028" width="1.140625" style="304" customWidth="1"/>
    <col min="5029" max="5030" width="2" style="304" customWidth="1"/>
    <col min="5031" max="5032" width="2.140625" style="304" customWidth="1"/>
    <col min="5033" max="5033" width="1.7109375" style="304" customWidth="1"/>
    <col min="5034" max="5034" width="0.85546875" style="304" customWidth="1"/>
    <col min="5035" max="5035" width="2" style="304" customWidth="1"/>
    <col min="5036" max="5036" width="2.140625" style="304" customWidth="1"/>
    <col min="5037" max="5281" width="11.42578125" style="304"/>
    <col min="5282" max="5282" width="2.28515625" style="304" customWidth="1"/>
    <col min="5283" max="5283" width="2.140625" style="304" customWidth="1"/>
    <col min="5284" max="5284" width="1.140625" style="304" customWidth="1"/>
    <col min="5285" max="5286" width="2" style="304" customWidth="1"/>
    <col min="5287" max="5288" width="2.140625" style="304" customWidth="1"/>
    <col min="5289" max="5289" width="1.7109375" style="304" customWidth="1"/>
    <col min="5290" max="5290" width="0.85546875" style="304" customWidth="1"/>
    <col min="5291" max="5291" width="2" style="304" customWidth="1"/>
    <col min="5292" max="5292" width="2.140625" style="304" customWidth="1"/>
    <col min="5293" max="5537" width="11.42578125" style="304"/>
    <col min="5538" max="5538" width="2.28515625" style="304" customWidth="1"/>
    <col min="5539" max="5539" width="2.140625" style="304" customWidth="1"/>
    <col min="5540" max="5540" width="1.140625" style="304" customWidth="1"/>
    <col min="5541" max="5542" width="2" style="304" customWidth="1"/>
    <col min="5543" max="5544" width="2.140625" style="304" customWidth="1"/>
    <col min="5545" max="5545" width="1.7109375" style="304" customWidth="1"/>
    <col min="5546" max="5546" width="0.85546875" style="304" customWidth="1"/>
    <col min="5547" max="5547" width="2" style="304" customWidth="1"/>
    <col min="5548" max="5548" width="2.140625" style="304" customWidth="1"/>
    <col min="5549" max="5793" width="11.42578125" style="304"/>
    <col min="5794" max="5794" width="2.28515625" style="304" customWidth="1"/>
    <col min="5795" max="5795" width="2.140625" style="304" customWidth="1"/>
    <col min="5796" max="5796" width="1.140625" style="304" customWidth="1"/>
    <col min="5797" max="5798" width="2" style="304" customWidth="1"/>
    <col min="5799" max="5800" width="2.140625" style="304" customWidth="1"/>
    <col min="5801" max="5801" width="1.7109375" style="304" customWidth="1"/>
    <col min="5802" max="5802" width="0.85546875" style="304" customWidth="1"/>
    <col min="5803" max="5803" width="2" style="304" customWidth="1"/>
    <col min="5804" max="5804" width="2.140625" style="304" customWidth="1"/>
    <col min="5805" max="6049" width="11.42578125" style="304"/>
    <col min="6050" max="6050" width="2.28515625" style="304" customWidth="1"/>
    <col min="6051" max="6051" width="2.140625" style="304" customWidth="1"/>
    <col min="6052" max="6052" width="1.140625" style="304" customWidth="1"/>
    <col min="6053" max="6054" width="2" style="304" customWidth="1"/>
    <col min="6055" max="6056" width="2.140625" style="304" customWidth="1"/>
    <col min="6057" max="6057" width="1.7109375" style="304" customWidth="1"/>
    <col min="6058" max="6058" width="0.85546875" style="304" customWidth="1"/>
    <col min="6059" max="6059" width="2" style="304" customWidth="1"/>
    <col min="6060" max="6060" width="2.140625" style="304" customWidth="1"/>
    <col min="6061" max="6305" width="11.42578125" style="304"/>
    <col min="6306" max="6306" width="2.28515625" style="304" customWidth="1"/>
    <col min="6307" max="6307" width="2.140625" style="304" customWidth="1"/>
    <col min="6308" max="6308" width="1.140625" style="304" customWidth="1"/>
    <col min="6309" max="6310" width="2" style="304" customWidth="1"/>
    <col min="6311" max="6312" width="2.140625" style="304" customWidth="1"/>
    <col min="6313" max="6313" width="1.7109375" style="304" customWidth="1"/>
    <col min="6314" max="6314" width="0.85546875" style="304" customWidth="1"/>
    <col min="6315" max="6315" width="2" style="304" customWidth="1"/>
    <col min="6316" max="6316" width="2.140625" style="304" customWidth="1"/>
    <col min="6317" max="6561" width="11.42578125" style="304"/>
    <col min="6562" max="6562" width="2.28515625" style="304" customWidth="1"/>
    <col min="6563" max="6563" width="2.140625" style="304" customWidth="1"/>
    <col min="6564" max="6564" width="1.140625" style="304" customWidth="1"/>
    <col min="6565" max="6566" width="2" style="304" customWidth="1"/>
    <col min="6567" max="6568" width="2.140625" style="304" customWidth="1"/>
    <col min="6569" max="6569" width="1.7109375" style="304" customWidth="1"/>
    <col min="6570" max="6570" width="0.85546875" style="304" customWidth="1"/>
    <col min="6571" max="6571" width="2" style="304" customWidth="1"/>
    <col min="6572" max="6572" width="2.140625" style="304" customWidth="1"/>
    <col min="6573" max="6817" width="11.42578125" style="304"/>
    <col min="6818" max="6818" width="2.28515625" style="304" customWidth="1"/>
    <col min="6819" max="6819" width="2.140625" style="304" customWidth="1"/>
    <col min="6820" max="6820" width="1.140625" style="304" customWidth="1"/>
    <col min="6821" max="6822" width="2" style="304" customWidth="1"/>
    <col min="6823" max="6824" width="2.140625" style="304" customWidth="1"/>
    <col min="6825" max="6825" width="1.7109375" style="304" customWidth="1"/>
    <col min="6826" max="6826" width="0.85546875" style="304" customWidth="1"/>
    <col min="6827" max="6827" width="2" style="304" customWidth="1"/>
    <col min="6828" max="6828" width="2.140625" style="304" customWidth="1"/>
    <col min="6829" max="7073" width="11.42578125" style="304"/>
    <col min="7074" max="7074" width="2.28515625" style="304" customWidth="1"/>
    <col min="7075" max="7075" width="2.140625" style="304" customWidth="1"/>
    <col min="7076" max="7076" width="1.140625" style="304" customWidth="1"/>
    <col min="7077" max="7078" width="2" style="304" customWidth="1"/>
    <col min="7079" max="7080" width="2.140625" style="304" customWidth="1"/>
    <col min="7081" max="7081" width="1.7109375" style="304" customWidth="1"/>
    <col min="7082" max="7082" width="0.85546875" style="304" customWidth="1"/>
    <col min="7083" max="7083" width="2" style="304" customWidth="1"/>
    <col min="7084" max="7084" width="2.140625" style="304" customWidth="1"/>
    <col min="7085" max="7329" width="11.42578125" style="304"/>
    <col min="7330" max="7330" width="2.28515625" style="304" customWidth="1"/>
    <col min="7331" max="7331" width="2.140625" style="304" customWidth="1"/>
    <col min="7332" max="7332" width="1.140625" style="304" customWidth="1"/>
    <col min="7333" max="7334" width="2" style="304" customWidth="1"/>
    <col min="7335" max="7336" width="2.140625" style="304" customWidth="1"/>
    <col min="7337" max="7337" width="1.7109375" style="304" customWidth="1"/>
    <col min="7338" max="7338" width="0.85546875" style="304" customWidth="1"/>
    <col min="7339" max="7339" width="2" style="304" customWidth="1"/>
    <col min="7340" max="7340" width="2.140625" style="304" customWidth="1"/>
    <col min="7341" max="7585" width="11.42578125" style="304"/>
    <col min="7586" max="7586" width="2.28515625" style="304" customWidth="1"/>
    <col min="7587" max="7587" width="2.140625" style="304" customWidth="1"/>
    <col min="7588" max="7588" width="1.140625" style="304" customWidth="1"/>
    <col min="7589" max="7590" width="2" style="304" customWidth="1"/>
    <col min="7591" max="7592" width="2.140625" style="304" customWidth="1"/>
    <col min="7593" max="7593" width="1.7109375" style="304" customWidth="1"/>
    <col min="7594" max="7594" width="0.85546875" style="304" customWidth="1"/>
    <col min="7595" max="7595" width="2" style="304" customWidth="1"/>
    <col min="7596" max="7596" width="2.140625" style="304" customWidth="1"/>
    <col min="7597" max="7841" width="11.42578125" style="304"/>
    <col min="7842" max="7842" width="2.28515625" style="304" customWidth="1"/>
    <col min="7843" max="7843" width="2.140625" style="304" customWidth="1"/>
    <col min="7844" max="7844" width="1.140625" style="304" customWidth="1"/>
    <col min="7845" max="7846" width="2" style="304" customWidth="1"/>
    <col min="7847" max="7848" width="2.140625" style="304" customWidth="1"/>
    <col min="7849" max="7849" width="1.7109375" style="304" customWidth="1"/>
    <col min="7850" max="7850" width="0.85546875" style="304" customWidth="1"/>
    <col min="7851" max="7851" width="2" style="304" customWidth="1"/>
    <col min="7852" max="7852" width="2.140625" style="304" customWidth="1"/>
    <col min="7853" max="8097" width="11.42578125" style="304"/>
    <col min="8098" max="8098" width="2.28515625" style="304" customWidth="1"/>
    <col min="8099" max="8099" width="2.140625" style="304" customWidth="1"/>
    <col min="8100" max="8100" width="1.140625" style="304" customWidth="1"/>
    <col min="8101" max="8102" width="2" style="304" customWidth="1"/>
    <col min="8103" max="8104" width="2.140625" style="304" customWidth="1"/>
    <col min="8105" max="8105" width="1.7109375" style="304" customWidth="1"/>
    <col min="8106" max="8106" width="0.85546875" style="304" customWidth="1"/>
    <col min="8107" max="8107" width="2" style="304" customWidth="1"/>
    <col min="8108" max="8108" width="2.140625" style="304" customWidth="1"/>
    <col min="8109" max="8353" width="11.42578125" style="304"/>
    <col min="8354" max="8354" width="2.28515625" style="304" customWidth="1"/>
    <col min="8355" max="8355" width="2.140625" style="304" customWidth="1"/>
    <col min="8356" max="8356" width="1.140625" style="304" customWidth="1"/>
    <col min="8357" max="8358" width="2" style="304" customWidth="1"/>
    <col min="8359" max="8360" width="2.140625" style="304" customWidth="1"/>
    <col min="8361" max="8361" width="1.7109375" style="304" customWidth="1"/>
    <col min="8362" max="8362" width="0.85546875" style="304" customWidth="1"/>
    <col min="8363" max="8363" width="2" style="304" customWidth="1"/>
    <col min="8364" max="8364" width="2.140625" style="304" customWidth="1"/>
    <col min="8365" max="8609" width="11.42578125" style="304"/>
    <col min="8610" max="8610" width="2.28515625" style="304" customWidth="1"/>
    <col min="8611" max="8611" width="2.140625" style="304" customWidth="1"/>
    <col min="8612" max="8612" width="1.140625" style="304" customWidth="1"/>
    <col min="8613" max="8614" width="2" style="304" customWidth="1"/>
    <col min="8615" max="8616" width="2.140625" style="304" customWidth="1"/>
    <col min="8617" max="8617" width="1.7109375" style="304" customWidth="1"/>
    <col min="8618" max="8618" width="0.85546875" style="304" customWidth="1"/>
    <col min="8619" max="8619" width="2" style="304" customWidth="1"/>
    <col min="8620" max="8620" width="2.140625" style="304" customWidth="1"/>
    <col min="8621" max="8865" width="11.42578125" style="304"/>
    <col min="8866" max="8866" width="2.28515625" style="304" customWidth="1"/>
    <col min="8867" max="8867" width="2.140625" style="304" customWidth="1"/>
    <col min="8868" max="8868" width="1.140625" style="304" customWidth="1"/>
    <col min="8869" max="8870" width="2" style="304" customWidth="1"/>
    <col min="8871" max="8872" width="2.140625" style="304" customWidth="1"/>
    <col min="8873" max="8873" width="1.7109375" style="304" customWidth="1"/>
    <col min="8874" max="8874" width="0.85546875" style="304" customWidth="1"/>
    <col min="8875" max="8875" width="2" style="304" customWidth="1"/>
    <col min="8876" max="8876" width="2.140625" style="304" customWidth="1"/>
    <col min="8877" max="9121" width="11.42578125" style="304"/>
    <col min="9122" max="9122" width="2.28515625" style="304" customWidth="1"/>
    <col min="9123" max="9123" width="2.140625" style="304" customWidth="1"/>
    <col min="9124" max="9124" width="1.140625" style="304" customWidth="1"/>
    <col min="9125" max="9126" width="2" style="304" customWidth="1"/>
    <col min="9127" max="9128" width="2.140625" style="304" customWidth="1"/>
    <col min="9129" max="9129" width="1.7109375" style="304" customWidth="1"/>
    <col min="9130" max="9130" width="0.85546875" style="304" customWidth="1"/>
    <col min="9131" max="9131" width="2" style="304" customWidth="1"/>
    <col min="9132" max="9132" width="2.140625" style="304" customWidth="1"/>
    <col min="9133" max="9377" width="11.42578125" style="304"/>
    <col min="9378" max="9378" width="2.28515625" style="304" customWidth="1"/>
    <col min="9379" max="9379" width="2.140625" style="304" customWidth="1"/>
    <col min="9380" max="9380" width="1.140625" style="304" customWidth="1"/>
    <col min="9381" max="9382" width="2" style="304" customWidth="1"/>
    <col min="9383" max="9384" width="2.140625" style="304" customWidth="1"/>
    <col min="9385" max="9385" width="1.7109375" style="304" customWidth="1"/>
    <col min="9386" max="9386" width="0.85546875" style="304" customWidth="1"/>
    <col min="9387" max="9387" width="2" style="304" customWidth="1"/>
    <col min="9388" max="9388" width="2.140625" style="304" customWidth="1"/>
    <col min="9389" max="9633" width="11.42578125" style="304"/>
    <col min="9634" max="9634" width="2.28515625" style="304" customWidth="1"/>
    <col min="9635" max="9635" width="2.140625" style="304" customWidth="1"/>
    <col min="9636" max="9636" width="1.140625" style="304" customWidth="1"/>
    <col min="9637" max="9638" width="2" style="304" customWidth="1"/>
    <col min="9639" max="9640" width="2.140625" style="304" customWidth="1"/>
    <col min="9641" max="9641" width="1.7109375" style="304" customWidth="1"/>
    <col min="9642" max="9642" width="0.85546875" style="304" customWidth="1"/>
    <col min="9643" max="9643" width="2" style="304" customWidth="1"/>
    <col min="9644" max="9644" width="2.140625" style="304" customWidth="1"/>
    <col min="9645" max="9889" width="11.42578125" style="304"/>
    <col min="9890" max="9890" width="2.28515625" style="304" customWidth="1"/>
    <col min="9891" max="9891" width="2.140625" style="304" customWidth="1"/>
    <col min="9892" max="9892" width="1.140625" style="304" customWidth="1"/>
    <col min="9893" max="9894" width="2" style="304" customWidth="1"/>
    <col min="9895" max="9896" width="2.140625" style="304" customWidth="1"/>
    <col min="9897" max="9897" width="1.7109375" style="304" customWidth="1"/>
    <col min="9898" max="9898" width="0.85546875" style="304" customWidth="1"/>
    <col min="9899" max="9899" width="2" style="304" customWidth="1"/>
    <col min="9900" max="9900" width="2.140625" style="304" customWidth="1"/>
    <col min="9901" max="10145" width="11.42578125" style="304"/>
    <col min="10146" max="10146" width="2.28515625" style="304" customWidth="1"/>
    <col min="10147" max="10147" width="2.140625" style="304" customWidth="1"/>
    <col min="10148" max="10148" width="1.140625" style="304" customWidth="1"/>
    <col min="10149" max="10150" width="2" style="304" customWidth="1"/>
    <col min="10151" max="10152" width="2.140625" style="304" customWidth="1"/>
    <col min="10153" max="10153" width="1.7109375" style="304" customWidth="1"/>
    <col min="10154" max="10154" width="0.85546875" style="304" customWidth="1"/>
    <col min="10155" max="10155" width="2" style="304" customWidth="1"/>
    <col min="10156" max="10156" width="2.140625" style="304" customWidth="1"/>
    <col min="10157" max="10401" width="11.42578125" style="304"/>
    <col min="10402" max="10402" width="2.28515625" style="304" customWidth="1"/>
    <col min="10403" max="10403" width="2.140625" style="304" customWidth="1"/>
    <col min="10404" max="10404" width="1.140625" style="304" customWidth="1"/>
    <col min="10405" max="10406" width="2" style="304" customWidth="1"/>
    <col min="10407" max="10408" width="2.140625" style="304" customWidth="1"/>
    <col min="10409" max="10409" width="1.7109375" style="304" customWidth="1"/>
    <col min="10410" max="10410" width="0.85546875" style="304" customWidth="1"/>
    <col min="10411" max="10411" width="2" style="304" customWidth="1"/>
    <col min="10412" max="10412" width="2.140625" style="304" customWidth="1"/>
    <col min="10413" max="10657" width="11.42578125" style="304"/>
    <col min="10658" max="10658" width="2.28515625" style="304" customWidth="1"/>
    <col min="10659" max="10659" width="2.140625" style="304" customWidth="1"/>
    <col min="10660" max="10660" width="1.140625" style="304" customWidth="1"/>
    <col min="10661" max="10662" width="2" style="304" customWidth="1"/>
    <col min="10663" max="10664" width="2.140625" style="304" customWidth="1"/>
    <col min="10665" max="10665" width="1.7109375" style="304" customWidth="1"/>
    <col min="10666" max="10666" width="0.85546875" style="304" customWidth="1"/>
    <col min="10667" max="10667" width="2" style="304" customWidth="1"/>
    <col min="10668" max="10668" width="2.140625" style="304" customWidth="1"/>
    <col min="10669" max="10913" width="11.42578125" style="304"/>
    <col min="10914" max="10914" width="2.28515625" style="304" customWidth="1"/>
    <col min="10915" max="10915" width="2.140625" style="304" customWidth="1"/>
    <col min="10916" max="10916" width="1.140625" style="304" customWidth="1"/>
    <col min="10917" max="10918" width="2" style="304" customWidth="1"/>
    <col min="10919" max="10920" width="2.140625" style="304" customWidth="1"/>
    <col min="10921" max="10921" width="1.7109375" style="304" customWidth="1"/>
    <col min="10922" max="10922" width="0.85546875" style="304" customWidth="1"/>
    <col min="10923" max="10923" width="2" style="304" customWidth="1"/>
    <col min="10924" max="10924" width="2.140625" style="304" customWidth="1"/>
    <col min="10925" max="11169" width="11.42578125" style="304"/>
    <col min="11170" max="11170" width="2.28515625" style="304" customWidth="1"/>
    <col min="11171" max="11171" width="2.140625" style="304" customWidth="1"/>
    <col min="11172" max="11172" width="1.140625" style="304" customWidth="1"/>
    <col min="11173" max="11174" width="2" style="304" customWidth="1"/>
    <col min="11175" max="11176" width="2.140625" style="304" customWidth="1"/>
    <col min="11177" max="11177" width="1.7109375" style="304" customWidth="1"/>
    <col min="11178" max="11178" width="0.85546875" style="304" customWidth="1"/>
    <col min="11179" max="11179" width="2" style="304" customWidth="1"/>
    <col min="11180" max="11180" width="2.140625" style="304" customWidth="1"/>
    <col min="11181" max="11425" width="11.42578125" style="304"/>
    <col min="11426" max="11426" width="2.28515625" style="304" customWidth="1"/>
    <col min="11427" max="11427" width="2.140625" style="304" customWidth="1"/>
    <col min="11428" max="11428" width="1.140625" style="304" customWidth="1"/>
    <col min="11429" max="11430" width="2" style="304" customWidth="1"/>
    <col min="11431" max="11432" width="2.140625" style="304" customWidth="1"/>
    <col min="11433" max="11433" width="1.7109375" style="304" customWidth="1"/>
    <col min="11434" max="11434" width="0.85546875" style="304" customWidth="1"/>
    <col min="11435" max="11435" width="2" style="304" customWidth="1"/>
    <col min="11436" max="11436" width="2.140625" style="304" customWidth="1"/>
    <col min="11437" max="11681" width="11.42578125" style="304"/>
    <col min="11682" max="11682" width="2.28515625" style="304" customWidth="1"/>
    <col min="11683" max="11683" width="2.140625" style="304" customWidth="1"/>
    <col min="11684" max="11684" width="1.140625" style="304" customWidth="1"/>
    <col min="11685" max="11686" width="2" style="304" customWidth="1"/>
    <col min="11687" max="11688" width="2.140625" style="304" customWidth="1"/>
    <col min="11689" max="11689" width="1.7109375" style="304" customWidth="1"/>
    <col min="11690" max="11690" width="0.85546875" style="304" customWidth="1"/>
    <col min="11691" max="11691" width="2" style="304" customWidth="1"/>
    <col min="11692" max="11692" width="2.140625" style="304" customWidth="1"/>
    <col min="11693" max="11937" width="11.42578125" style="304"/>
    <col min="11938" max="11938" width="2.28515625" style="304" customWidth="1"/>
    <col min="11939" max="11939" width="2.140625" style="304" customWidth="1"/>
    <col min="11940" max="11940" width="1.140625" style="304" customWidth="1"/>
    <col min="11941" max="11942" width="2" style="304" customWidth="1"/>
    <col min="11943" max="11944" width="2.140625" style="304" customWidth="1"/>
    <col min="11945" max="11945" width="1.7109375" style="304" customWidth="1"/>
    <col min="11946" max="11946" width="0.85546875" style="304" customWidth="1"/>
    <col min="11947" max="11947" width="2" style="304" customWidth="1"/>
    <col min="11948" max="11948" width="2.140625" style="304" customWidth="1"/>
    <col min="11949" max="12193" width="11.42578125" style="304"/>
    <col min="12194" max="12194" width="2.28515625" style="304" customWidth="1"/>
    <col min="12195" max="12195" width="2.140625" style="304" customWidth="1"/>
    <col min="12196" max="12196" width="1.140625" style="304" customWidth="1"/>
    <col min="12197" max="12198" width="2" style="304" customWidth="1"/>
    <col min="12199" max="12200" width="2.140625" style="304" customWidth="1"/>
    <col min="12201" max="12201" width="1.7109375" style="304" customWidth="1"/>
    <col min="12202" max="12202" width="0.85546875" style="304" customWidth="1"/>
    <col min="12203" max="12203" width="2" style="304" customWidth="1"/>
    <col min="12204" max="12204" width="2.140625" style="304" customWidth="1"/>
    <col min="12205" max="12449" width="11.42578125" style="304"/>
    <col min="12450" max="12450" width="2.28515625" style="304" customWidth="1"/>
    <col min="12451" max="12451" width="2.140625" style="304" customWidth="1"/>
    <col min="12452" max="12452" width="1.140625" style="304" customWidth="1"/>
    <col min="12453" max="12454" width="2" style="304" customWidth="1"/>
    <col min="12455" max="12456" width="2.140625" style="304" customWidth="1"/>
    <col min="12457" max="12457" width="1.7109375" style="304" customWidth="1"/>
    <col min="12458" max="12458" width="0.85546875" style="304" customWidth="1"/>
    <col min="12459" max="12459" width="2" style="304" customWidth="1"/>
    <col min="12460" max="12460" width="2.140625" style="304" customWidth="1"/>
    <col min="12461" max="12705" width="11.42578125" style="304"/>
    <col min="12706" max="12706" width="2.28515625" style="304" customWidth="1"/>
    <col min="12707" max="12707" width="2.140625" style="304" customWidth="1"/>
    <col min="12708" max="12708" width="1.140625" style="304" customWidth="1"/>
    <col min="12709" max="12710" width="2" style="304" customWidth="1"/>
    <col min="12711" max="12712" width="2.140625" style="304" customWidth="1"/>
    <col min="12713" max="12713" width="1.7109375" style="304" customWidth="1"/>
    <col min="12714" max="12714" width="0.85546875" style="304" customWidth="1"/>
    <col min="12715" max="12715" width="2" style="304" customWidth="1"/>
    <col min="12716" max="12716" width="2.140625" style="304" customWidth="1"/>
    <col min="12717" max="12961" width="11.42578125" style="304"/>
    <col min="12962" max="12962" width="2.28515625" style="304" customWidth="1"/>
    <col min="12963" max="12963" width="2.140625" style="304" customWidth="1"/>
    <col min="12964" max="12964" width="1.140625" style="304" customWidth="1"/>
    <col min="12965" max="12966" width="2" style="304" customWidth="1"/>
    <col min="12967" max="12968" width="2.140625" style="304" customWidth="1"/>
    <col min="12969" max="12969" width="1.7109375" style="304" customWidth="1"/>
    <col min="12970" max="12970" width="0.85546875" style="304" customWidth="1"/>
    <col min="12971" max="12971" width="2" style="304" customWidth="1"/>
    <col min="12972" max="12972" width="2.140625" style="304" customWidth="1"/>
    <col min="12973" max="13217" width="11.42578125" style="304"/>
    <col min="13218" max="13218" width="2.28515625" style="304" customWidth="1"/>
    <col min="13219" max="13219" width="2.140625" style="304" customWidth="1"/>
    <col min="13220" max="13220" width="1.140625" style="304" customWidth="1"/>
    <col min="13221" max="13222" width="2" style="304" customWidth="1"/>
    <col min="13223" max="13224" width="2.140625" style="304" customWidth="1"/>
    <col min="13225" max="13225" width="1.7109375" style="304" customWidth="1"/>
    <col min="13226" max="13226" width="0.85546875" style="304" customWidth="1"/>
    <col min="13227" max="13227" width="2" style="304" customWidth="1"/>
    <col min="13228" max="13228" width="2.140625" style="304" customWidth="1"/>
    <col min="13229" max="13473" width="11.42578125" style="304"/>
    <col min="13474" max="13474" width="2.28515625" style="304" customWidth="1"/>
    <col min="13475" max="13475" width="2.140625" style="304" customWidth="1"/>
    <col min="13476" max="13476" width="1.140625" style="304" customWidth="1"/>
    <col min="13477" max="13478" width="2" style="304" customWidth="1"/>
    <col min="13479" max="13480" width="2.140625" style="304" customWidth="1"/>
    <col min="13481" max="13481" width="1.7109375" style="304" customWidth="1"/>
    <col min="13482" max="13482" width="0.85546875" style="304" customWidth="1"/>
    <col min="13483" max="13483" width="2" style="304" customWidth="1"/>
    <col min="13484" max="13484" width="2.140625" style="304" customWidth="1"/>
    <col min="13485" max="13729" width="11.42578125" style="304"/>
    <col min="13730" max="13730" width="2.28515625" style="304" customWidth="1"/>
    <col min="13731" max="13731" width="2.140625" style="304" customWidth="1"/>
    <col min="13732" max="13732" width="1.140625" style="304" customWidth="1"/>
    <col min="13733" max="13734" width="2" style="304" customWidth="1"/>
    <col min="13735" max="13736" width="2.140625" style="304" customWidth="1"/>
    <col min="13737" max="13737" width="1.7109375" style="304" customWidth="1"/>
    <col min="13738" max="13738" width="0.85546875" style="304" customWidth="1"/>
    <col min="13739" max="13739" width="2" style="304" customWidth="1"/>
    <col min="13740" max="13740" width="2.140625" style="304" customWidth="1"/>
    <col min="13741" max="13985" width="11.42578125" style="304"/>
    <col min="13986" max="13986" width="2.28515625" style="304" customWidth="1"/>
    <col min="13987" max="13987" width="2.140625" style="304" customWidth="1"/>
    <col min="13988" max="13988" width="1.140625" style="304" customWidth="1"/>
    <col min="13989" max="13990" width="2" style="304" customWidth="1"/>
    <col min="13991" max="13992" width="2.140625" style="304" customWidth="1"/>
    <col min="13993" max="13993" width="1.7109375" style="304" customWidth="1"/>
    <col min="13994" max="13994" width="0.85546875" style="304" customWidth="1"/>
    <col min="13995" max="13995" width="2" style="304" customWidth="1"/>
    <col min="13996" max="13996" width="2.140625" style="304" customWidth="1"/>
    <col min="13997" max="14241" width="11.42578125" style="304"/>
    <col min="14242" max="14242" width="2.28515625" style="304" customWidth="1"/>
    <col min="14243" max="14243" width="2.140625" style="304" customWidth="1"/>
    <col min="14244" max="14244" width="1.140625" style="304" customWidth="1"/>
    <col min="14245" max="14246" width="2" style="304" customWidth="1"/>
    <col min="14247" max="14248" width="2.140625" style="304" customWidth="1"/>
    <col min="14249" max="14249" width="1.7109375" style="304" customWidth="1"/>
    <col min="14250" max="14250" width="0.85546875" style="304" customWidth="1"/>
    <col min="14251" max="14251" width="2" style="304" customWidth="1"/>
    <col min="14252" max="14252" width="2.140625" style="304" customWidth="1"/>
    <col min="14253" max="14497" width="11.42578125" style="304"/>
    <col min="14498" max="14498" width="2.28515625" style="304" customWidth="1"/>
    <col min="14499" max="14499" width="2.140625" style="304" customWidth="1"/>
    <col min="14500" max="14500" width="1.140625" style="304" customWidth="1"/>
    <col min="14501" max="14502" width="2" style="304" customWidth="1"/>
    <col min="14503" max="14504" width="2.140625" style="304" customWidth="1"/>
    <col min="14505" max="14505" width="1.7109375" style="304" customWidth="1"/>
    <col min="14506" max="14506" width="0.85546875" style="304" customWidth="1"/>
    <col min="14507" max="14507" width="2" style="304" customWidth="1"/>
    <col min="14508" max="14508" width="2.140625" style="304" customWidth="1"/>
    <col min="14509" max="14753" width="11.42578125" style="304"/>
    <col min="14754" max="14754" width="2.28515625" style="304" customWidth="1"/>
    <col min="14755" max="14755" width="2.140625" style="304" customWidth="1"/>
    <col min="14756" max="14756" width="1.140625" style="304" customWidth="1"/>
    <col min="14757" max="14758" width="2" style="304" customWidth="1"/>
    <col min="14759" max="14760" width="2.140625" style="304" customWidth="1"/>
    <col min="14761" max="14761" width="1.7109375" style="304" customWidth="1"/>
    <col min="14762" max="14762" width="0.85546875" style="304" customWidth="1"/>
    <col min="14763" max="14763" width="2" style="304" customWidth="1"/>
    <col min="14764" max="14764" width="2.140625" style="304" customWidth="1"/>
    <col min="14765" max="15009" width="11.42578125" style="304"/>
    <col min="15010" max="15010" width="2.28515625" style="304" customWidth="1"/>
    <col min="15011" max="15011" width="2.140625" style="304" customWidth="1"/>
    <col min="15012" max="15012" width="1.140625" style="304" customWidth="1"/>
    <col min="15013" max="15014" width="2" style="304" customWidth="1"/>
    <col min="15015" max="15016" width="2.140625" style="304" customWidth="1"/>
    <col min="15017" max="15017" width="1.7109375" style="304" customWidth="1"/>
    <col min="15018" max="15018" width="0.85546875" style="304" customWidth="1"/>
    <col min="15019" max="15019" width="2" style="304" customWidth="1"/>
    <col min="15020" max="15020" width="2.140625" style="304" customWidth="1"/>
    <col min="15021" max="15265" width="11.42578125" style="304"/>
    <col min="15266" max="15266" width="2.28515625" style="304" customWidth="1"/>
    <col min="15267" max="15267" width="2.140625" style="304" customWidth="1"/>
    <col min="15268" max="15268" width="1.140625" style="304" customWidth="1"/>
    <col min="15269" max="15270" width="2" style="304" customWidth="1"/>
    <col min="15271" max="15272" width="2.140625" style="304" customWidth="1"/>
    <col min="15273" max="15273" width="1.7109375" style="304" customWidth="1"/>
    <col min="15274" max="15274" width="0.85546875" style="304" customWidth="1"/>
    <col min="15275" max="15275" width="2" style="304" customWidth="1"/>
    <col min="15276" max="15276" width="2.140625" style="304" customWidth="1"/>
    <col min="15277" max="15521" width="11.42578125" style="304"/>
    <col min="15522" max="15522" width="2.28515625" style="304" customWidth="1"/>
    <col min="15523" max="15523" width="2.140625" style="304" customWidth="1"/>
    <col min="15524" max="15524" width="1.140625" style="304" customWidth="1"/>
    <col min="15525" max="15526" width="2" style="304" customWidth="1"/>
    <col min="15527" max="15528" width="2.140625" style="304" customWidth="1"/>
    <col min="15529" max="15529" width="1.7109375" style="304" customWidth="1"/>
    <col min="15530" max="15530" width="0.85546875" style="304" customWidth="1"/>
    <col min="15531" max="15531" width="2" style="304" customWidth="1"/>
    <col min="15532" max="15532" width="2.140625" style="304" customWidth="1"/>
    <col min="15533" max="15777" width="11.42578125" style="304"/>
    <col min="15778" max="15778" width="2.28515625" style="304" customWidth="1"/>
    <col min="15779" max="15779" width="2.140625" style="304" customWidth="1"/>
    <col min="15780" max="15780" width="1.140625" style="304" customWidth="1"/>
    <col min="15781" max="15782" width="2" style="304" customWidth="1"/>
    <col min="15783" max="15784" width="2.140625" style="304" customWidth="1"/>
    <col min="15785" max="15785" width="1.7109375" style="304" customWidth="1"/>
    <col min="15786" max="15786" width="0.85546875" style="304" customWidth="1"/>
    <col min="15787" max="15787" width="2" style="304" customWidth="1"/>
    <col min="15788" max="15788" width="2.140625" style="304" customWidth="1"/>
    <col min="15789" max="16033" width="11.42578125" style="304"/>
    <col min="16034" max="16034" width="2.28515625" style="304" customWidth="1"/>
    <col min="16035" max="16035" width="2.140625" style="304" customWidth="1"/>
    <col min="16036" max="16036" width="1.140625" style="304" customWidth="1"/>
    <col min="16037" max="16038" width="2" style="304" customWidth="1"/>
    <col min="16039" max="16040" width="2.140625" style="304" customWidth="1"/>
    <col min="16041" max="16041" width="1.7109375" style="304" customWidth="1"/>
    <col min="16042" max="16042" width="0.85546875" style="304" customWidth="1"/>
    <col min="16043" max="16043" width="2" style="304" customWidth="1"/>
    <col min="16044" max="16044" width="2.140625" style="304" customWidth="1"/>
    <col min="16045" max="16384" width="11.42578125" style="304"/>
  </cols>
  <sheetData>
    <row r="1" spans="2:13" ht="8.25" customHeight="1"/>
    <row r="2" spans="2:13" ht="51.75" customHeight="1" thickBot="1"/>
    <row r="3" spans="2:13" s="386" customFormat="1" ht="16.5" thickBot="1">
      <c r="B3" s="384"/>
      <c r="C3" s="385"/>
      <c r="D3" s="748" t="s">
        <v>626</v>
      </c>
      <c r="E3" s="749"/>
      <c r="F3" s="384"/>
      <c r="G3" s="750" t="s">
        <v>648</v>
      </c>
      <c r="H3" s="751"/>
      <c r="I3" s="751"/>
      <c r="J3" s="751"/>
      <c r="K3" s="751"/>
      <c r="L3" s="752"/>
      <c r="M3" s="414"/>
    </row>
    <row r="4" spans="2:13" s="356" customFormat="1" ht="39" thickBot="1">
      <c r="B4" s="415" t="s">
        <v>7</v>
      </c>
      <c r="C4" s="416" t="s">
        <v>634</v>
      </c>
      <c r="D4" s="417" t="s">
        <v>15</v>
      </c>
      <c r="E4" s="418" t="s">
        <v>627</v>
      </c>
      <c r="F4" s="419" t="s">
        <v>16</v>
      </c>
      <c r="G4" s="419" t="s">
        <v>658</v>
      </c>
      <c r="H4" s="419" t="s">
        <v>628</v>
      </c>
      <c r="I4" s="419" t="s">
        <v>659</v>
      </c>
      <c r="J4" s="418" t="s">
        <v>629</v>
      </c>
      <c r="K4" s="419" t="s">
        <v>630</v>
      </c>
      <c r="L4" s="419" t="s">
        <v>631</v>
      </c>
      <c r="M4" s="419" t="s">
        <v>632</v>
      </c>
    </row>
    <row r="5" spans="2:13" s="398" customFormat="1" ht="15.95" customHeight="1">
      <c r="B5" s="392" t="s">
        <v>281</v>
      </c>
      <c r="C5" s="393">
        <f>+VLOOKUP($B5,RESUMEN!$A$15:$H$52,2,FALSE)</f>
        <v>12</v>
      </c>
      <c r="D5" s="393">
        <f>+VLOOKUP($B5,RESUMEN!$A$15:$H$52,3,FALSE)</f>
        <v>29567970000</v>
      </c>
      <c r="E5" s="394">
        <f t="shared" ref="E5:E10" si="0">D5/D$15</f>
        <v>0.27265026091106737</v>
      </c>
      <c r="F5" s="393">
        <f>+VLOOKUP($B5,RESUMEN!$A$15:$H$52,4,FALSE)</f>
        <v>15258816406</v>
      </c>
      <c r="G5" s="393">
        <f>+VLOOKUP($B5,RESUMEN!$A$15:$H$52,5,FALSE)</f>
        <v>4530999928</v>
      </c>
      <c r="H5" s="395">
        <f>G5/$G$15</f>
        <v>0.20218829713257117</v>
      </c>
      <c r="I5" s="393">
        <f>+VLOOKUP($B5,RESUMEN!$A$15:$H$52,6,FALSE)</f>
        <v>512383901</v>
      </c>
      <c r="J5" s="396">
        <f t="shared" ref="J5:J14" si="1">+G5-I5</f>
        <v>4018616027</v>
      </c>
      <c r="K5" s="393">
        <f>+VLOOKUP($B5,RESUMEN!$A$15:$H$52,7,FALSE)</f>
        <v>4018616027</v>
      </c>
      <c r="L5" s="397">
        <f t="shared" ref="L5:L14" si="2">I5/G5</f>
        <v>0.11308406734541003</v>
      </c>
      <c r="M5" s="393">
        <f>+VLOOKUP($B5,RESUMEN!$A$15:$H$52,8,FALSE)</f>
        <v>9778153666</v>
      </c>
    </row>
    <row r="6" spans="2:13" s="398" customFormat="1" ht="15.95" customHeight="1">
      <c r="B6" s="399" t="s">
        <v>189</v>
      </c>
      <c r="C6" s="393">
        <f>+VLOOKUP($B6,RESUMEN!$A$15:$H$52,2,FALSE)</f>
        <v>9</v>
      </c>
      <c r="D6" s="393">
        <f>+VLOOKUP($B6,RESUMEN!$A$15:$H$52,3,FALSE)</f>
        <v>15135282892</v>
      </c>
      <c r="E6" s="400">
        <f t="shared" si="0"/>
        <v>0.13956449595513709</v>
      </c>
      <c r="F6" s="393">
        <f>+VLOOKUP($B6,RESUMEN!$A$15:$H$52,4,FALSE)</f>
        <v>1376386124</v>
      </c>
      <c r="G6" s="393">
        <f>+VLOOKUP($B6,RESUMEN!$A$15:$H$52,5,FALSE)</f>
        <v>3182041550</v>
      </c>
      <c r="H6" s="395">
        <f t="shared" ref="H6:H14" si="3">G6/$G$15</f>
        <v>0.14199328462218139</v>
      </c>
      <c r="I6" s="393">
        <f>+VLOOKUP($B6,RESUMEN!$A$15:$H$52,6,FALSE)</f>
        <v>2580813</v>
      </c>
      <c r="J6" s="402">
        <f t="shared" si="1"/>
        <v>3179460737</v>
      </c>
      <c r="K6" s="393">
        <f>+VLOOKUP($B6,RESUMEN!$A$15:$H$52,7,FALSE)</f>
        <v>3179460737</v>
      </c>
      <c r="L6" s="403">
        <f t="shared" si="2"/>
        <v>8.11055719872671E-4</v>
      </c>
      <c r="M6" s="393">
        <f>+VLOOKUP($B6,RESUMEN!$A$15:$H$52,8,FALSE)</f>
        <v>10576855218</v>
      </c>
    </row>
    <row r="7" spans="2:13" s="398" customFormat="1" ht="15.95" customHeight="1">
      <c r="B7" s="399" t="s">
        <v>200</v>
      </c>
      <c r="C7" s="393">
        <f>+VLOOKUP($B7,RESUMEN!$A$15:$H$52,2,FALSE)</f>
        <v>10</v>
      </c>
      <c r="D7" s="393">
        <f>+VLOOKUP($B7,RESUMEN!$A$15:$H$52,3,FALSE)</f>
        <v>3280601098</v>
      </c>
      <c r="E7" s="400">
        <f t="shared" si="0"/>
        <v>3.0250867587962048E-2</v>
      </c>
      <c r="F7" s="393">
        <f>+VLOOKUP($B7,RESUMEN!$A$15:$H$52,4,FALSE)</f>
        <v>57997400</v>
      </c>
      <c r="G7" s="393">
        <f>+VLOOKUP($B7,RESUMEN!$A$15:$H$52,5,FALSE)</f>
        <v>919669996</v>
      </c>
      <c r="H7" s="395">
        <f t="shared" si="3"/>
        <v>4.1038736122257238E-2</v>
      </c>
      <c r="I7" s="393">
        <f>+VLOOKUP($B7,RESUMEN!$A$15:$H$52,6,FALSE)</f>
        <v>40123134</v>
      </c>
      <c r="J7" s="402">
        <f t="shared" si="1"/>
        <v>879546862</v>
      </c>
      <c r="K7" s="393">
        <f>+VLOOKUP($B7,RESUMEN!$A$15:$H$52,7,FALSE)</f>
        <v>879546862</v>
      </c>
      <c r="L7" s="403">
        <f t="shared" si="2"/>
        <v>4.3627751448357573E-2</v>
      </c>
      <c r="M7" s="393">
        <f>+VLOOKUP($B7,RESUMEN!$A$15:$H$52,8,FALSE)</f>
        <v>2302933702</v>
      </c>
    </row>
    <row r="8" spans="2:13" s="398" customFormat="1" ht="15.95" customHeight="1">
      <c r="B8" s="399" t="s">
        <v>214</v>
      </c>
      <c r="C8" s="393">
        <f>+VLOOKUP($B8,RESUMEN!$A$15:$H$52,2,FALSE)</f>
        <v>10</v>
      </c>
      <c r="D8" s="393">
        <f>+VLOOKUP($B8,RESUMEN!$A$15:$H$52,3,FALSE)</f>
        <v>6471606495</v>
      </c>
      <c r="E8" s="400">
        <f t="shared" si="0"/>
        <v>5.9675561067449284E-2</v>
      </c>
      <c r="F8" s="393">
        <f>+VLOOKUP($B8,RESUMEN!$A$15:$H$52,4,FALSE)</f>
        <v>1870326590</v>
      </c>
      <c r="G8" s="393">
        <f>+VLOOKUP($B8,RESUMEN!$A$15:$H$52,5,FALSE)</f>
        <v>1737713823</v>
      </c>
      <c r="H8" s="395">
        <f t="shared" si="3"/>
        <v>7.7542574345434906E-2</v>
      </c>
      <c r="I8" s="393">
        <f>+VLOOKUP($B8,RESUMEN!$A$15:$H$52,6,FALSE)</f>
        <v>63815489</v>
      </c>
      <c r="J8" s="402">
        <f t="shared" si="1"/>
        <v>1673898334</v>
      </c>
      <c r="K8" s="393">
        <f>+VLOOKUP($B8,RESUMEN!$A$15:$H$52,7,FALSE)</f>
        <v>1673898334</v>
      </c>
      <c r="L8" s="403">
        <f t="shared" si="2"/>
        <v>3.672381962746233E-2</v>
      </c>
      <c r="M8" s="393">
        <f>+VLOOKUP($B8,RESUMEN!$A$15:$H$52,8,FALSE)</f>
        <v>2863566082</v>
      </c>
    </row>
    <row r="9" spans="2:13" s="398" customFormat="1" ht="15.95" customHeight="1">
      <c r="B9" s="404" t="s">
        <v>224</v>
      </c>
      <c r="C9" s="393">
        <f>+VLOOKUP($B9,RESUMEN!$A$15:$H$52,2,FALSE)</f>
        <v>10</v>
      </c>
      <c r="D9" s="393">
        <f>+VLOOKUP($B9,RESUMEN!$A$15:$H$52,3,FALSE)</f>
        <v>10261780391</v>
      </c>
      <c r="E9" s="400">
        <f t="shared" si="0"/>
        <v>9.4625268525983533E-2</v>
      </c>
      <c r="F9" s="393">
        <f>+VLOOKUP($B9,RESUMEN!$A$15:$H$52,4,FALSE)</f>
        <v>2316853351</v>
      </c>
      <c r="G9" s="393">
        <f>+VLOOKUP($B9,RESUMEN!$A$15:$H$52,5,FALSE)</f>
        <v>2288385294</v>
      </c>
      <c r="H9" s="395">
        <f t="shared" si="3"/>
        <v>0.10211536815921093</v>
      </c>
      <c r="I9" s="393">
        <f>+VLOOKUP($B9,RESUMEN!$A$15:$H$52,6,FALSE)</f>
        <v>1870905369</v>
      </c>
      <c r="J9" s="402">
        <f t="shared" si="1"/>
        <v>417479925</v>
      </c>
      <c r="K9" s="393">
        <f>+VLOOKUP($B9,RESUMEN!$A$15:$H$52,7,FALSE)</f>
        <v>417479925</v>
      </c>
      <c r="L9" s="403">
        <f t="shared" si="2"/>
        <v>0.81756571933292632</v>
      </c>
      <c r="M9" s="393">
        <f>+VLOOKUP($B9,RESUMEN!$A$15:$H$52,8,FALSE)</f>
        <v>5656541746</v>
      </c>
    </row>
    <row r="10" spans="2:13" s="398" customFormat="1" ht="15.95" customHeight="1">
      <c r="B10" s="404" t="s">
        <v>173</v>
      </c>
      <c r="C10" s="393">
        <f>+VLOOKUP($B10,RESUMEN!$A$15:$H$52,2,FALSE)</f>
        <v>5</v>
      </c>
      <c r="D10" s="393">
        <f>+VLOOKUP($B10,RESUMEN!$A$15:$H$52,3,FALSE)</f>
        <v>5646560768</v>
      </c>
      <c r="E10" s="400">
        <f t="shared" si="0"/>
        <v>5.2067702539112325E-2</v>
      </c>
      <c r="F10" s="393">
        <f>+VLOOKUP($B10,RESUMEN!$A$15:$H$52,4,FALSE)</f>
        <v>3828816269</v>
      </c>
      <c r="G10" s="393">
        <f>+VLOOKUP($B10,RESUMEN!$A$15:$H$52,5,FALSE)</f>
        <v>1027054368</v>
      </c>
      <c r="H10" s="395">
        <f t="shared" si="3"/>
        <v>4.5830584203992754E-2</v>
      </c>
      <c r="I10" s="393">
        <f>+VLOOKUP($B10,RESUMEN!$A$15:$H$52,6,FALSE)</f>
        <v>6329255</v>
      </c>
      <c r="J10" s="402">
        <f t="shared" si="1"/>
        <v>1020725113</v>
      </c>
      <c r="K10" s="393">
        <f>+VLOOKUP($B10,RESUMEN!$A$15:$H$52,7,FALSE)</f>
        <v>1020725113</v>
      </c>
      <c r="L10" s="403">
        <f t="shared" si="2"/>
        <v>6.1625316022218598E-3</v>
      </c>
      <c r="M10" s="393">
        <f>+VLOOKUP($B10,RESUMEN!$A$15:$H$52,8,FALSE)</f>
        <v>790690131</v>
      </c>
    </row>
    <row r="11" spans="2:13" s="398" customFormat="1" ht="15.95" customHeight="1">
      <c r="B11" s="404" t="s">
        <v>241</v>
      </c>
      <c r="C11" s="393">
        <f>+VLOOKUP($B11,RESUMEN!$A$15:$H$52,2,FALSE)</f>
        <v>12</v>
      </c>
      <c r="D11" s="393">
        <f>+VLOOKUP($B11,RESUMEN!$A$15:$H$52,3,FALSE)</f>
        <v>4292243010</v>
      </c>
      <c r="E11" s="400">
        <f>D11/D$15</f>
        <v>3.9579354841411341E-2</v>
      </c>
      <c r="F11" s="393">
        <f>+VLOOKUP($B11,RESUMEN!$A$15:$H$52,4,FALSE)</f>
        <v>1159386907</v>
      </c>
      <c r="G11" s="393">
        <f>+VLOOKUP($B11,RESUMEN!$A$15:$H$52,5,FALSE)</f>
        <v>1321074704</v>
      </c>
      <c r="H11" s="395">
        <f t="shared" si="3"/>
        <v>5.8950750172396718E-2</v>
      </c>
      <c r="I11" s="393">
        <f>+VLOOKUP($B11,RESUMEN!$A$15:$H$52,6,FALSE)</f>
        <v>268772416</v>
      </c>
      <c r="J11" s="402">
        <f t="shared" si="1"/>
        <v>1052302288</v>
      </c>
      <c r="K11" s="393">
        <f>+VLOOKUP($B11,RESUMEN!$A$15:$H$52,7,FALSE)</f>
        <v>1052302288</v>
      </c>
      <c r="L11" s="403">
        <f t="shared" si="2"/>
        <v>0.20344982398512415</v>
      </c>
      <c r="M11" s="393">
        <f>+VLOOKUP($B11,RESUMEN!$A$15:$H$52,8,FALSE)</f>
        <v>1811781399</v>
      </c>
    </row>
    <row r="12" spans="2:13" s="398" customFormat="1" ht="15.95" customHeight="1">
      <c r="B12" s="404" t="s">
        <v>258</v>
      </c>
      <c r="C12" s="393">
        <f>+VLOOKUP($B12,RESUMEN!$A$15:$H$52,2,FALSE)</f>
        <v>6</v>
      </c>
      <c r="D12" s="393">
        <f>+VLOOKUP($B12,RESUMEN!$A$15:$H$52,3,FALSE)</f>
        <v>2672775624</v>
      </c>
      <c r="E12" s="400">
        <f>D12/D$15</f>
        <v>2.4646026468517823E-2</v>
      </c>
      <c r="F12" s="393">
        <f>+VLOOKUP($B12,RESUMEN!$A$15:$H$52,4,FALSE)</f>
        <v>0</v>
      </c>
      <c r="G12" s="393">
        <f>+VLOOKUP($B12,RESUMEN!$A$15:$H$52,5,FALSE)</f>
        <v>987506000</v>
      </c>
      <c r="H12" s="395">
        <f t="shared" si="3"/>
        <v>4.4065804396586791E-2</v>
      </c>
      <c r="I12" s="393">
        <f>+VLOOKUP($B12,RESUMEN!$A$15:$H$52,6,FALSE)</f>
        <v>4552196</v>
      </c>
      <c r="J12" s="402">
        <f t="shared" si="1"/>
        <v>982953804</v>
      </c>
      <c r="K12" s="393">
        <f>+VLOOKUP($B12,RESUMEN!$A$15:$H$52,7,FALSE)</f>
        <v>982953804</v>
      </c>
      <c r="L12" s="403">
        <f t="shared" si="2"/>
        <v>4.6097907253221755E-3</v>
      </c>
      <c r="M12" s="393">
        <f>+VLOOKUP($B12,RESUMEN!$A$15:$H$52,8,FALSE)</f>
        <v>1685269624</v>
      </c>
    </row>
    <row r="13" spans="2:13" s="398" customFormat="1" ht="15.95" customHeight="1">
      <c r="B13" s="404" t="s">
        <v>174</v>
      </c>
      <c r="C13" s="393">
        <f>+VLOOKUP($B13,RESUMEN!$A$15:$H$52,2,FALSE)</f>
        <v>12</v>
      </c>
      <c r="D13" s="393">
        <f>+VLOOKUP($B13,RESUMEN!$A$15:$H$52,3,FALSE)</f>
        <v>20160732534</v>
      </c>
      <c r="E13" s="400">
        <f>D13/D$15</f>
        <v>0.18590484857612291</v>
      </c>
      <c r="F13" s="393">
        <f>+VLOOKUP($B13,RESUMEN!$A$15:$H$52,4,FALSE)</f>
        <v>608863534</v>
      </c>
      <c r="G13" s="393">
        <f>+VLOOKUP($B13,RESUMEN!$A$15:$H$52,5,FALSE)</f>
        <v>3408643699.6666331</v>
      </c>
      <c r="H13" s="395">
        <f t="shared" si="3"/>
        <v>0.15210502673114673</v>
      </c>
      <c r="I13" s="393">
        <f>+VLOOKUP($B13,RESUMEN!$A$15:$H$52,6,FALSE)</f>
        <v>55138454</v>
      </c>
      <c r="J13" s="402">
        <f t="shared" si="1"/>
        <v>3353505245.6666331</v>
      </c>
      <c r="K13" s="393">
        <f>+VLOOKUP($B13,RESUMEN!$A$15:$H$52,7,FALSE)</f>
        <v>3353505245.6666331</v>
      </c>
      <c r="L13" s="403">
        <f>I13/G13</f>
        <v>1.6176068506483256E-2</v>
      </c>
      <c r="M13" s="393">
        <f>+VLOOKUP($B13,RESUMEN!$A$15:$H$52,8,FALSE)</f>
        <v>16143225300.333366</v>
      </c>
    </row>
    <row r="14" spans="2:13" s="398" customFormat="1" ht="15.95" customHeight="1" thickBot="1">
      <c r="B14" s="404" t="s">
        <v>266</v>
      </c>
      <c r="C14" s="393">
        <f>+VLOOKUP($B14,RESUMEN!$A$15:$H$52,2,FALSE)</f>
        <v>12</v>
      </c>
      <c r="D14" s="393">
        <f>+VLOOKUP($B14,RESUMEN!$A$15:$H$52,3,FALSE)</f>
        <v>10956959952</v>
      </c>
      <c r="E14" s="420">
        <f>D14/D$15</f>
        <v>0.10103561352723628</v>
      </c>
      <c r="F14" s="393">
        <f>+VLOOKUP($B14,RESUMEN!$A$15:$H$52,4,FALSE)</f>
        <v>4478111500</v>
      </c>
      <c r="G14" s="393">
        <f>+VLOOKUP($B14,RESUMEN!$A$15:$H$52,5,FALSE)</f>
        <v>3006713738</v>
      </c>
      <c r="H14" s="395">
        <f t="shared" si="3"/>
        <v>0.13416957411422137</v>
      </c>
      <c r="I14" s="393">
        <f>+VLOOKUP($B14,RESUMEN!$A$15:$H$52,6,FALSE)</f>
        <v>319817591</v>
      </c>
      <c r="J14" s="421">
        <f t="shared" si="1"/>
        <v>2686896147</v>
      </c>
      <c r="K14" s="393">
        <f>+VLOOKUP($B14,RESUMEN!$A$15:$H$52,7,FALSE)</f>
        <v>2686896147</v>
      </c>
      <c r="L14" s="422">
        <f t="shared" si="2"/>
        <v>0.1063678217709996</v>
      </c>
      <c r="M14" s="393">
        <f>+VLOOKUP($B14,RESUMEN!$A$15:$H$52,8,FALSE)</f>
        <v>3472134714</v>
      </c>
    </row>
    <row r="15" spans="2:13" ht="15.75" thickBot="1">
      <c r="B15" s="423" t="s">
        <v>633</v>
      </c>
      <c r="C15" s="424">
        <f t="shared" ref="C15:K15" si="4">SUM(C5:C14)</f>
        <v>98</v>
      </c>
      <c r="D15" s="425">
        <f t="shared" si="4"/>
        <v>108446512764</v>
      </c>
      <c r="E15" s="426">
        <f t="shared" si="4"/>
        <v>0.99999999999999978</v>
      </c>
      <c r="F15" s="427">
        <f t="shared" si="4"/>
        <v>30955558081</v>
      </c>
      <c r="G15" s="425">
        <f t="shared" si="4"/>
        <v>22409803100.666634</v>
      </c>
      <c r="H15" s="428">
        <f t="shared" si="4"/>
        <v>1</v>
      </c>
      <c r="I15" s="429">
        <f t="shared" si="4"/>
        <v>3144418618</v>
      </c>
      <c r="J15" s="429">
        <f t="shared" si="4"/>
        <v>19265384482.666634</v>
      </c>
      <c r="K15" s="430">
        <f t="shared" si="4"/>
        <v>19265384482.666634</v>
      </c>
      <c r="L15" s="431">
        <f>I15/G15</f>
        <v>0.14031442417744677</v>
      </c>
      <c r="M15" s="432">
        <f>SUM(M5:M14)</f>
        <v>55081151582.333366</v>
      </c>
    </row>
    <row r="16" spans="2:13" ht="18">
      <c r="B16" s="305"/>
      <c r="C16" s="306"/>
      <c r="D16" s="382"/>
      <c r="E16" s="382"/>
      <c r="F16" s="382"/>
      <c r="G16" s="382"/>
      <c r="H16" s="305"/>
      <c r="I16" s="382"/>
      <c r="J16" s="382"/>
      <c r="K16" s="382"/>
      <c r="L16" s="382"/>
      <c r="M16" s="310"/>
    </row>
    <row r="19" ht="66.75" customHeight="1"/>
    <row r="23" ht="46.5" customHeight="1"/>
    <row r="28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9"/>
  <sheetViews>
    <sheetView view="pageBreakPreview" topLeftCell="B1" zoomScale="90" zoomScaleNormal="100" zoomScaleSheetLayoutView="90" workbookViewId="0">
      <selection activeCell="L2" sqref="L2"/>
    </sheetView>
  </sheetViews>
  <sheetFormatPr baseColWidth="10" defaultColWidth="11.42578125" defaultRowHeight="15"/>
  <cols>
    <col min="1" max="1" width="6.7109375" style="304" customWidth="1"/>
    <col min="2" max="2" width="20.140625" style="304" customWidth="1"/>
    <col min="3" max="3" width="12.140625" style="383" customWidth="1"/>
    <col min="4" max="4" width="14.7109375" style="304" customWidth="1"/>
    <col min="5" max="5" width="10.42578125" style="304" customWidth="1"/>
    <col min="6" max="7" width="15.7109375" style="304" customWidth="1"/>
    <col min="8" max="8" width="14.85546875" style="304" customWidth="1"/>
    <col min="9" max="9" width="14.7109375" style="304" bestFit="1" customWidth="1"/>
    <col min="10" max="10" width="15" style="304" hidden="1" customWidth="1"/>
    <col min="11" max="11" width="14.7109375" style="304" bestFit="1" customWidth="1"/>
    <col min="12" max="12" width="12" style="304" customWidth="1"/>
    <col min="13" max="13" width="14.7109375" style="304" bestFit="1" customWidth="1"/>
    <col min="14" max="14" width="6.7109375" style="304" customWidth="1"/>
    <col min="15" max="161" width="11.42578125" style="304"/>
    <col min="162" max="162" width="2.28515625" style="304" customWidth="1"/>
    <col min="163" max="163" width="2.140625" style="304" customWidth="1"/>
    <col min="164" max="164" width="1.140625" style="304" customWidth="1"/>
    <col min="165" max="166" width="2" style="304" customWidth="1"/>
    <col min="167" max="168" width="2.140625" style="304" customWidth="1"/>
    <col min="169" max="169" width="1.7109375" style="304" customWidth="1"/>
    <col min="170" max="170" width="0.85546875" style="304" customWidth="1"/>
    <col min="171" max="171" width="2" style="304" customWidth="1"/>
    <col min="172" max="172" width="2.140625" style="304" customWidth="1"/>
    <col min="173" max="417" width="11.42578125" style="304"/>
    <col min="418" max="418" width="2.28515625" style="304" customWidth="1"/>
    <col min="419" max="419" width="2.140625" style="304" customWidth="1"/>
    <col min="420" max="420" width="1.140625" style="304" customWidth="1"/>
    <col min="421" max="422" width="2" style="304" customWidth="1"/>
    <col min="423" max="424" width="2.140625" style="304" customWidth="1"/>
    <col min="425" max="425" width="1.7109375" style="304" customWidth="1"/>
    <col min="426" max="426" width="0.85546875" style="304" customWidth="1"/>
    <col min="427" max="427" width="2" style="304" customWidth="1"/>
    <col min="428" max="428" width="2.140625" style="304" customWidth="1"/>
    <col min="429" max="673" width="11.42578125" style="304"/>
    <col min="674" max="674" width="2.28515625" style="304" customWidth="1"/>
    <col min="675" max="675" width="2.140625" style="304" customWidth="1"/>
    <col min="676" max="676" width="1.140625" style="304" customWidth="1"/>
    <col min="677" max="678" width="2" style="304" customWidth="1"/>
    <col min="679" max="680" width="2.140625" style="304" customWidth="1"/>
    <col min="681" max="681" width="1.7109375" style="304" customWidth="1"/>
    <col min="682" max="682" width="0.85546875" style="304" customWidth="1"/>
    <col min="683" max="683" width="2" style="304" customWidth="1"/>
    <col min="684" max="684" width="2.140625" style="304" customWidth="1"/>
    <col min="685" max="929" width="11.42578125" style="304"/>
    <col min="930" max="930" width="2.28515625" style="304" customWidth="1"/>
    <col min="931" max="931" width="2.140625" style="304" customWidth="1"/>
    <col min="932" max="932" width="1.140625" style="304" customWidth="1"/>
    <col min="933" max="934" width="2" style="304" customWidth="1"/>
    <col min="935" max="936" width="2.140625" style="304" customWidth="1"/>
    <col min="937" max="937" width="1.7109375" style="304" customWidth="1"/>
    <col min="938" max="938" width="0.85546875" style="304" customWidth="1"/>
    <col min="939" max="939" width="2" style="304" customWidth="1"/>
    <col min="940" max="940" width="2.140625" style="304" customWidth="1"/>
    <col min="941" max="1185" width="11.42578125" style="304"/>
    <col min="1186" max="1186" width="2.28515625" style="304" customWidth="1"/>
    <col min="1187" max="1187" width="2.140625" style="304" customWidth="1"/>
    <col min="1188" max="1188" width="1.140625" style="304" customWidth="1"/>
    <col min="1189" max="1190" width="2" style="304" customWidth="1"/>
    <col min="1191" max="1192" width="2.140625" style="304" customWidth="1"/>
    <col min="1193" max="1193" width="1.7109375" style="304" customWidth="1"/>
    <col min="1194" max="1194" width="0.85546875" style="304" customWidth="1"/>
    <col min="1195" max="1195" width="2" style="304" customWidth="1"/>
    <col min="1196" max="1196" width="2.140625" style="304" customWidth="1"/>
    <col min="1197" max="1441" width="11.42578125" style="304"/>
    <col min="1442" max="1442" width="2.28515625" style="304" customWidth="1"/>
    <col min="1443" max="1443" width="2.140625" style="304" customWidth="1"/>
    <col min="1444" max="1444" width="1.140625" style="304" customWidth="1"/>
    <col min="1445" max="1446" width="2" style="304" customWidth="1"/>
    <col min="1447" max="1448" width="2.140625" style="304" customWidth="1"/>
    <col min="1449" max="1449" width="1.7109375" style="304" customWidth="1"/>
    <col min="1450" max="1450" width="0.85546875" style="304" customWidth="1"/>
    <col min="1451" max="1451" width="2" style="304" customWidth="1"/>
    <col min="1452" max="1452" width="2.140625" style="304" customWidth="1"/>
    <col min="1453" max="1697" width="11.42578125" style="304"/>
    <col min="1698" max="1698" width="2.28515625" style="304" customWidth="1"/>
    <col min="1699" max="1699" width="2.140625" style="304" customWidth="1"/>
    <col min="1700" max="1700" width="1.140625" style="304" customWidth="1"/>
    <col min="1701" max="1702" width="2" style="304" customWidth="1"/>
    <col min="1703" max="1704" width="2.140625" style="304" customWidth="1"/>
    <col min="1705" max="1705" width="1.7109375" style="304" customWidth="1"/>
    <col min="1706" max="1706" width="0.85546875" style="304" customWidth="1"/>
    <col min="1707" max="1707" width="2" style="304" customWidth="1"/>
    <col min="1708" max="1708" width="2.140625" style="304" customWidth="1"/>
    <col min="1709" max="1953" width="11.42578125" style="304"/>
    <col min="1954" max="1954" width="2.28515625" style="304" customWidth="1"/>
    <col min="1955" max="1955" width="2.140625" style="304" customWidth="1"/>
    <col min="1956" max="1956" width="1.140625" style="304" customWidth="1"/>
    <col min="1957" max="1958" width="2" style="304" customWidth="1"/>
    <col min="1959" max="1960" width="2.140625" style="304" customWidth="1"/>
    <col min="1961" max="1961" width="1.7109375" style="304" customWidth="1"/>
    <col min="1962" max="1962" width="0.85546875" style="304" customWidth="1"/>
    <col min="1963" max="1963" width="2" style="304" customWidth="1"/>
    <col min="1964" max="1964" width="2.140625" style="304" customWidth="1"/>
    <col min="1965" max="2209" width="11.42578125" style="304"/>
    <col min="2210" max="2210" width="2.28515625" style="304" customWidth="1"/>
    <col min="2211" max="2211" width="2.140625" style="304" customWidth="1"/>
    <col min="2212" max="2212" width="1.140625" style="304" customWidth="1"/>
    <col min="2213" max="2214" width="2" style="304" customWidth="1"/>
    <col min="2215" max="2216" width="2.140625" style="304" customWidth="1"/>
    <col min="2217" max="2217" width="1.7109375" style="304" customWidth="1"/>
    <col min="2218" max="2218" width="0.85546875" style="304" customWidth="1"/>
    <col min="2219" max="2219" width="2" style="304" customWidth="1"/>
    <col min="2220" max="2220" width="2.140625" style="304" customWidth="1"/>
    <col min="2221" max="2465" width="11.42578125" style="304"/>
    <col min="2466" max="2466" width="2.28515625" style="304" customWidth="1"/>
    <col min="2467" max="2467" width="2.140625" style="304" customWidth="1"/>
    <col min="2468" max="2468" width="1.140625" style="304" customWidth="1"/>
    <col min="2469" max="2470" width="2" style="304" customWidth="1"/>
    <col min="2471" max="2472" width="2.140625" style="304" customWidth="1"/>
    <col min="2473" max="2473" width="1.7109375" style="304" customWidth="1"/>
    <col min="2474" max="2474" width="0.85546875" style="304" customWidth="1"/>
    <col min="2475" max="2475" width="2" style="304" customWidth="1"/>
    <col min="2476" max="2476" width="2.140625" style="304" customWidth="1"/>
    <col min="2477" max="2721" width="11.42578125" style="304"/>
    <col min="2722" max="2722" width="2.28515625" style="304" customWidth="1"/>
    <col min="2723" max="2723" width="2.140625" style="304" customWidth="1"/>
    <col min="2724" max="2724" width="1.140625" style="304" customWidth="1"/>
    <col min="2725" max="2726" width="2" style="304" customWidth="1"/>
    <col min="2727" max="2728" width="2.140625" style="304" customWidth="1"/>
    <col min="2729" max="2729" width="1.7109375" style="304" customWidth="1"/>
    <col min="2730" max="2730" width="0.85546875" style="304" customWidth="1"/>
    <col min="2731" max="2731" width="2" style="304" customWidth="1"/>
    <col min="2732" max="2732" width="2.140625" style="304" customWidth="1"/>
    <col min="2733" max="2977" width="11.42578125" style="304"/>
    <col min="2978" max="2978" width="2.28515625" style="304" customWidth="1"/>
    <col min="2979" max="2979" width="2.140625" style="304" customWidth="1"/>
    <col min="2980" max="2980" width="1.140625" style="304" customWidth="1"/>
    <col min="2981" max="2982" width="2" style="304" customWidth="1"/>
    <col min="2983" max="2984" width="2.140625" style="304" customWidth="1"/>
    <col min="2985" max="2985" width="1.7109375" style="304" customWidth="1"/>
    <col min="2986" max="2986" width="0.85546875" style="304" customWidth="1"/>
    <col min="2987" max="2987" width="2" style="304" customWidth="1"/>
    <col min="2988" max="2988" width="2.140625" style="304" customWidth="1"/>
    <col min="2989" max="3233" width="11.42578125" style="304"/>
    <col min="3234" max="3234" width="2.28515625" style="304" customWidth="1"/>
    <col min="3235" max="3235" width="2.140625" style="304" customWidth="1"/>
    <col min="3236" max="3236" width="1.140625" style="304" customWidth="1"/>
    <col min="3237" max="3238" width="2" style="304" customWidth="1"/>
    <col min="3239" max="3240" width="2.140625" style="304" customWidth="1"/>
    <col min="3241" max="3241" width="1.7109375" style="304" customWidth="1"/>
    <col min="3242" max="3242" width="0.85546875" style="304" customWidth="1"/>
    <col min="3243" max="3243" width="2" style="304" customWidth="1"/>
    <col min="3244" max="3244" width="2.140625" style="304" customWidth="1"/>
    <col min="3245" max="3489" width="11.42578125" style="304"/>
    <col min="3490" max="3490" width="2.28515625" style="304" customWidth="1"/>
    <col min="3491" max="3491" width="2.140625" style="304" customWidth="1"/>
    <col min="3492" max="3492" width="1.140625" style="304" customWidth="1"/>
    <col min="3493" max="3494" width="2" style="304" customWidth="1"/>
    <col min="3495" max="3496" width="2.140625" style="304" customWidth="1"/>
    <col min="3497" max="3497" width="1.7109375" style="304" customWidth="1"/>
    <col min="3498" max="3498" width="0.85546875" style="304" customWidth="1"/>
    <col min="3499" max="3499" width="2" style="304" customWidth="1"/>
    <col min="3500" max="3500" width="2.140625" style="304" customWidth="1"/>
    <col min="3501" max="3745" width="11.42578125" style="304"/>
    <col min="3746" max="3746" width="2.28515625" style="304" customWidth="1"/>
    <col min="3747" max="3747" width="2.140625" style="304" customWidth="1"/>
    <col min="3748" max="3748" width="1.140625" style="304" customWidth="1"/>
    <col min="3749" max="3750" width="2" style="304" customWidth="1"/>
    <col min="3751" max="3752" width="2.140625" style="304" customWidth="1"/>
    <col min="3753" max="3753" width="1.7109375" style="304" customWidth="1"/>
    <col min="3754" max="3754" width="0.85546875" style="304" customWidth="1"/>
    <col min="3755" max="3755" width="2" style="304" customWidth="1"/>
    <col min="3756" max="3756" width="2.140625" style="304" customWidth="1"/>
    <col min="3757" max="4001" width="11.42578125" style="304"/>
    <col min="4002" max="4002" width="2.28515625" style="304" customWidth="1"/>
    <col min="4003" max="4003" width="2.140625" style="304" customWidth="1"/>
    <col min="4004" max="4004" width="1.140625" style="304" customWidth="1"/>
    <col min="4005" max="4006" width="2" style="304" customWidth="1"/>
    <col min="4007" max="4008" width="2.140625" style="304" customWidth="1"/>
    <col min="4009" max="4009" width="1.7109375" style="304" customWidth="1"/>
    <col min="4010" max="4010" width="0.85546875" style="304" customWidth="1"/>
    <col min="4011" max="4011" width="2" style="304" customWidth="1"/>
    <col min="4012" max="4012" width="2.140625" style="304" customWidth="1"/>
    <col min="4013" max="4257" width="11.42578125" style="304"/>
    <col min="4258" max="4258" width="2.28515625" style="304" customWidth="1"/>
    <col min="4259" max="4259" width="2.140625" style="304" customWidth="1"/>
    <col min="4260" max="4260" width="1.140625" style="304" customWidth="1"/>
    <col min="4261" max="4262" width="2" style="304" customWidth="1"/>
    <col min="4263" max="4264" width="2.140625" style="304" customWidth="1"/>
    <col min="4265" max="4265" width="1.7109375" style="304" customWidth="1"/>
    <col min="4266" max="4266" width="0.85546875" style="304" customWidth="1"/>
    <col min="4267" max="4267" width="2" style="304" customWidth="1"/>
    <col min="4268" max="4268" width="2.140625" style="304" customWidth="1"/>
    <col min="4269" max="4513" width="11.42578125" style="304"/>
    <col min="4514" max="4514" width="2.28515625" style="304" customWidth="1"/>
    <col min="4515" max="4515" width="2.140625" style="304" customWidth="1"/>
    <col min="4516" max="4516" width="1.140625" style="304" customWidth="1"/>
    <col min="4517" max="4518" width="2" style="304" customWidth="1"/>
    <col min="4519" max="4520" width="2.140625" style="304" customWidth="1"/>
    <col min="4521" max="4521" width="1.7109375" style="304" customWidth="1"/>
    <col min="4522" max="4522" width="0.85546875" style="304" customWidth="1"/>
    <col min="4523" max="4523" width="2" style="304" customWidth="1"/>
    <col min="4524" max="4524" width="2.140625" style="304" customWidth="1"/>
    <col min="4525" max="4769" width="11.42578125" style="304"/>
    <col min="4770" max="4770" width="2.28515625" style="304" customWidth="1"/>
    <col min="4771" max="4771" width="2.140625" style="304" customWidth="1"/>
    <col min="4772" max="4772" width="1.140625" style="304" customWidth="1"/>
    <col min="4773" max="4774" width="2" style="304" customWidth="1"/>
    <col min="4775" max="4776" width="2.140625" style="304" customWidth="1"/>
    <col min="4777" max="4777" width="1.7109375" style="304" customWidth="1"/>
    <col min="4778" max="4778" width="0.85546875" style="304" customWidth="1"/>
    <col min="4779" max="4779" width="2" style="304" customWidth="1"/>
    <col min="4780" max="4780" width="2.140625" style="304" customWidth="1"/>
    <col min="4781" max="5025" width="11.42578125" style="304"/>
    <col min="5026" max="5026" width="2.28515625" style="304" customWidth="1"/>
    <col min="5027" max="5027" width="2.140625" style="304" customWidth="1"/>
    <col min="5028" max="5028" width="1.140625" style="304" customWidth="1"/>
    <col min="5029" max="5030" width="2" style="304" customWidth="1"/>
    <col min="5031" max="5032" width="2.140625" style="304" customWidth="1"/>
    <col min="5033" max="5033" width="1.7109375" style="304" customWidth="1"/>
    <col min="5034" max="5034" width="0.85546875" style="304" customWidth="1"/>
    <col min="5035" max="5035" width="2" style="304" customWidth="1"/>
    <col min="5036" max="5036" width="2.140625" style="304" customWidth="1"/>
    <col min="5037" max="5281" width="11.42578125" style="304"/>
    <col min="5282" max="5282" width="2.28515625" style="304" customWidth="1"/>
    <col min="5283" max="5283" width="2.140625" style="304" customWidth="1"/>
    <col min="5284" max="5284" width="1.140625" style="304" customWidth="1"/>
    <col min="5285" max="5286" width="2" style="304" customWidth="1"/>
    <col min="5287" max="5288" width="2.140625" style="304" customWidth="1"/>
    <col min="5289" max="5289" width="1.7109375" style="304" customWidth="1"/>
    <col min="5290" max="5290" width="0.85546875" style="304" customWidth="1"/>
    <col min="5291" max="5291" width="2" style="304" customWidth="1"/>
    <col min="5292" max="5292" width="2.140625" style="304" customWidth="1"/>
    <col min="5293" max="5537" width="11.42578125" style="304"/>
    <col min="5538" max="5538" width="2.28515625" style="304" customWidth="1"/>
    <col min="5539" max="5539" width="2.140625" style="304" customWidth="1"/>
    <col min="5540" max="5540" width="1.140625" style="304" customWidth="1"/>
    <col min="5541" max="5542" width="2" style="304" customWidth="1"/>
    <col min="5543" max="5544" width="2.140625" style="304" customWidth="1"/>
    <col min="5545" max="5545" width="1.7109375" style="304" customWidth="1"/>
    <col min="5546" max="5546" width="0.85546875" style="304" customWidth="1"/>
    <col min="5547" max="5547" width="2" style="304" customWidth="1"/>
    <col min="5548" max="5548" width="2.140625" style="304" customWidth="1"/>
    <col min="5549" max="5793" width="11.42578125" style="304"/>
    <col min="5794" max="5794" width="2.28515625" style="304" customWidth="1"/>
    <col min="5795" max="5795" width="2.140625" style="304" customWidth="1"/>
    <col min="5796" max="5796" width="1.140625" style="304" customWidth="1"/>
    <col min="5797" max="5798" width="2" style="304" customWidth="1"/>
    <col min="5799" max="5800" width="2.140625" style="304" customWidth="1"/>
    <col min="5801" max="5801" width="1.7109375" style="304" customWidth="1"/>
    <col min="5802" max="5802" width="0.85546875" style="304" customWidth="1"/>
    <col min="5803" max="5803" width="2" style="304" customWidth="1"/>
    <col min="5804" max="5804" width="2.140625" style="304" customWidth="1"/>
    <col min="5805" max="6049" width="11.42578125" style="304"/>
    <col min="6050" max="6050" width="2.28515625" style="304" customWidth="1"/>
    <col min="6051" max="6051" width="2.140625" style="304" customWidth="1"/>
    <col min="6052" max="6052" width="1.140625" style="304" customWidth="1"/>
    <col min="6053" max="6054" width="2" style="304" customWidth="1"/>
    <col min="6055" max="6056" width="2.140625" style="304" customWidth="1"/>
    <col min="6057" max="6057" width="1.7109375" style="304" customWidth="1"/>
    <col min="6058" max="6058" width="0.85546875" style="304" customWidth="1"/>
    <col min="6059" max="6059" width="2" style="304" customWidth="1"/>
    <col min="6060" max="6060" width="2.140625" style="304" customWidth="1"/>
    <col min="6061" max="6305" width="11.42578125" style="304"/>
    <col min="6306" max="6306" width="2.28515625" style="304" customWidth="1"/>
    <col min="6307" max="6307" width="2.140625" style="304" customWidth="1"/>
    <col min="6308" max="6308" width="1.140625" style="304" customWidth="1"/>
    <col min="6309" max="6310" width="2" style="304" customWidth="1"/>
    <col min="6311" max="6312" width="2.140625" style="304" customWidth="1"/>
    <col min="6313" max="6313" width="1.7109375" style="304" customWidth="1"/>
    <col min="6314" max="6314" width="0.85546875" style="304" customWidth="1"/>
    <col min="6315" max="6315" width="2" style="304" customWidth="1"/>
    <col min="6316" max="6316" width="2.140625" style="304" customWidth="1"/>
    <col min="6317" max="6561" width="11.42578125" style="304"/>
    <col min="6562" max="6562" width="2.28515625" style="304" customWidth="1"/>
    <col min="6563" max="6563" width="2.140625" style="304" customWidth="1"/>
    <col min="6564" max="6564" width="1.140625" style="304" customWidth="1"/>
    <col min="6565" max="6566" width="2" style="304" customWidth="1"/>
    <col min="6567" max="6568" width="2.140625" style="304" customWidth="1"/>
    <col min="6569" max="6569" width="1.7109375" style="304" customWidth="1"/>
    <col min="6570" max="6570" width="0.85546875" style="304" customWidth="1"/>
    <col min="6571" max="6571" width="2" style="304" customWidth="1"/>
    <col min="6572" max="6572" width="2.140625" style="304" customWidth="1"/>
    <col min="6573" max="6817" width="11.42578125" style="304"/>
    <col min="6818" max="6818" width="2.28515625" style="304" customWidth="1"/>
    <col min="6819" max="6819" width="2.140625" style="304" customWidth="1"/>
    <col min="6820" max="6820" width="1.140625" style="304" customWidth="1"/>
    <col min="6821" max="6822" width="2" style="304" customWidth="1"/>
    <col min="6823" max="6824" width="2.140625" style="304" customWidth="1"/>
    <col min="6825" max="6825" width="1.7109375" style="304" customWidth="1"/>
    <col min="6826" max="6826" width="0.85546875" style="304" customWidth="1"/>
    <col min="6827" max="6827" width="2" style="304" customWidth="1"/>
    <col min="6828" max="6828" width="2.140625" style="304" customWidth="1"/>
    <col min="6829" max="7073" width="11.42578125" style="304"/>
    <col min="7074" max="7074" width="2.28515625" style="304" customWidth="1"/>
    <col min="7075" max="7075" width="2.140625" style="304" customWidth="1"/>
    <col min="7076" max="7076" width="1.140625" style="304" customWidth="1"/>
    <col min="7077" max="7078" width="2" style="304" customWidth="1"/>
    <col min="7079" max="7080" width="2.140625" style="304" customWidth="1"/>
    <col min="7081" max="7081" width="1.7109375" style="304" customWidth="1"/>
    <col min="7082" max="7082" width="0.85546875" style="304" customWidth="1"/>
    <col min="7083" max="7083" width="2" style="304" customWidth="1"/>
    <col min="7084" max="7084" width="2.140625" style="304" customWidth="1"/>
    <col min="7085" max="7329" width="11.42578125" style="304"/>
    <col min="7330" max="7330" width="2.28515625" style="304" customWidth="1"/>
    <col min="7331" max="7331" width="2.140625" style="304" customWidth="1"/>
    <col min="7332" max="7332" width="1.140625" style="304" customWidth="1"/>
    <col min="7333" max="7334" width="2" style="304" customWidth="1"/>
    <col min="7335" max="7336" width="2.140625" style="304" customWidth="1"/>
    <col min="7337" max="7337" width="1.7109375" style="304" customWidth="1"/>
    <col min="7338" max="7338" width="0.85546875" style="304" customWidth="1"/>
    <col min="7339" max="7339" width="2" style="304" customWidth="1"/>
    <col min="7340" max="7340" width="2.140625" style="304" customWidth="1"/>
    <col min="7341" max="7585" width="11.42578125" style="304"/>
    <col min="7586" max="7586" width="2.28515625" style="304" customWidth="1"/>
    <col min="7587" max="7587" width="2.140625" style="304" customWidth="1"/>
    <col min="7588" max="7588" width="1.140625" style="304" customWidth="1"/>
    <col min="7589" max="7590" width="2" style="304" customWidth="1"/>
    <col min="7591" max="7592" width="2.140625" style="304" customWidth="1"/>
    <col min="7593" max="7593" width="1.7109375" style="304" customWidth="1"/>
    <col min="7594" max="7594" width="0.85546875" style="304" customWidth="1"/>
    <col min="7595" max="7595" width="2" style="304" customWidth="1"/>
    <col min="7596" max="7596" width="2.140625" style="304" customWidth="1"/>
    <col min="7597" max="7841" width="11.42578125" style="304"/>
    <col min="7842" max="7842" width="2.28515625" style="304" customWidth="1"/>
    <col min="7843" max="7843" width="2.140625" style="304" customWidth="1"/>
    <col min="7844" max="7844" width="1.140625" style="304" customWidth="1"/>
    <col min="7845" max="7846" width="2" style="304" customWidth="1"/>
    <col min="7847" max="7848" width="2.140625" style="304" customWidth="1"/>
    <col min="7849" max="7849" width="1.7109375" style="304" customWidth="1"/>
    <col min="7850" max="7850" width="0.85546875" style="304" customWidth="1"/>
    <col min="7851" max="7851" width="2" style="304" customWidth="1"/>
    <col min="7852" max="7852" width="2.140625" style="304" customWidth="1"/>
    <col min="7853" max="8097" width="11.42578125" style="304"/>
    <col min="8098" max="8098" width="2.28515625" style="304" customWidth="1"/>
    <col min="8099" max="8099" width="2.140625" style="304" customWidth="1"/>
    <col min="8100" max="8100" width="1.140625" style="304" customWidth="1"/>
    <col min="8101" max="8102" width="2" style="304" customWidth="1"/>
    <col min="8103" max="8104" width="2.140625" style="304" customWidth="1"/>
    <col min="8105" max="8105" width="1.7109375" style="304" customWidth="1"/>
    <col min="8106" max="8106" width="0.85546875" style="304" customWidth="1"/>
    <col min="8107" max="8107" width="2" style="304" customWidth="1"/>
    <col min="8108" max="8108" width="2.140625" style="304" customWidth="1"/>
    <col min="8109" max="8353" width="11.42578125" style="304"/>
    <col min="8354" max="8354" width="2.28515625" style="304" customWidth="1"/>
    <col min="8355" max="8355" width="2.140625" style="304" customWidth="1"/>
    <col min="8356" max="8356" width="1.140625" style="304" customWidth="1"/>
    <col min="8357" max="8358" width="2" style="304" customWidth="1"/>
    <col min="8359" max="8360" width="2.140625" style="304" customWidth="1"/>
    <col min="8361" max="8361" width="1.7109375" style="304" customWidth="1"/>
    <col min="8362" max="8362" width="0.85546875" style="304" customWidth="1"/>
    <col min="8363" max="8363" width="2" style="304" customWidth="1"/>
    <col min="8364" max="8364" width="2.140625" style="304" customWidth="1"/>
    <col min="8365" max="8609" width="11.42578125" style="304"/>
    <col min="8610" max="8610" width="2.28515625" style="304" customWidth="1"/>
    <col min="8611" max="8611" width="2.140625" style="304" customWidth="1"/>
    <col min="8612" max="8612" width="1.140625" style="304" customWidth="1"/>
    <col min="8613" max="8614" width="2" style="304" customWidth="1"/>
    <col min="8615" max="8616" width="2.140625" style="304" customWidth="1"/>
    <col min="8617" max="8617" width="1.7109375" style="304" customWidth="1"/>
    <col min="8618" max="8618" width="0.85546875" style="304" customWidth="1"/>
    <col min="8619" max="8619" width="2" style="304" customWidth="1"/>
    <col min="8620" max="8620" width="2.140625" style="304" customWidth="1"/>
    <col min="8621" max="8865" width="11.42578125" style="304"/>
    <col min="8866" max="8866" width="2.28515625" style="304" customWidth="1"/>
    <col min="8867" max="8867" width="2.140625" style="304" customWidth="1"/>
    <col min="8868" max="8868" width="1.140625" style="304" customWidth="1"/>
    <col min="8869" max="8870" width="2" style="304" customWidth="1"/>
    <col min="8871" max="8872" width="2.140625" style="304" customWidth="1"/>
    <col min="8873" max="8873" width="1.7109375" style="304" customWidth="1"/>
    <col min="8874" max="8874" width="0.85546875" style="304" customWidth="1"/>
    <col min="8875" max="8875" width="2" style="304" customWidth="1"/>
    <col min="8876" max="8876" width="2.140625" style="304" customWidth="1"/>
    <col min="8877" max="9121" width="11.42578125" style="304"/>
    <col min="9122" max="9122" width="2.28515625" style="304" customWidth="1"/>
    <col min="9123" max="9123" width="2.140625" style="304" customWidth="1"/>
    <col min="9124" max="9124" width="1.140625" style="304" customWidth="1"/>
    <col min="9125" max="9126" width="2" style="304" customWidth="1"/>
    <col min="9127" max="9128" width="2.140625" style="304" customWidth="1"/>
    <col min="9129" max="9129" width="1.7109375" style="304" customWidth="1"/>
    <col min="9130" max="9130" width="0.85546875" style="304" customWidth="1"/>
    <col min="9131" max="9131" width="2" style="304" customWidth="1"/>
    <col min="9132" max="9132" width="2.140625" style="304" customWidth="1"/>
    <col min="9133" max="9377" width="11.42578125" style="304"/>
    <col min="9378" max="9378" width="2.28515625" style="304" customWidth="1"/>
    <col min="9379" max="9379" width="2.140625" style="304" customWidth="1"/>
    <col min="9380" max="9380" width="1.140625" style="304" customWidth="1"/>
    <col min="9381" max="9382" width="2" style="304" customWidth="1"/>
    <col min="9383" max="9384" width="2.140625" style="304" customWidth="1"/>
    <col min="9385" max="9385" width="1.7109375" style="304" customWidth="1"/>
    <col min="9386" max="9386" width="0.85546875" style="304" customWidth="1"/>
    <col min="9387" max="9387" width="2" style="304" customWidth="1"/>
    <col min="9388" max="9388" width="2.140625" style="304" customWidth="1"/>
    <col min="9389" max="9633" width="11.42578125" style="304"/>
    <col min="9634" max="9634" width="2.28515625" style="304" customWidth="1"/>
    <col min="9635" max="9635" width="2.140625" style="304" customWidth="1"/>
    <col min="9636" max="9636" width="1.140625" style="304" customWidth="1"/>
    <col min="9637" max="9638" width="2" style="304" customWidth="1"/>
    <col min="9639" max="9640" width="2.140625" style="304" customWidth="1"/>
    <col min="9641" max="9641" width="1.7109375" style="304" customWidth="1"/>
    <col min="9642" max="9642" width="0.85546875" style="304" customWidth="1"/>
    <col min="9643" max="9643" width="2" style="304" customWidth="1"/>
    <col min="9644" max="9644" width="2.140625" style="304" customWidth="1"/>
    <col min="9645" max="9889" width="11.42578125" style="304"/>
    <col min="9890" max="9890" width="2.28515625" style="304" customWidth="1"/>
    <col min="9891" max="9891" width="2.140625" style="304" customWidth="1"/>
    <col min="9892" max="9892" width="1.140625" style="304" customWidth="1"/>
    <col min="9893" max="9894" width="2" style="304" customWidth="1"/>
    <col min="9895" max="9896" width="2.140625" style="304" customWidth="1"/>
    <col min="9897" max="9897" width="1.7109375" style="304" customWidth="1"/>
    <col min="9898" max="9898" width="0.85546875" style="304" customWidth="1"/>
    <col min="9899" max="9899" width="2" style="304" customWidth="1"/>
    <col min="9900" max="9900" width="2.140625" style="304" customWidth="1"/>
    <col min="9901" max="10145" width="11.42578125" style="304"/>
    <col min="10146" max="10146" width="2.28515625" style="304" customWidth="1"/>
    <col min="10147" max="10147" width="2.140625" style="304" customWidth="1"/>
    <col min="10148" max="10148" width="1.140625" style="304" customWidth="1"/>
    <col min="10149" max="10150" width="2" style="304" customWidth="1"/>
    <col min="10151" max="10152" width="2.140625" style="304" customWidth="1"/>
    <col min="10153" max="10153" width="1.7109375" style="304" customWidth="1"/>
    <col min="10154" max="10154" width="0.85546875" style="304" customWidth="1"/>
    <col min="10155" max="10155" width="2" style="304" customWidth="1"/>
    <col min="10156" max="10156" width="2.140625" style="304" customWidth="1"/>
    <col min="10157" max="10401" width="11.42578125" style="304"/>
    <col min="10402" max="10402" width="2.28515625" style="304" customWidth="1"/>
    <col min="10403" max="10403" width="2.140625" style="304" customWidth="1"/>
    <col min="10404" max="10404" width="1.140625" style="304" customWidth="1"/>
    <col min="10405" max="10406" width="2" style="304" customWidth="1"/>
    <col min="10407" max="10408" width="2.140625" style="304" customWidth="1"/>
    <col min="10409" max="10409" width="1.7109375" style="304" customWidth="1"/>
    <col min="10410" max="10410" width="0.85546875" style="304" customWidth="1"/>
    <col min="10411" max="10411" width="2" style="304" customWidth="1"/>
    <col min="10412" max="10412" width="2.140625" style="304" customWidth="1"/>
    <col min="10413" max="10657" width="11.42578125" style="304"/>
    <col min="10658" max="10658" width="2.28515625" style="304" customWidth="1"/>
    <col min="10659" max="10659" width="2.140625" style="304" customWidth="1"/>
    <col min="10660" max="10660" width="1.140625" style="304" customWidth="1"/>
    <col min="10661" max="10662" width="2" style="304" customWidth="1"/>
    <col min="10663" max="10664" width="2.140625" style="304" customWidth="1"/>
    <col min="10665" max="10665" width="1.7109375" style="304" customWidth="1"/>
    <col min="10666" max="10666" width="0.85546875" style="304" customWidth="1"/>
    <col min="10667" max="10667" width="2" style="304" customWidth="1"/>
    <col min="10668" max="10668" width="2.140625" style="304" customWidth="1"/>
    <col min="10669" max="10913" width="11.42578125" style="304"/>
    <col min="10914" max="10914" width="2.28515625" style="304" customWidth="1"/>
    <col min="10915" max="10915" width="2.140625" style="304" customWidth="1"/>
    <col min="10916" max="10916" width="1.140625" style="304" customWidth="1"/>
    <col min="10917" max="10918" width="2" style="304" customWidth="1"/>
    <col min="10919" max="10920" width="2.140625" style="304" customWidth="1"/>
    <col min="10921" max="10921" width="1.7109375" style="304" customWidth="1"/>
    <col min="10922" max="10922" width="0.85546875" style="304" customWidth="1"/>
    <col min="10923" max="10923" width="2" style="304" customWidth="1"/>
    <col min="10924" max="10924" width="2.140625" style="304" customWidth="1"/>
    <col min="10925" max="11169" width="11.42578125" style="304"/>
    <col min="11170" max="11170" width="2.28515625" style="304" customWidth="1"/>
    <col min="11171" max="11171" width="2.140625" style="304" customWidth="1"/>
    <col min="11172" max="11172" width="1.140625" style="304" customWidth="1"/>
    <col min="11173" max="11174" width="2" style="304" customWidth="1"/>
    <col min="11175" max="11176" width="2.140625" style="304" customWidth="1"/>
    <col min="11177" max="11177" width="1.7109375" style="304" customWidth="1"/>
    <col min="11178" max="11178" width="0.85546875" style="304" customWidth="1"/>
    <col min="11179" max="11179" width="2" style="304" customWidth="1"/>
    <col min="11180" max="11180" width="2.140625" style="304" customWidth="1"/>
    <col min="11181" max="11425" width="11.42578125" style="304"/>
    <col min="11426" max="11426" width="2.28515625" style="304" customWidth="1"/>
    <col min="11427" max="11427" width="2.140625" style="304" customWidth="1"/>
    <col min="11428" max="11428" width="1.140625" style="304" customWidth="1"/>
    <col min="11429" max="11430" width="2" style="304" customWidth="1"/>
    <col min="11431" max="11432" width="2.140625" style="304" customWidth="1"/>
    <col min="11433" max="11433" width="1.7109375" style="304" customWidth="1"/>
    <col min="11434" max="11434" width="0.85546875" style="304" customWidth="1"/>
    <col min="11435" max="11435" width="2" style="304" customWidth="1"/>
    <col min="11436" max="11436" width="2.140625" style="304" customWidth="1"/>
    <col min="11437" max="11681" width="11.42578125" style="304"/>
    <col min="11682" max="11682" width="2.28515625" style="304" customWidth="1"/>
    <col min="11683" max="11683" width="2.140625" style="304" customWidth="1"/>
    <col min="11684" max="11684" width="1.140625" style="304" customWidth="1"/>
    <col min="11685" max="11686" width="2" style="304" customWidth="1"/>
    <col min="11687" max="11688" width="2.140625" style="304" customWidth="1"/>
    <col min="11689" max="11689" width="1.7109375" style="304" customWidth="1"/>
    <col min="11690" max="11690" width="0.85546875" style="304" customWidth="1"/>
    <col min="11691" max="11691" width="2" style="304" customWidth="1"/>
    <col min="11692" max="11692" width="2.140625" style="304" customWidth="1"/>
    <col min="11693" max="11937" width="11.42578125" style="304"/>
    <col min="11938" max="11938" width="2.28515625" style="304" customWidth="1"/>
    <col min="11939" max="11939" width="2.140625" style="304" customWidth="1"/>
    <col min="11940" max="11940" width="1.140625" style="304" customWidth="1"/>
    <col min="11941" max="11942" width="2" style="304" customWidth="1"/>
    <col min="11943" max="11944" width="2.140625" style="304" customWidth="1"/>
    <col min="11945" max="11945" width="1.7109375" style="304" customWidth="1"/>
    <col min="11946" max="11946" width="0.85546875" style="304" customWidth="1"/>
    <col min="11947" max="11947" width="2" style="304" customWidth="1"/>
    <col min="11948" max="11948" width="2.140625" style="304" customWidth="1"/>
    <col min="11949" max="12193" width="11.42578125" style="304"/>
    <col min="12194" max="12194" width="2.28515625" style="304" customWidth="1"/>
    <col min="12195" max="12195" width="2.140625" style="304" customWidth="1"/>
    <col min="12196" max="12196" width="1.140625" style="304" customWidth="1"/>
    <col min="12197" max="12198" width="2" style="304" customWidth="1"/>
    <col min="12199" max="12200" width="2.140625" style="304" customWidth="1"/>
    <col min="12201" max="12201" width="1.7109375" style="304" customWidth="1"/>
    <col min="12202" max="12202" width="0.85546875" style="304" customWidth="1"/>
    <col min="12203" max="12203" width="2" style="304" customWidth="1"/>
    <col min="12204" max="12204" width="2.140625" style="304" customWidth="1"/>
    <col min="12205" max="12449" width="11.42578125" style="304"/>
    <col min="12450" max="12450" width="2.28515625" style="304" customWidth="1"/>
    <col min="12451" max="12451" width="2.140625" style="304" customWidth="1"/>
    <col min="12452" max="12452" width="1.140625" style="304" customWidth="1"/>
    <col min="12453" max="12454" width="2" style="304" customWidth="1"/>
    <col min="12455" max="12456" width="2.140625" style="304" customWidth="1"/>
    <col min="12457" max="12457" width="1.7109375" style="304" customWidth="1"/>
    <col min="12458" max="12458" width="0.85546875" style="304" customWidth="1"/>
    <col min="12459" max="12459" width="2" style="304" customWidth="1"/>
    <col min="12460" max="12460" width="2.140625" style="304" customWidth="1"/>
    <col min="12461" max="12705" width="11.42578125" style="304"/>
    <col min="12706" max="12706" width="2.28515625" style="304" customWidth="1"/>
    <col min="12707" max="12707" width="2.140625" style="304" customWidth="1"/>
    <col min="12708" max="12708" width="1.140625" style="304" customWidth="1"/>
    <col min="12709" max="12710" width="2" style="304" customWidth="1"/>
    <col min="12711" max="12712" width="2.140625" style="304" customWidth="1"/>
    <col min="12713" max="12713" width="1.7109375" style="304" customWidth="1"/>
    <col min="12714" max="12714" width="0.85546875" style="304" customWidth="1"/>
    <col min="12715" max="12715" width="2" style="304" customWidth="1"/>
    <col min="12716" max="12716" width="2.140625" style="304" customWidth="1"/>
    <col min="12717" max="12961" width="11.42578125" style="304"/>
    <col min="12962" max="12962" width="2.28515625" style="304" customWidth="1"/>
    <col min="12963" max="12963" width="2.140625" style="304" customWidth="1"/>
    <col min="12964" max="12964" width="1.140625" style="304" customWidth="1"/>
    <col min="12965" max="12966" width="2" style="304" customWidth="1"/>
    <col min="12967" max="12968" width="2.140625" style="304" customWidth="1"/>
    <col min="12969" max="12969" width="1.7109375" style="304" customWidth="1"/>
    <col min="12970" max="12970" width="0.85546875" style="304" customWidth="1"/>
    <col min="12971" max="12971" width="2" style="304" customWidth="1"/>
    <col min="12972" max="12972" width="2.140625" style="304" customWidth="1"/>
    <col min="12973" max="13217" width="11.42578125" style="304"/>
    <col min="13218" max="13218" width="2.28515625" style="304" customWidth="1"/>
    <col min="13219" max="13219" width="2.140625" style="304" customWidth="1"/>
    <col min="13220" max="13220" width="1.140625" style="304" customWidth="1"/>
    <col min="13221" max="13222" width="2" style="304" customWidth="1"/>
    <col min="13223" max="13224" width="2.140625" style="304" customWidth="1"/>
    <col min="13225" max="13225" width="1.7109375" style="304" customWidth="1"/>
    <col min="13226" max="13226" width="0.85546875" style="304" customWidth="1"/>
    <col min="13227" max="13227" width="2" style="304" customWidth="1"/>
    <col min="13228" max="13228" width="2.140625" style="304" customWidth="1"/>
    <col min="13229" max="13473" width="11.42578125" style="304"/>
    <col min="13474" max="13474" width="2.28515625" style="304" customWidth="1"/>
    <col min="13475" max="13475" width="2.140625" style="304" customWidth="1"/>
    <col min="13476" max="13476" width="1.140625" style="304" customWidth="1"/>
    <col min="13477" max="13478" width="2" style="304" customWidth="1"/>
    <col min="13479" max="13480" width="2.140625" style="304" customWidth="1"/>
    <col min="13481" max="13481" width="1.7109375" style="304" customWidth="1"/>
    <col min="13482" max="13482" width="0.85546875" style="304" customWidth="1"/>
    <col min="13483" max="13483" width="2" style="304" customWidth="1"/>
    <col min="13484" max="13484" width="2.140625" style="304" customWidth="1"/>
    <col min="13485" max="13729" width="11.42578125" style="304"/>
    <col min="13730" max="13730" width="2.28515625" style="304" customWidth="1"/>
    <col min="13731" max="13731" width="2.140625" style="304" customWidth="1"/>
    <col min="13732" max="13732" width="1.140625" style="304" customWidth="1"/>
    <col min="13733" max="13734" width="2" style="304" customWidth="1"/>
    <col min="13735" max="13736" width="2.140625" style="304" customWidth="1"/>
    <col min="13737" max="13737" width="1.7109375" style="304" customWidth="1"/>
    <col min="13738" max="13738" width="0.85546875" style="304" customWidth="1"/>
    <col min="13739" max="13739" width="2" style="304" customWidth="1"/>
    <col min="13740" max="13740" width="2.140625" style="304" customWidth="1"/>
    <col min="13741" max="13985" width="11.42578125" style="304"/>
    <col min="13986" max="13986" width="2.28515625" style="304" customWidth="1"/>
    <col min="13987" max="13987" width="2.140625" style="304" customWidth="1"/>
    <col min="13988" max="13988" width="1.140625" style="304" customWidth="1"/>
    <col min="13989" max="13990" width="2" style="304" customWidth="1"/>
    <col min="13991" max="13992" width="2.140625" style="304" customWidth="1"/>
    <col min="13993" max="13993" width="1.7109375" style="304" customWidth="1"/>
    <col min="13994" max="13994" width="0.85546875" style="304" customWidth="1"/>
    <col min="13995" max="13995" width="2" style="304" customWidth="1"/>
    <col min="13996" max="13996" width="2.140625" style="304" customWidth="1"/>
    <col min="13997" max="14241" width="11.42578125" style="304"/>
    <col min="14242" max="14242" width="2.28515625" style="304" customWidth="1"/>
    <col min="14243" max="14243" width="2.140625" style="304" customWidth="1"/>
    <col min="14244" max="14244" width="1.140625" style="304" customWidth="1"/>
    <col min="14245" max="14246" width="2" style="304" customWidth="1"/>
    <col min="14247" max="14248" width="2.140625" style="304" customWidth="1"/>
    <col min="14249" max="14249" width="1.7109375" style="304" customWidth="1"/>
    <col min="14250" max="14250" width="0.85546875" style="304" customWidth="1"/>
    <col min="14251" max="14251" width="2" style="304" customWidth="1"/>
    <col min="14252" max="14252" width="2.140625" style="304" customWidth="1"/>
    <col min="14253" max="14497" width="11.42578125" style="304"/>
    <col min="14498" max="14498" width="2.28515625" style="304" customWidth="1"/>
    <col min="14499" max="14499" width="2.140625" style="304" customWidth="1"/>
    <col min="14500" max="14500" width="1.140625" style="304" customWidth="1"/>
    <col min="14501" max="14502" width="2" style="304" customWidth="1"/>
    <col min="14503" max="14504" width="2.140625" style="304" customWidth="1"/>
    <col min="14505" max="14505" width="1.7109375" style="304" customWidth="1"/>
    <col min="14506" max="14506" width="0.85546875" style="304" customWidth="1"/>
    <col min="14507" max="14507" width="2" style="304" customWidth="1"/>
    <col min="14508" max="14508" width="2.140625" style="304" customWidth="1"/>
    <col min="14509" max="14753" width="11.42578125" style="304"/>
    <col min="14754" max="14754" width="2.28515625" style="304" customWidth="1"/>
    <col min="14755" max="14755" width="2.140625" style="304" customWidth="1"/>
    <col min="14756" max="14756" width="1.140625" style="304" customWidth="1"/>
    <col min="14757" max="14758" width="2" style="304" customWidth="1"/>
    <col min="14759" max="14760" width="2.140625" style="304" customWidth="1"/>
    <col min="14761" max="14761" width="1.7109375" style="304" customWidth="1"/>
    <col min="14762" max="14762" width="0.85546875" style="304" customWidth="1"/>
    <col min="14763" max="14763" width="2" style="304" customWidth="1"/>
    <col min="14764" max="14764" width="2.140625" style="304" customWidth="1"/>
    <col min="14765" max="15009" width="11.42578125" style="304"/>
    <col min="15010" max="15010" width="2.28515625" style="304" customWidth="1"/>
    <col min="15011" max="15011" width="2.140625" style="304" customWidth="1"/>
    <col min="15012" max="15012" width="1.140625" style="304" customWidth="1"/>
    <col min="15013" max="15014" width="2" style="304" customWidth="1"/>
    <col min="15015" max="15016" width="2.140625" style="304" customWidth="1"/>
    <col min="15017" max="15017" width="1.7109375" style="304" customWidth="1"/>
    <col min="15018" max="15018" width="0.85546875" style="304" customWidth="1"/>
    <col min="15019" max="15019" width="2" style="304" customWidth="1"/>
    <col min="15020" max="15020" width="2.140625" style="304" customWidth="1"/>
    <col min="15021" max="15265" width="11.42578125" style="304"/>
    <col min="15266" max="15266" width="2.28515625" style="304" customWidth="1"/>
    <col min="15267" max="15267" width="2.140625" style="304" customWidth="1"/>
    <col min="15268" max="15268" width="1.140625" style="304" customWidth="1"/>
    <col min="15269" max="15270" width="2" style="304" customWidth="1"/>
    <col min="15271" max="15272" width="2.140625" style="304" customWidth="1"/>
    <col min="15273" max="15273" width="1.7109375" style="304" customWidth="1"/>
    <col min="15274" max="15274" width="0.85546875" style="304" customWidth="1"/>
    <col min="15275" max="15275" width="2" style="304" customWidth="1"/>
    <col min="15276" max="15276" width="2.140625" style="304" customWidth="1"/>
    <col min="15277" max="15521" width="11.42578125" style="304"/>
    <col min="15522" max="15522" width="2.28515625" style="304" customWidth="1"/>
    <col min="15523" max="15523" width="2.140625" style="304" customWidth="1"/>
    <col min="15524" max="15524" width="1.140625" style="304" customWidth="1"/>
    <col min="15525" max="15526" width="2" style="304" customWidth="1"/>
    <col min="15527" max="15528" width="2.140625" style="304" customWidth="1"/>
    <col min="15529" max="15529" width="1.7109375" style="304" customWidth="1"/>
    <col min="15530" max="15530" width="0.85546875" style="304" customWidth="1"/>
    <col min="15531" max="15531" width="2" style="304" customWidth="1"/>
    <col min="15532" max="15532" width="2.140625" style="304" customWidth="1"/>
    <col min="15533" max="15777" width="11.42578125" style="304"/>
    <col min="15778" max="15778" width="2.28515625" style="304" customWidth="1"/>
    <col min="15779" max="15779" width="2.140625" style="304" customWidth="1"/>
    <col min="15780" max="15780" width="1.140625" style="304" customWidth="1"/>
    <col min="15781" max="15782" width="2" style="304" customWidth="1"/>
    <col min="15783" max="15784" width="2.140625" style="304" customWidth="1"/>
    <col min="15785" max="15785" width="1.7109375" style="304" customWidth="1"/>
    <col min="15786" max="15786" width="0.85546875" style="304" customWidth="1"/>
    <col min="15787" max="15787" width="2" style="304" customWidth="1"/>
    <col min="15788" max="15788" width="2.140625" style="304" customWidth="1"/>
    <col min="15789" max="16033" width="11.42578125" style="304"/>
    <col min="16034" max="16034" width="2.28515625" style="304" customWidth="1"/>
    <col min="16035" max="16035" width="2.140625" style="304" customWidth="1"/>
    <col min="16036" max="16036" width="1.140625" style="304" customWidth="1"/>
    <col min="16037" max="16038" width="2" style="304" customWidth="1"/>
    <col min="16039" max="16040" width="2.140625" style="304" customWidth="1"/>
    <col min="16041" max="16041" width="1.7109375" style="304" customWidth="1"/>
    <col min="16042" max="16042" width="0.85546875" style="304" customWidth="1"/>
    <col min="16043" max="16043" width="2" style="304" customWidth="1"/>
    <col min="16044" max="16044" width="2.140625" style="304" customWidth="1"/>
    <col min="16045" max="16384" width="11.42578125" style="304"/>
  </cols>
  <sheetData>
    <row r="1" spans="2:13" ht="8.25" customHeight="1"/>
    <row r="2" spans="2:13" ht="51.75" customHeight="1" thickBot="1"/>
    <row r="3" spans="2:13" s="386" customFormat="1" ht="16.5" thickBot="1">
      <c r="B3" s="384"/>
      <c r="C3" s="385"/>
      <c r="D3" s="748" t="s">
        <v>626</v>
      </c>
      <c r="E3" s="749"/>
      <c r="F3" s="384"/>
      <c r="G3" s="750" t="s">
        <v>648</v>
      </c>
      <c r="H3" s="751"/>
      <c r="I3" s="751"/>
      <c r="J3" s="751"/>
      <c r="K3" s="751"/>
      <c r="L3" s="752"/>
      <c r="M3" s="414"/>
    </row>
    <row r="4" spans="2:13" s="356" customFormat="1" ht="39" thickBot="1">
      <c r="B4" s="433" t="s">
        <v>7</v>
      </c>
      <c r="C4" s="434" t="s">
        <v>634</v>
      </c>
      <c r="D4" s="435" t="s">
        <v>15</v>
      </c>
      <c r="E4" s="436" t="s">
        <v>627</v>
      </c>
      <c r="F4" s="437" t="s">
        <v>16</v>
      </c>
      <c r="G4" s="437" t="s">
        <v>658</v>
      </c>
      <c r="H4" s="437" t="s">
        <v>628</v>
      </c>
      <c r="I4" s="437" t="s">
        <v>659</v>
      </c>
      <c r="J4" s="436" t="s">
        <v>629</v>
      </c>
      <c r="K4" s="437" t="s">
        <v>630</v>
      </c>
      <c r="L4" s="437" t="s">
        <v>631</v>
      </c>
      <c r="M4" s="437" t="s">
        <v>632</v>
      </c>
    </row>
    <row r="5" spans="2:13" s="439" customFormat="1" ht="15.95" customHeight="1">
      <c r="B5" s="438" t="s">
        <v>399</v>
      </c>
      <c r="C5" s="393">
        <f>+VLOOKUP($B5,RESUMEN!$A$15:$H$52,2,FALSE)</f>
        <v>4</v>
      </c>
      <c r="D5" s="393">
        <f>+VLOOKUP($B5,RESUMEN!$A$15:$H$52,3,FALSE)</f>
        <v>9297587800</v>
      </c>
      <c r="E5" s="394">
        <f t="shared" ref="E5:E10" si="0">D5/D$16</f>
        <v>0.17755733759080108</v>
      </c>
      <c r="F5" s="393">
        <f>+VLOOKUP($B5,RESUMEN!$A$15:$H$52,4,FALSE)</f>
        <v>1407928844</v>
      </c>
      <c r="G5" s="393">
        <f>+VLOOKUP($B5,RESUMEN!$A$15:$H$52,5,FALSE)</f>
        <v>2010463754.666702</v>
      </c>
      <c r="H5" s="395">
        <f t="shared" ref="H5:H15" si="1">G5/G$16</f>
        <v>0.13435030645958831</v>
      </c>
      <c r="I5" s="393">
        <f>+VLOOKUP($B5,RESUMEN!$A$15:$H$52,6,FALSE)</f>
        <v>12960778</v>
      </c>
      <c r="J5" s="396">
        <f t="shared" ref="J5:J15" si="2">+G5-I5</f>
        <v>1997502976.666702</v>
      </c>
      <c r="K5" s="393">
        <f>+VLOOKUP($B5,RESUMEN!$A$15:$H$52,7,FALSE)</f>
        <v>1997502976.666702</v>
      </c>
      <c r="L5" s="397">
        <f t="shared" ref="L5:L16" si="3">I5/G5</f>
        <v>6.4466608611646716E-3</v>
      </c>
      <c r="M5" s="393">
        <f>+VLOOKUP($B5,RESUMEN!$A$15:$H$52,8,FALSE)</f>
        <v>5879195201.3332977</v>
      </c>
    </row>
    <row r="6" spans="2:13" s="439" customFormat="1" ht="15.95" customHeight="1">
      <c r="B6" s="440" t="s">
        <v>300</v>
      </c>
      <c r="C6" s="393">
        <f>+VLOOKUP($B6,RESUMEN!$A$15:$H$52,2,FALSE)</f>
        <v>11</v>
      </c>
      <c r="D6" s="393">
        <f>+VLOOKUP($B6,RESUMEN!$A$15:$H$52,3,FALSE)</f>
        <v>4018803499</v>
      </c>
      <c r="E6" s="400">
        <f t="shared" si="0"/>
        <v>7.6747653792851048E-2</v>
      </c>
      <c r="F6" s="393">
        <f>+VLOOKUP($B6,RESUMEN!$A$15:$H$52,4,FALSE)</f>
        <v>1055727100</v>
      </c>
      <c r="G6" s="393">
        <f>+VLOOKUP($B6,RESUMEN!$A$15:$H$52,5,FALSE)</f>
        <v>1494628006</v>
      </c>
      <c r="H6" s="401">
        <f t="shared" si="1"/>
        <v>9.9879309031598529E-2</v>
      </c>
      <c r="I6" s="393">
        <f>+VLOOKUP($B6,RESUMEN!$A$15:$H$52,6,FALSE)</f>
        <v>180989073</v>
      </c>
      <c r="J6" s="402">
        <f t="shared" si="2"/>
        <v>1313638933</v>
      </c>
      <c r="K6" s="393">
        <f>+VLOOKUP($B6,RESUMEN!$A$15:$H$52,7,FALSE)</f>
        <v>1313638933</v>
      </c>
      <c r="L6" s="403">
        <f t="shared" si="3"/>
        <v>0.12109305611392378</v>
      </c>
      <c r="M6" s="393">
        <f>+VLOOKUP($B6,RESUMEN!$A$15:$H$52,8,FALSE)</f>
        <v>1468448393</v>
      </c>
    </row>
    <row r="7" spans="2:13" s="439" customFormat="1" ht="15.95" customHeight="1">
      <c r="B7" s="440" t="s">
        <v>314</v>
      </c>
      <c r="C7" s="393">
        <f>+VLOOKUP($B7,RESUMEN!$A$15:$H$52,2,FALSE)</f>
        <v>10</v>
      </c>
      <c r="D7" s="393">
        <f>+VLOOKUP($B7,RESUMEN!$A$15:$H$52,3,FALSE)</f>
        <v>7438222000</v>
      </c>
      <c r="E7" s="400">
        <f t="shared" si="0"/>
        <v>0.14204876825463519</v>
      </c>
      <c r="F7" s="393">
        <f>+VLOOKUP($B7,RESUMEN!$A$15:$H$52,4,FALSE)</f>
        <v>1783569456</v>
      </c>
      <c r="G7" s="393">
        <f>+VLOOKUP($B7,RESUMEN!$A$15:$H$52,5,FALSE)</f>
        <v>2469667554</v>
      </c>
      <c r="H7" s="401">
        <f t="shared" si="1"/>
        <v>0.16503684384412509</v>
      </c>
      <c r="I7" s="393">
        <f>+VLOOKUP($B7,RESUMEN!$A$15:$H$52,6,FALSE)</f>
        <v>85989325</v>
      </c>
      <c r="J7" s="402">
        <f t="shared" si="2"/>
        <v>2383678229</v>
      </c>
      <c r="K7" s="393">
        <f>+VLOOKUP($B7,RESUMEN!$A$15:$H$52,7,FALSE)</f>
        <v>2383678229</v>
      </c>
      <c r="L7" s="403">
        <f t="shared" si="3"/>
        <v>3.481817820407742E-2</v>
      </c>
      <c r="M7" s="393">
        <f>+VLOOKUP($B7,RESUMEN!$A$15:$H$52,8,FALSE)</f>
        <v>3184984990</v>
      </c>
    </row>
    <row r="8" spans="2:13" s="439" customFormat="1" ht="15.95" customHeight="1">
      <c r="B8" s="440" t="s">
        <v>327</v>
      </c>
      <c r="C8" s="393">
        <f>+VLOOKUP($B8,RESUMEN!$A$15:$H$52,2,FALSE)</f>
        <v>9</v>
      </c>
      <c r="D8" s="393">
        <f>+VLOOKUP($B8,RESUMEN!$A$15:$H$52,3,FALSE)</f>
        <v>5994285684</v>
      </c>
      <c r="E8" s="400">
        <f t="shared" si="0"/>
        <v>0.11447371401103563</v>
      </c>
      <c r="F8" s="393">
        <f>+VLOOKUP($B8,RESUMEN!$A$15:$H$52,4,FALSE)</f>
        <v>1557956702</v>
      </c>
      <c r="G8" s="393">
        <f>+VLOOKUP($B8,RESUMEN!$A$15:$H$52,5,FALSE)</f>
        <v>1027875630</v>
      </c>
      <c r="H8" s="401">
        <f t="shared" si="1"/>
        <v>6.8688334008655677E-2</v>
      </c>
      <c r="I8" s="393">
        <f>+VLOOKUP($B8,RESUMEN!$A$15:$H$52,6,FALSE)</f>
        <v>57781035</v>
      </c>
      <c r="J8" s="402">
        <f t="shared" si="2"/>
        <v>970094595</v>
      </c>
      <c r="K8" s="393">
        <f>+VLOOKUP($B8,RESUMEN!$A$15:$H$52,7,FALSE)</f>
        <v>970094595</v>
      </c>
      <c r="L8" s="403">
        <f t="shared" si="3"/>
        <v>5.6214033404021847E-2</v>
      </c>
      <c r="M8" s="393">
        <f>+VLOOKUP($B8,RESUMEN!$A$15:$H$52,8,FALSE)</f>
        <v>3408453352</v>
      </c>
    </row>
    <row r="9" spans="2:13" s="439" customFormat="1" ht="15.95" customHeight="1">
      <c r="B9" s="441" t="s">
        <v>339</v>
      </c>
      <c r="C9" s="393">
        <f>+VLOOKUP($B9,RESUMEN!$A$15:$H$52,2,FALSE)</f>
        <v>3</v>
      </c>
      <c r="D9" s="393">
        <f>+VLOOKUP($B9,RESUMEN!$A$15:$H$52,3,FALSE)</f>
        <v>2327715000</v>
      </c>
      <c r="E9" s="400">
        <f t="shared" si="0"/>
        <v>4.44526996636882E-2</v>
      </c>
      <c r="F9" s="393">
        <f>+VLOOKUP($B9,RESUMEN!$A$15:$H$52,4,FALSE)</f>
        <v>650412984</v>
      </c>
      <c r="G9" s="393">
        <f>+VLOOKUP($B9,RESUMEN!$A$15:$H$52,5,FALSE)</f>
        <v>678218516</v>
      </c>
      <c r="H9" s="401">
        <f t="shared" si="1"/>
        <v>4.5322311958950506E-2</v>
      </c>
      <c r="I9" s="393">
        <f>+VLOOKUP($B9,RESUMEN!$A$15:$H$52,6,FALSE)</f>
        <v>113651927</v>
      </c>
      <c r="J9" s="402">
        <f t="shared" si="2"/>
        <v>564566589</v>
      </c>
      <c r="K9" s="393">
        <f>+VLOOKUP($B9,RESUMEN!$A$15:$H$52,7,FALSE)</f>
        <v>564566589</v>
      </c>
      <c r="L9" s="403">
        <f t="shared" si="3"/>
        <v>0.16757420258930236</v>
      </c>
      <c r="M9" s="393">
        <f>+VLOOKUP($B9,RESUMEN!$A$15:$H$52,8,FALSE)</f>
        <v>999083500</v>
      </c>
    </row>
    <row r="10" spans="2:13" s="439" customFormat="1" ht="15.95" customHeight="1">
      <c r="B10" s="441" t="s">
        <v>345</v>
      </c>
      <c r="C10" s="393">
        <f>+VLOOKUP($B10,RESUMEN!$A$15:$H$52,2,FALSE)</f>
        <v>9</v>
      </c>
      <c r="D10" s="393">
        <f>+VLOOKUP($B10,RESUMEN!$A$15:$H$52,3,FALSE)</f>
        <v>3521210184</v>
      </c>
      <c r="E10" s="400">
        <f t="shared" si="0"/>
        <v>6.7245044501613074E-2</v>
      </c>
      <c r="F10" s="393">
        <f>+VLOOKUP($B10,RESUMEN!$A$15:$H$52,4,FALSE)</f>
        <v>552981006</v>
      </c>
      <c r="G10" s="393">
        <f>+VLOOKUP($B10,RESUMEN!$A$15:$H$52,5,FALSE)</f>
        <v>1897437788</v>
      </c>
      <c r="H10" s="401">
        <f t="shared" si="1"/>
        <v>0.12679728630475343</v>
      </c>
      <c r="I10" s="393">
        <f>+VLOOKUP($B10,RESUMEN!$A$15:$H$52,6,FALSE)</f>
        <v>40429878</v>
      </c>
      <c r="J10" s="402">
        <f t="shared" si="2"/>
        <v>1857007910</v>
      </c>
      <c r="K10" s="393">
        <f>+VLOOKUP($B10,RESUMEN!$A$15:$H$52,7,FALSE)</f>
        <v>1857007910</v>
      </c>
      <c r="L10" s="403">
        <f t="shared" si="3"/>
        <v>2.1307617174956356E-2</v>
      </c>
      <c r="M10" s="393">
        <f>+VLOOKUP($B10,RESUMEN!$A$15:$H$52,8,FALSE)</f>
        <v>1070791390</v>
      </c>
    </row>
    <row r="11" spans="2:13" s="439" customFormat="1" ht="15.95" customHeight="1">
      <c r="B11" s="441" t="s">
        <v>358</v>
      </c>
      <c r="C11" s="393">
        <f>+VLOOKUP($B11,RESUMEN!$A$15:$H$52,2,FALSE)</f>
        <v>3</v>
      </c>
      <c r="D11" s="393">
        <f>+VLOOKUP($B11,RESUMEN!$A$15:$H$52,3,FALSE)</f>
        <v>4338932337</v>
      </c>
      <c r="E11" s="400">
        <f>D11/D$16</f>
        <v>8.2861199089117765E-2</v>
      </c>
      <c r="F11" s="393">
        <f>+VLOOKUP($B11,RESUMEN!$A$15:$H$52,4,FALSE)</f>
        <v>3282614899</v>
      </c>
      <c r="G11" s="393">
        <f>+VLOOKUP($B11,RESUMEN!$A$15:$H$52,5,FALSE)</f>
        <v>252389548</v>
      </c>
      <c r="H11" s="401">
        <f t="shared" si="1"/>
        <v>1.6866065375358334E-2</v>
      </c>
      <c r="I11" s="393">
        <f>+VLOOKUP($B11,RESUMEN!$A$15:$H$52,6,FALSE)</f>
        <v>0</v>
      </c>
      <c r="J11" s="402">
        <f t="shared" si="2"/>
        <v>252389548</v>
      </c>
      <c r="K11" s="393">
        <f>+VLOOKUP($B11,RESUMEN!$A$15:$H$52,7,FALSE)</f>
        <v>252389548</v>
      </c>
      <c r="L11" s="403">
        <f t="shared" si="3"/>
        <v>0</v>
      </c>
      <c r="M11" s="393">
        <f>+VLOOKUP($B11,RESUMEN!$A$15:$H$52,8,FALSE)</f>
        <v>803927890</v>
      </c>
    </row>
    <row r="12" spans="2:13" s="439" customFormat="1" ht="15.95" customHeight="1">
      <c r="B12" s="441" t="s">
        <v>363</v>
      </c>
      <c r="C12" s="393">
        <f>+VLOOKUP($B12,RESUMEN!$A$15:$H$52,2,FALSE)</f>
        <v>5</v>
      </c>
      <c r="D12" s="393">
        <f>+VLOOKUP($B12,RESUMEN!$A$15:$H$52,3,FALSE)</f>
        <v>2526883000</v>
      </c>
      <c r="E12" s="400">
        <f>D12/D$16</f>
        <v>4.8256238879879815E-2</v>
      </c>
      <c r="F12" s="393">
        <f>+VLOOKUP($B12,RESUMEN!$A$15:$H$52,4,FALSE)</f>
        <v>771466530</v>
      </c>
      <c r="G12" s="393">
        <f>+VLOOKUP($B12,RESUMEN!$A$15:$H$52,5,FALSE)</f>
        <v>973442212</v>
      </c>
      <c r="H12" s="401">
        <f t="shared" si="1"/>
        <v>6.5050791987334711E-2</v>
      </c>
      <c r="I12" s="393">
        <f>+VLOOKUP($B12,RESUMEN!$A$15:$H$52,6,FALSE)</f>
        <v>117404362</v>
      </c>
      <c r="J12" s="402">
        <f t="shared" si="2"/>
        <v>856037850</v>
      </c>
      <c r="K12" s="393">
        <f>+VLOOKUP($B12,RESUMEN!$A$15:$H$52,7,FALSE)</f>
        <v>856037850</v>
      </c>
      <c r="L12" s="403">
        <f t="shared" si="3"/>
        <v>0.12060742851780092</v>
      </c>
      <c r="M12" s="393">
        <f>+VLOOKUP($B12,RESUMEN!$A$15:$H$52,8,FALSE)</f>
        <v>781974258</v>
      </c>
    </row>
    <row r="13" spans="2:13" s="439" customFormat="1" ht="15.95" customHeight="1">
      <c r="B13" s="441" t="s">
        <v>370</v>
      </c>
      <c r="C13" s="393">
        <f>+VLOOKUP($B13,RESUMEN!$A$15:$H$52,2,FALSE)</f>
        <v>10</v>
      </c>
      <c r="D13" s="393">
        <f>+VLOOKUP($B13,RESUMEN!$A$15:$H$52,3,FALSE)</f>
        <v>6891003000</v>
      </c>
      <c r="E13" s="400">
        <f>D13/D$16</f>
        <v>0.13159845030021905</v>
      </c>
      <c r="F13" s="393">
        <f>+VLOOKUP($B13,RESUMEN!$A$15:$H$52,4,FALSE)</f>
        <v>2391277130</v>
      </c>
      <c r="G13" s="393">
        <f>+VLOOKUP($B13,RESUMEN!$A$15:$H$52,5,FALSE)</f>
        <v>2165564609</v>
      </c>
      <c r="H13" s="401">
        <f t="shared" si="1"/>
        <v>0.14471500329306947</v>
      </c>
      <c r="I13" s="393">
        <f>+VLOOKUP($B13,RESUMEN!$A$15:$H$52,6,FALSE)</f>
        <v>62039496</v>
      </c>
      <c r="J13" s="402">
        <f t="shared" si="2"/>
        <v>2103525113</v>
      </c>
      <c r="K13" s="393">
        <f>+VLOOKUP($B13,RESUMEN!$A$15:$H$52,7,FALSE)</f>
        <v>2103525113</v>
      </c>
      <c r="L13" s="403">
        <f t="shared" si="3"/>
        <v>2.8648185208682453E-2</v>
      </c>
      <c r="M13" s="393">
        <f>+VLOOKUP($B13,RESUMEN!$A$15:$H$52,8,FALSE)</f>
        <v>2334161261</v>
      </c>
    </row>
    <row r="14" spans="2:13" s="439" customFormat="1" ht="15.95" customHeight="1">
      <c r="B14" s="441" t="s">
        <v>383</v>
      </c>
      <c r="C14" s="393">
        <f>+VLOOKUP($B14,RESUMEN!$A$15:$H$52,2,FALSE)</f>
        <v>9</v>
      </c>
      <c r="D14" s="393">
        <f>+VLOOKUP($B14,RESUMEN!$A$15:$H$52,3,FALSE)</f>
        <v>4669483805</v>
      </c>
      <c r="E14" s="400">
        <f>D14/D$16</f>
        <v>8.9173786811581751E-2</v>
      </c>
      <c r="F14" s="393">
        <f>+VLOOKUP($B14,RESUMEN!$A$15:$H$52,4,FALSE)</f>
        <v>1959994133</v>
      </c>
      <c r="G14" s="393">
        <f>+VLOOKUP($B14,RESUMEN!$A$15:$H$52,5,FALSE)</f>
        <v>1090561050</v>
      </c>
      <c r="H14" s="401">
        <f t="shared" si="1"/>
        <v>7.2877320439273613E-2</v>
      </c>
      <c r="I14" s="393">
        <f>+VLOOKUP($B14,RESUMEN!$A$15:$H$52,6,FALSE)</f>
        <v>0</v>
      </c>
      <c r="J14" s="402">
        <f t="shared" si="2"/>
        <v>1090561050</v>
      </c>
      <c r="K14" s="393">
        <f>+VLOOKUP($B14,RESUMEN!$A$15:$H$52,7,FALSE)</f>
        <v>1090561050</v>
      </c>
      <c r="L14" s="403">
        <f t="shared" si="3"/>
        <v>0</v>
      </c>
      <c r="M14" s="393">
        <f>+VLOOKUP($B14,RESUMEN!$A$15:$H$52,8,FALSE)</f>
        <v>1618928622</v>
      </c>
    </row>
    <row r="15" spans="2:13" s="439" customFormat="1" ht="15.95" customHeight="1" thickBot="1">
      <c r="B15" s="441" t="s">
        <v>394</v>
      </c>
      <c r="C15" s="393">
        <f>+VLOOKUP($B15,RESUMEN!$A$15:$H$52,2,FALSE)</f>
        <v>4</v>
      </c>
      <c r="D15" s="393">
        <f>+VLOOKUP($B15,RESUMEN!$A$15:$H$52,3,FALSE)</f>
        <v>1339735000</v>
      </c>
      <c r="E15" s="420">
        <f>D15/D$16</f>
        <v>2.558510710457737E-2</v>
      </c>
      <c r="F15" s="393">
        <f>+VLOOKUP($B15,RESUMEN!$A$15:$H$52,4,FALSE)</f>
        <v>730000</v>
      </c>
      <c r="G15" s="393">
        <f>+VLOOKUP($B15,RESUMEN!$A$15:$H$52,5,FALSE)</f>
        <v>904092000</v>
      </c>
      <c r="H15" s="442">
        <f t="shared" si="1"/>
        <v>6.0416427297292311E-2</v>
      </c>
      <c r="I15" s="393">
        <f>+VLOOKUP($B15,RESUMEN!$A$15:$H$52,6,FALSE)</f>
        <v>7074985</v>
      </c>
      <c r="J15" s="421">
        <f t="shared" si="2"/>
        <v>897017015</v>
      </c>
      <c r="K15" s="393">
        <f>+VLOOKUP($B15,RESUMEN!$A$15:$H$52,7,FALSE)</f>
        <v>897017015</v>
      </c>
      <c r="L15" s="422">
        <f t="shared" si="3"/>
        <v>7.825514438796052E-3</v>
      </c>
      <c r="M15" s="393">
        <f>+VLOOKUP($B15,RESUMEN!$A$15:$H$52,8,FALSE)</f>
        <v>434913000</v>
      </c>
    </row>
    <row r="16" spans="2:13" ht="15.75" thickBot="1">
      <c r="B16" s="443" t="s">
        <v>633</v>
      </c>
      <c r="C16" s="444">
        <f t="shared" ref="C16:K16" si="4">SUM(C5:C15)</f>
        <v>77</v>
      </c>
      <c r="D16" s="445">
        <f t="shared" si="4"/>
        <v>52363861309</v>
      </c>
      <c r="E16" s="446">
        <f t="shared" si="4"/>
        <v>1</v>
      </c>
      <c r="F16" s="447">
        <f t="shared" si="4"/>
        <v>15414658784</v>
      </c>
      <c r="G16" s="445">
        <f t="shared" si="4"/>
        <v>14964340667.666702</v>
      </c>
      <c r="H16" s="448">
        <f t="shared" si="4"/>
        <v>1</v>
      </c>
      <c r="I16" s="449">
        <f t="shared" si="4"/>
        <v>678320859</v>
      </c>
      <c r="J16" s="449">
        <f t="shared" si="4"/>
        <v>14286019808.666702</v>
      </c>
      <c r="K16" s="450">
        <f t="shared" si="4"/>
        <v>14286019808.666702</v>
      </c>
      <c r="L16" s="451">
        <f t="shared" si="3"/>
        <v>4.5329151084193164E-2</v>
      </c>
      <c r="M16" s="452">
        <f>SUM(M5:M15)</f>
        <v>21984861857.333298</v>
      </c>
    </row>
    <row r="17" spans="2:13" ht="18">
      <c r="B17" s="305"/>
      <c r="C17" s="306"/>
      <c r="D17" s="382"/>
      <c r="E17" s="382"/>
      <c r="F17" s="382"/>
      <c r="G17" s="382"/>
      <c r="H17" s="305"/>
      <c r="I17" s="382"/>
      <c r="J17" s="382"/>
      <c r="K17" s="382"/>
      <c r="L17" s="382"/>
      <c r="M17" s="310"/>
    </row>
    <row r="20" spans="2:13" ht="66.75" customHeight="1"/>
    <row r="24" spans="2:13" ht="46.5" customHeight="1"/>
    <row r="29" spans="2:13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4"/>
  <sheetViews>
    <sheetView view="pageBreakPreview" zoomScaleNormal="100" zoomScaleSheetLayoutView="100" workbookViewId="0">
      <selection activeCell="F3" sqref="F3"/>
    </sheetView>
  </sheetViews>
  <sheetFormatPr baseColWidth="10" defaultColWidth="11.42578125" defaultRowHeight="15"/>
  <cols>
    <col min="1" max="1" width="6.7109375" style="304" customWidth="1"/>
    <col min="2" max="2" width="23.5703125" style="304" customWidth="1"/>
    <col min="3" max="3" width="12.140625" style="383" customWidth="1"/>
    <col min="4" max="4" width="14.7109375" style="304" customWidth="1"/>
    <col min="5" max="5" width="10.42578125" style="304" customWidth="1"/>
    <col min="6" max="6" width="15.7109375" style="304" customWidth="1"/>
    <col min="7" max="7" width="14.7109375" style="304" customWidth="1"/>
    <col min="8" max="9" width="14.140625" style="304" customWidth="1"/>
    <col min="10" max="10" width="15" style="304" hidden="1" customWidth="1"/>
    <col min="11" max="11" width="13.7109375" style="304" customWidth="1"/>
    <col min="12" max="12" width="11.28515625" style="304" customWidth="1"/>
    <col min="13" max="13" width="13.7109375" style="304" customWidth="1"/>
    <col min="14" max="14" width="6.7109375" style="304" customWidth="1"/>
    <col min="15" max="162" width="11.42578125" style="304"/>
    <col min="163" max="163" width="2.28515625" style="304" customWidth="1"/>
    <col min="164" max="164" width="2.140625" style="304" customWidth="1"/>
    <col min="165" max="165" width="1.140625" style="304" customWidth="1"/>
    <col min="166" max="167" width="2" style="304" customWidth="1"/>
    <col min="168" max="169" width="2.140625" style="304" customWidth="1"/>
    <col min="170" max="170" width="1.7109375" style="304" customWidth="1"/>
    <col min="171" max="171" width="0.85546875" style="304" customWidth="1"/>
    <col min="172" max="172" width="2" style="304" customWidth="1"/>
    <col min="173" max="173" width="2.140625" style="304" customWidth="1"/>
    <col min="174" max="418" width="11.42578125" style="304"/>
    <col min="419" max="419" width="2.28515625" style="304" customWidth="1"/>
    <col min="420" max="420" width="2.140625" style="304" customWidth="1"/>
    <col min="421" max="421" width="1.140625" style="304" customWidth="1"/>
    <col min="422" max="423" width="2" style="304" customWidth="1"/>
    <col min="424" max="425" width="2.140625" style="304" customWidth="1"/>
    <col min="426" max="426" width="1.7109375" style="304" customWidth="1"/>
    <col min="427" max="427" width="0.85546875" style="304" customWidth="1"/>
    <col min="428" max="428" width="2" style="304" customWidth="1"/>
    <col min="429" max="429" width="2.140625" style="304" customWidth="1"/>
    <col min="430" max="674" width="11.42578125" style="304"/>
    <col min="675" max="675" width="2.28515625" style="304" customWidth="1"/>
    <col min="676" max="676" width="2.140625" style="304" customWidth="1"/>
    <col min="677" max="677" width="1.140625" style="304" customWidth="1"/>
    <col min="678" max="679" width="2" style="304" customWidth="1"/>
    <col min="680" max="681" width="2.140625" style="304" customWidth="1"/>
    <col min="682" max="682" width="1.7109375" style="304" customWidth="1"/>
    <col min="683" max="683" width="0.85546875" style="304" customWidth="1"/>
    <col min="684" max="684" width="2" style="304" customWidth="1"/>
    <col min="685" max="685" width="2.140625" style="304" customWidth="1"/>
    <col min="686" max="930" width="11.42578125" style="304"/>
    <col min="931" max="931" width="2.28515625" style="304" customWidth="1"/>
    <col min="932" max="932" width="2.140625" style="304" customWidth="1"/>
    <col min="933" max="933" width="1.140625" style="304" customWidth="1"/>
    <col min="934" max="935" width="2" style="304" customWidth="1"/>
    <col min="936" max="937" width="2.140625" style="304" customWidth="1"/>
    <col min="938" max="938" width="1.7109375" style="304" customWidth="1"/>
    <col min="939" max="939" width="0.85546875" style="304" customWidth="1"/>
    <col min="940" max="940" width="2" style="304" customWidth="1"/>
    <col min="941" max="941" width="2.140625" style="304" customWidth="1"/>
    <col min="942" max="1186" width="11.42578125" style="304"/>
    <col min="1187" max="1187" width="2.28515625" style="304" customWidth="1"/>
    <col min="1188" max="1188" width="2.140625" style="304" customWidth="1"/>
    <col min="1189" max="1189" width="1.140625" style="304" customWidth="1"/>
    <col min="1190" max="1191" width="2" style="304" customWidth="1"/>
    <col min="1192" max="1193" width="2.140625" style="304" customWidth="1"/>
    <col min="1194" max="1194" width="1.7109375" style="304" customWidth="1"/>
    <col min="1195" max="1195" width="0.85546875" style="304" customWidth="1"/>
    <col min="1196" max="1196" width="2" style="304" customWidth="1"/>
    <col min="1197" max="1197" width="2.140625" style="304" customWidth="1"/>
    <col min="1198" max="1442" width="11.42578125" style="304"/>
    <col min="1443" max="1443" width="2.28515625" style="304" customWidth="1"/>
    <col min="1444" max="1444" width="2.140625" style="304" customWidth="1"/>
    <col min="1445" max="1445" width="1.140625" style="304" customWidth="1"/>
    <col min="1446" max="1447" width="2" style="304" customWidth="1"/>
    <col min="1448" max="1449" width="2.140625" style="304" customWidth="1"/>
    <col min="1450" max="1450" width="1.7109375" style="304" customWidth="1"/>
    <col min="1451" max="1451" width="0.85546875" style="304" customWidth="1"/>
    <col min="1452" max="1452" width="2" style="304" customWidth="1"/>
    <col min="1453" max="1453" width="2.140625" style="304" customWidth="1"/>
    <col min="1454" max="1698" width="11.42578125" style="304"/>
    <col min="1699" max="1699" width="2.28515625" style="304" customWidth="1"/>
    <col min="1700" max="1700" width="2.140625" style="304" customWidth="1"/>
    <col min="1701" max="1701" width="1.140625" style="304" customWidth="1"/>
    <col min="1702" max="1703" width="2" style="304" customWidth="1"/>
    <col min="1704" max="1705" width="2.140625" style="304" customWidth="1"/>
    <col min="1706" max="1706" width="1.7109375" style="304" customWidth="1"/>
    <col min="1707" max="1707" width="0.85546875" style="304" customWidth="1"/>
    <col min="1708" max="1708" width="2" style="304" customWidth="1"/>
    <col min="1709" max="1709" width="2.140625" style="304" customWidth="1"/>
    <col min="1710" max="1954" width="11.42578125" style="304"/>
    <col min="1955" max="1955" width="2.28515625" style="304" customWidth="1"/>
    <col min="1956" max="1956" width="2.140625" style="304" customWidth="1"/>
    <col min="1957" max="1957" width="1.140625" style="304" customWidth="1"/>
    <col min="1958" max="1959" width="2" style="304" customWidth="1"/>
    <col min="1960" max="1961" width="2.140625" style="304" customWidth="1"/>
    <col min="1962" max="1962" width="1.7109375" style="304" customWidth="1"/>
    <col min="1963" max="1963" width="0.85546875" style="304" customWidth="1"/>
    <col min="1964" max="1964" width="2" style="304" customWidth="1"/>
    <col min="1965" max="1965" width="2.140625" style="304" customWidth="1"/>
    <col min="1966" max="2210" width="11.42578125" style="304"/>
    <col min="2211" max="2211" width="2.28515625" style="304" customWidth="1"/>
    <col min="2212" max="2212" width="2.140625" style="304" customWidth="1"/>
    <col min="2213" max="2213" width="1.140625" style="304" customWidth="1"/>
    <col min="2214" max="2215" width="2" style="304" customWidth="1"/>
    <col min="2216" max="2217" width="2.140625" style="304" customWidth="1"/>
    <col min="2218" max="2218" width="1.7109375" style="304" customWidth="1"/>
    <col min="2219" max="2219" width="0.85546875" style="304" customWidth="1"/>
    <col min="2220" max="2220" width="2" style="304" customWidth="1"/>
    <col min="2221" max="2221" width="2.140625" style="304" customWidth="1"/>
    <col min="2222" max="2466" width="11.42578125" style="304"/>
    <col min="2467" max="2467" width="2.28515625" style="304" customWidth="1"/>
    <col min="2468" max="2468" width="2.140625" style="304" customWidth="1"/>
    <col min="2469" max="2469" width="1.140625" style="304" customWidth="1"/>
    <col min="2470" max="2471" width="2" style="304" customWidth="1"/>
    <col min="2472" max="2473" width="2.140625" style="304" customWidth="1"/>
    <col min="2474" max="2474" width="1.7109375" style="304" customWidth="1"/>
    <col min="2475" max="2475" width="0.85546875" style="304" customWidth="1"/>
    <col min="2476" max="2476" width="2" style="304" customWidth="1"/>
    <col min="2477" max="2477" width="2.140625" style="304" customWidth="1"/>
    <col min="2478" max="2722" width="11.42578125" style="304"/>
    <col min="2723" max="2723" width="2.28515625" style="304" customWidth="1"/>
    <col min="2724" max="2724" width="2.140625" style="304" customWidth="1"/>
    <col min="2725" max="2725" width="1.140625" style="304" customWidth="1"/>
    <col min="2726" max="2727" width="2" style="304" customWidth="1"/>
    <col min="2728" max="2729" width="2.140625" style="304" customWidth="1"/>
    <col min="2730" max="2730" width="1.7109375" style="304" customWidth="1"/>
    <col min="2731" max="2731" width="0.85546875" style="304" customWidth="1"/>
    <col min="2732" max="2732" width="2" style="304" customWidth="1"/>
    <col min="2733" max="2733" width="2.140625" style="304" customWidth="1"/>
    <col min="2734" max="2978" width="11.42578125" style="304"/>
    <col min="2979" max="2979" width="2.28515625" style="304" customWidth="1"/>
    <col min="2980" max="2980" width="2.140625" style="304" customWidth="1"/>
    <col min="2981" max="2981" width="1.140625" style="304" customWidth="1"/>
    <col min="2982" max="2983" width="2" style="304" customWidth="1"/>
    <col min="2984" max="2985" width="2.140625" style="304" customWidth="1"/>
    <col min="2986" max="2986" width="1.7109375" style="304" customWidth="1"/>
    <col min="2987" max="2987" width="0.85546875" style="304" customWidth="1"/>
    <col min="2988" max="2988" width="2" style="304" customWidth="1"/>
    <col min="2989" max="2989" width="2.140625" style="304" customWidth="1"/>
    <col min="2990" max="3234" width="11.42578125" style="304"/>
    <col min="3235" max="3235" width="2.28515625" style="304" customWidth="1"/>
    <col min="3236" max="3236" width="2.140625" style="304" customWidth="1"/>
    <col min="3237" max="3237" width="1.140625" style="304" customWidth="1"/>
    <col min="3238" max="3239" width="2" style="304" customWidth="1"/>
    <col min="3240" max="3241" width="2.140625" style="304" customWidth="1"/>
    <col min="3242" max="3242" width="1.7109375" style="304" customWidth="1"/>
    <col min="3243" max="3243" width="0.85546875" style="304" customWidth="1"/>
    <col min="3244" max="3244" width="2" style="304" customWidth="1"/>
    <col min="3245" max="3245" width="2.140625" style="304" customWidth="1"/>
    <col min="3246" max="3490" width="11.42578125" style="304"/>
    <col min="3491" max="3491" width="2.28515625" style="304" customWidth="1"/>
    <col min="3492" max="3492" width="2.140625" style="304" customWidth="1"/>
    <col min="3493" max="3493" width="1.140625" style="304" customWidth="1"/>
    <col min="3494" max="3495" width="2" style="304" customWidth="1"/>
    <col min="3496" max="3497" width="2.140625" style="304" customWidth="1"/>
    <col min="3498" max="3498" width="1.7109375" style="304" customWidth="1"/>
    <col min="3499" max="3499" width="0.85546875" style="304" customWidth="1"/>
    <col min="3500" max="3500" width="2" style="304" customWidth="1"/>
    <col min="3501" max="3501" width="2.140625" style="304" customWidth="1"/>
    <col min="3502" max="3746" width="11.42578125" style="304"/>
    <col min="3747" max="3747" width="2.28515625" style="304" customWidth="1"/>
    <col min="3748" max="3748" width="2.140625" style="304" customWidth="1"/>
    <col min="3749" max="3749" width="1.140625" style="304" customWidth="1"/>
    <col min="3750" max="3751" width="2" style="304" customWidth="1"/>
    <col min="3752" max="3753" width="2.140625" style="304" customWidth="1"/>
    <col min="3754" max="3754" width="1.7109375" style="304" customWidth="1"/>
    <col min="3755" max="3755" width="0.85546875" style="304" customWidth="1"/>
    <col min="3756" max="3756" width="2" style="304" customWidth="1"/>
    <col min="3757" max="3757" width="2.140625" style="304" customWidth="1"/>
    <col min="3758" max="4002" width="11.42578125" style="304"/>
    <col min="4003" max="4003" width="2.28515625" style="304" customWidth="1"/>
    <col min="4004" max="4004" width="2.140625" style="304" customWidth="1"/>
    <col min="4005" max="4005" width="1.140625" style="304" customWidth="1"/>
    <col min="4006" max="4007" width="2" style="304" customWidth="1"/>
    <col min="4008" max="4009" width="2.140625" style="304" customWidth="1"/>
    <col min="4010" max="4010" width="1.7109375" style="304" customWidth="1"/>
    <col min="4011" max="4011" width="0.85546875" style="304" customWidth="1"/>
    <col min="4012" max="4012" width="2" style="304" customWidth="1"/>
    <col min="4013" max="4013" width="2.140625" style="304" customWidth="1"/>
    <col min="4014" max="4258" width="11.42578125" style="304"/>
    <col min="4259" max="4259" width="2.28515625" style="304" customWidth="1"/>
    <col min="4260" max="4260" width="2.140625" style="304" customWidth="1"/>
    <col min="4261" max="4261" width="1.140625" style="304" customWidth="1"/>
    <col min="4262" max="4263" width="2" style="304" customWidth="1"/>
    <col min="4264" max="4265" width="2.140625" style="304" customWidth="1"/>
    <col min="4266" max="4266" width="1.7109375" style="304" customWidth="1"/>
    <col min="4267" max="4267" width="0.85546875" style="304" customWidth="1"/>
    <col min="4268" max="4268" width="2" style="304" customWidth="1"/>
    <col min="4269" max="4269" width="2.140625" style="304" customWidth="1"/>
    <col min="4270" max="4514" width="11.42578125" style="304"/>
    <col min="4515" max="4515" width="2.28515625" style="304" customWidth="1"/>
    <col min="4516" max="4516" width="2.140625" style="304" customWidth="1"/>
    <col min="4517" max="4517" width="1.140625" style="304" customWidth="1"/>
    <col min="4518" max="4519" width="2" style="304" customWidth="1"/>
    <col min="4520" max="4521" width="2.140625" style="304" customWidth="1"/>
    <col min="4522" max="4522" width="1.7109375" style="304" customWidth="1"/>
    <col min="4523" max="4523" width="0.85546875" style="304" customWidth="1"/>
    <col min="4524" max="4524" width="2" style="304" customWidth="1"/>
    <col min="4525" max="4525" width="2.140625" style="304" customWidth="1"/>
    <col min="4526" max="4770" width="11.42578125" style="304"/>
    <col min="4771" max="4771" width="2.28515625" style="304" customWidth="1"/>
    <col min="4772" max="4772" width="2.140625" style="304" customWidth="1"/>
    <col min="4773" max="4773" width="1.140625" style="304" customWidth="1"/>
    <col min="4774" max="4775" width="2" style="304" customWidth="1"/>
    <col min="4776" max="4777" width="2.140625" style="304" customWidth="1"/>
    <col min="4778" max="4778" width="1.7109375" style="304" customWidth="1"/>
    <col min="4779" max="4779" width="0.85546875" style="304" customWidth="1"/>
    <col min="4780" max="4780" width="2" style="304" customWidth="1"/>
    <col min="4781" max="4781" width="2.140625" style="304" customWidth="1"/>
    <col min="4782" max="5026" width="11.42578125" style="304"/>
    <col min="5027" max="5027" width="2.28515625" style="304" customWidth="1"/>
    <col min="5028" max="5028" width="2.140625" style="304" customWidth="1"/>
    <col min="5029" max="5029" width="1.140625" style="304" customWidth="1"/>
    <col min="5030" max="5031" width="2" style="304" customWidth="1"/>
    <col min="5032" max="5033" width="2.140625" style="304" customWidth="1"/>
    <col min="5034" max="5034" width="1.7109375" style="304" customWidth="1"/>
    <col min="5035" max="5035" width="0.85546875" style="304" customWidth="1"/>
    <col min="5036" max="5036" width="2" style="304" customWidth="1"/>
    <col min="5037" max="5037" width="2.140625" style="304" customWidth="1"/>
    <col min="5038" max="5282" width="11.42578125" style="304"/>
    <col min="5283" max="5283" width="2.28515625" style="304" customWidth="1"/>
    <col min="5284" max="5284" width="2.140625" style="304" customWidth="1"/>
    <col min="5285" max="5285" width="1.140625" style="304" customWidth="1"/>
    <col min="5286" max="5287" width="2" style="304" customWidth="1"/>
    <col min="5288" max="5289" width="2.140625" style="304" customWidth="1"/>
    <col min="5290" max="5290" width="1.7109375" style="304" customWidth="1"/>
    <col min="5291" max="5291" width="0.85546875" style="304" customWidth="1"/>
    <col min="5292" max="5292" width="2" style="304" customWidth="1"/>
    <col min="5293" max="5293" width="2.140625" style="304" customWidth="1"/>
    <col min="5294" max="5538" width="11.42578125" style="304"/>
    <col min="5539" max="5539" width="2.28515625" style="304" customWidth="1"/>
    <col min="5540" max="5540" width="2.140625" style="304" customWidth="1"/>
    <col min="5541" max="5541" width="1.140625" style="304" customWidth="1"/>
    <col min="5542" max="5543" width="2" style="304" customWidth="1"/>
    <col min="5544" max="5545" width="2.140625" style="304" customWidth="1"/>
    <col min="5546" max="5546" width="1.7109375" style="304" customWidth="1"/>
    <col min="5547" max="5547" width="0.85546875" style="304" customWidth="1"/>
    <col min="5548" max="5548" width="2" style="304" customWidth="1"/>
    <col min="5549" max="5549" width="2.140625" style="304" customWidth="1"/>
    <col min="5550" max="5794" width="11.42578125" style="304"/>
    <col min="5795" max="5795" width="2.28515625" style="304" customWidth="1"/>
    <col min="5796" max="5796" width="2.140625" style="304" customWidth="1"/>
    <col min="5797" max="5797" width="1.140625" style="304" customWidth="1"/>
    <col min="5798" max="5799" width="2" style="304" customWidth="1"/>
    <col min="5800" max="5801" width="2.140625" style="304" customWidth="1"/>
    <col min="5802" max="5802" width="1.7109375" style="304" customWidth="1"/>
    <col min="5803" max="5803" width="0.85546875" style="304" customWidth="1"/>
    <col min="5804" max="5804" width="2" style="304" customWidth="1"/>
    <col min="5805" max="5805" width="2.140625" style="304" customWidth="1"/>
    <col min="5806" max="6050" width="11.42578125" style="304"/>
    <col min="6051" max="6051" width="2.28515625" style="304" customWidth="1"/>
    <col min="6052" max="6052" width="2.140625" style="304" customWidth="1"/>
    <col min="6053" max="6053" width="1.140625" style="304" customWidth="1"/>
    <col min="6054" max="6055" width="2" style="304" customWidth="1"/>
    <col min="6056" max="6057" width="2.140625" style="304" customWidth="1"/>
    <col min="6058" max="6058" width="1.7109375" style="304" customWidth="1"/>
    <col min="6059" max="6059" width="0.85546875" style="304" customWidth="1"/>
    <col min="6060" max="6060" width="2" style="304" customWidth="1"/>
    <col min="6061" max="6061" width="2.140625" style="304" customWidth="1"/>
    <col min="6062" max="6306" width="11.42578125" style="304"/>
    <col min="6307" max="6307" width="2.28515625" style="304" customWidth="1"/>
    <col min="6308" max="6308" width="2.140625" style="304" customWidth="1"/>
    <col min="6309" max="6309" width="1.140625" style="304" customWidth="1"/>
    <col min="6310" max="6311" width="2" style="304" customWidth="1"/>
    <col min="6312" max="6313" width="2.140625" style="304" customWidth="1"/>
    <col min="6314" max="6314" width="1.7109375" style="304" customWidth="1"/>
    <col min="6315" max="6315" width="0.85546875" style="304" customWidth="1"/>
    <col min="6316" max="6316" width="2" style="304" customWidth="1"/>
    <col min="6317" max="6317" width="2.140625" style="304" customWidth="1"/>
    <col min="6318" max="6562" width="11.42578125" style="304"/>
    <col min="6563" max="6563" width="2.28515625" style="304" customWidth="1"/>
    <col min="6564" max="6564" width="2.140625" style="304" customWidth="1"/>
    <col min="6565" max="6565" width="1.140625" style="304" customWidth="1"/>
    <col min="6566" max="6567" width="2" style="304" customWidth="1"/>
    <col min="6568" max="6569" width="2.140625" style="304" customWidth="1"/>
    <col min="6570" max="6570" width="1.7109375" style="304" customWidth="1"/>
    <col min="6571" max="6571" width="0.85546875" style="304" customWidth="1"/>
    <col min="6572" max="6572" width="2" style="304" customWidth="1"/>
    <col min="6573" max="6573" width="2.140625" style="304" customWidth="1"/>
    <col min="6574" max="6818" width="11.42578125" style="304"/>
    <col min="6819" max="6819" width="2.28515625" style="304" customWidth="1"/>
    <col min="6820" max="6820" width="2.140625" style="304" customWidth="1"/>
    <col min="6821" max="6821" width="1.140625" style="304" customWidth="1"/>
    <col min="6822" max="6823" width="2" style="304" customWidth="1"/>
    <col min="6824" max="6825" width="2.140625" style="304" customWidth="1"/>
    <col min="6826" max="6826" width="1.7109375" style="304" customWidth="1"/>
    <col min="6827" max="6827" width="0.85546875" style="304" customWidth="1"/>
    <col min="6828" max="6828" width="2" style="304" customWidth="1"/>
    <col min="6829" max="6829" width="2.140625" style="304" customWidth="1"/>
    <col min="6830" max="7074" width="11.42578125" style="304"/>
    <col min="7075" max="7075" width="2.28515625" style="304" customWidth="1"/>
    <col min="7076" max="7076" width="2.140625" style="304" customWidth="1"/>
    <col min="7077" max="7077" width="1.140625" style="304" customWidth="1"/>
    <col min="7078" max="7079" width="2" style="304" customWidth="1"/>
    <col min="7080" max="7081" width="2.140625" style="304" customWidth="1"/>
    <col min="7082" max="7082" width="1.7109375" style="304" customWidth="1"/>
    <col min="7083" max="7083" width="0.85546875" style="304" customWidth="1"/>
    <col min="7084" max="7084" width="2" style="304" customWidth="1"/>
    <col min="7085" max="7085" width="2.140625" style="304" customWidth="1"/>
    <col min="7086" max="7330" width="11.42578125" style="304"/>
    <col min="7331" max="7331" width="2.28515625" style="304" customWidth="1"/>
    <col min="7332" max="7332" width="2.140625" style="304" customWidth="1"/>
    <col min="7333" max="7333" width="1.140625" style="304" customWidth="1"/>
    <col min="7334" max="7335" width="2" style="304" customWidth="1"/>
    <col min="7336" max="7337" width="2.140625" style="304" customWidth="1"/>
    <col min="7338" max="7338" width="1.7109375" style="304" customWidth="1"/>
    <col min="7339" max="7339" width="0.85546875" style="304" customWidth="1"/>
    <col min="7340" max="7340" width="2" style="304" customWidth="1"/>
    <col min="7341" max="7341" width="2.140625" style="304" customWidth="1"/>
    <col min="7342" max="7586" width="11.42578125" style="304"/>
    <col min="7587" max="7587" width="2.28515625" style="304" customWidth="1"/>
    <col min="7588" max="7588" width="2.140625" style="304" customWidth="1"/>
    <col min="7589" max="7589" width="1.140625" style="304" customWidth="1"/>
    <col min="7590" max="7591" width="2" style="304" customWidth="1"/>
    <col min="7592" max="7593" width="2.140625" style="304" customWidth="1"/>
    <col min="7594" max="7594" width="1.7109375" style="304" customWidth="1"/>
    <col min="7595" max="7595" width="0.85546875" style="304" customWidth="1"/>
    <col min="7596" max="7596" width="2" style="304" customWidth="1"/>
    <col min="7597" max="7597" width="2.140625" style="304" customWidth="1"/>
    <col min="7598" max="7842" width="11.42578125" style="304"/>
    <col min="7843" max="7843" width="2.28515625" style="304" customWidth="1"/>
    <col min="7844" max="7844" width="2.140625" style="304" customWidth="1"/>
    <col min="7845" max="7845" width="1.140625" style="304" customWidth="1"/>
    <col min="7846" max="7847" width="2" style="304" customWidth="1"/>
    <col min="7848" max="7849" width="2.140625" style="304" customWidth="1"/>
    <col min="7850" max="7850" width="1.7109375" style="304" customWidth="1"/>
    <col min="7851" max="7851" width="0.85546875" style="304" customWidth="1"/>
    <col min="7852" max="7852" width="2" style="304" customWidth="1"/>
    <col min="7853" max="7853" width="2.140625" style="304" customWidth="1"/>
    <col min="7854" max="8098" width="11.42578125" style="304"/>
    <col min="8099" max="8099" width="2.28515625" style="304" customWidth="1"/>
    <col min="8100" max="8100" width="2.140625" style="304" customWidth="1"/>
    <col min="8101" max="8101" width="1.140625" style="304" customWidth="1"/>
    <col min="8102" max="8103" width="2" style="304" customWidth="1"/>
    <col min="8104" max="8105" width="2.140625" style="304" customWidth="1"/>
    <col min="8106" max="8106" width="1.7109375" style="304" customWidth="1"/>
    <col min="8107" max="8107" width="0.85546875" style="304" customWidth="1"/>
    <col min="8108" max="8108" width="2" style="304" customWidth="1"/>
    <col min="8109" max="8109" width="2.140625" style="304" customWidth="1"/>
    <col min="8110" max="8354" width="11.42578125" style="304"/>
    <col min="8355" max="8355" width="2.28515625" style="304" customWidth="1"/>
    <col min="8356" max="8356" width="2.140625" style="304" customWidth="1"/>
    <col min="8357" max="8357" width="1.140625" style="304" customWidth="1"/>
    <col min="8358" max="8359" width="2" style="304" customWidth="1"/>
    <col min="8360" max="8361" width="2.140625" style="304" customWidth="1"/>
    <col min="8362" max="8362" width="1.7109375" style="304" customWidth="1"/>
    <col min="8363" max="8363" width="0.85546875" style="304" customWidth="1"/>
    <col min="8364" max="8364" width="2" style="304" customWidth="1"/>
    <col min="8365" max="8365" width="2.140625" style="304" customWidth="1"/>
    <col min="8366" max="8610" width="11.42578125" style="304"/>
    <col min="8611" max="8611" width="2.28515625" style="304" customWidth="1"/>
    <col min="8612" max="8612" width="2.140625" style="304" customWidth="1"/>
    <col min="8613" max="8613" width="1.140625" style="304" customWidth="1"/>
    <col min="8614" max="8615" width="2" style="304" customWidth="1"/>
    <col min="8616" max="8617" width="2.140625" style="304" customWidth="1"/>
    <col min="8618" max="8618" width="1.7109375" style="304" customWidth="1"/>
    <col min="8619" max="8619" width="0.85546875" style="304" customWidth="1"/>
    <col min="8620" max="8620" width="2" style="304" customWidth="1"/>
    <col min="8621" max="8621" width="2.140625" style="304" customWidth="1"/>
    <col min="8622" max="8866" width="11.42578125" style="304"/>
    <col min="8867" max="8867" width="2.28515625" style="304" customWidth="1"/>
    <col min="8868" max="8868" width="2.140625" style="304" customWidth="1"/>
    <col min="8869" max="8869" width="1.140625" style="304" customWidth="1"/>
    <col min="8870" max="8871" width="2" style="304" customWidth="1"/>
    <col min="8872" max="8873" width="2.140625" style="304" customWidth="1"/>
    <col min="8874" max="8874" width="1.7109375" style="304" customWidth="1"/>
    <col min="8875" max="8875" width="0.85546875" style="304" customWidth="1"/>
    <col min="8876" max="8876" width="2" style="304" customWidth="1"/>
    <col min="8877" max="8877" width="2.140625" style="304" customWidth="1"/>
    <col min="8878" max="9122" width="11.42578125" style="304"/>
    <col min="9123" max="9123" width="2.28515625" style="304" customWidth="1"/>
    <col min="9124" max="9124" width="2.140625" style="304" customWidth="1"/>
    <col min="9125" max="9125" width="1.140625" style="304" customWidth="1"/>
    <col min="9126" max="9127" width="2" style="304" customWidth="1"/>
    <col min="9128" max="9129" width="2.140625" style="304" customWidth="1"/>
    <col min="9130" max="9130" width="1.7109375" style="304" customWidth="1"/>
    <col min="9131" max="9131" width="0.85546875" style="304" customWidth="1"/>
    <col min="9132" max="9132" width="2" style="304" customWidth="1"/>
    <col min="9133" max="9133" width="2.140625" style="304" customWidth="1"/>
    <col min="9134" max="9378" width="11.42578125" style="304"/>
    <col min="9379" max="9379" width="2.28515625" style="304" customWidth="1"/>
    <col min="9380" max="9380" width="2.140625" style="304" customWidth="1"/>
    <col min="9381" max="9381" width="1.140625" style="304" customWidth="1"/>
    <col min="9382" max="9383" width="2" style="304" customWidth="1"/>
    <col min="9384" max="9385" width="2.140625" style="304" customWidth="1"/>
    <col min="9386" max="9386" width="1.7109375" style="304" customWidth="1"/>
    <col min="9387" max="9387" width="0.85546875" style="304" customWidth="1"/>
    <col min="9388" max="9388" width="2" style="304" customWidth="1"/>
    <col min="9389" max="9389" width="2.140625" style="304" customWidth="1"/>
    <col min="9390" max="9634" width="11.42578125" style="304"/>
    <col min="9635" max="9635" width="2.28515625" style="304" customWidth="1"/>
    <col min="9636" max="9636" width="2.140625" style="304" customWidth="1"/>
    <col min="9637" max="9637" width="1.140625" style="304" customWidth="1"/>
    <col min="9638" max="9639" width="2" style="304" customWidth="1"/>
    <col min="9640" max="9641" width="2.140625" style="304" customWidth="1"/>
    <col min="9642" max="9642" width="1.7109375" style="304" customWidth="1"/>
    <col min="9643" max="9643" width="0.85546875" style="304" customWidth="1"/>
    <col min="9644" max="9644" width="2" style="304" customWidth="1"/>
    <col min="9645" max="9645" width="2.140625" style="304" customWidth="1"/>
    <col min="9646" max="9890" width="11.42578125" style="304"/>
    <col min="9891" max="9891" width="2.28515625" style="304" customWidth="1"/>
    <col min="9892" max="9892" width="2.140625" style="304" customWidth="1"/>
    <col min="9893" max="9893" width="1.140625" style="304" customWidth="1"/>
    <col min="9894" max="9895" width="2" style="304" customWidth="1"/>
    <col min="9896" max="9897" width="2.140625" style="304" customWidth="1"/>
    <col min="9898" max="9898" width="1.7109375" style="304" customWidth="1"/>
    <col min="9899" max="9899" width="0.85546875" style="304" customWidth="1"/>
    <col min="9900" max="9900" width="2" style="304" customWidth="1"/>
    <col min="9901" max="9901" width="2.140625" style="304" customWidth="1"/>
    <col min="9902" max="10146" width="11.42578125" style="304"/>
    <col min="10147" max="10147" width="2.28515625" style="304" customWidth="1"/>
    <col min="10148" max="10148" width="2.140625" style="304" customWidth="1"/>
    <col min="10149" max="10149" width="1.140625" style="304" customWidth="1"/>
    <col min="10150" max="10151" width="2" style="304" customWidth="1"/>
    <col min="10152" max="10153" width="2.140625" style="304" customWidth="1"/>
    <col min="10154" max="10154" width="1.7109375" style="304" customWidth="1"/>
    <col min="10155" max="10155" width="0.85546875" style="304" customWidth="1"/>
    <col min="10156" max="10156" width="2" style="304" customWidth="1"/>
    <col min="10157" max="10157" width="2.140625" style="304" customWidth="1"/>
    <col min="10158" max="10402" width="11.42578125" style="304"/>
    <col min="10403" max="10403" width="2.28515625" style="304" customWidth="1"/>
    <col min="10404" max="10404" width="2.140625" style="304" customWidth="1"/>
    <col min="10405" max="10405" width="1.140625" style="304" customWidth="1"/>
    <col min="10406" max="10407" width="2" style="304" customWidth="1"/>
    <col min="10408" max="10409" width="2.140625" style="304" customWidth="1"/>
    <col min="10410" max="10410" width="1.7109375" style="304" customWidth="1"/>
    <col min="10411" max="10411" width="0.85546875" style="304" customWidth="1"/>
    <col min="10412" max="10412" width="2" style="304" customWidth="1"/>
    <col min="10413" max="10413" width="2.140625" style="304" customWidth="1"/>
    <col min="10414" max="10658" width="11.42578125" style="304"/>
    <col min="10659" max="10659" width="2.28515625" style="304" customWidth="1"/>
    <col min="10660" max="10660" width="2.140625" style="304" customWidth="1"/>
    <col min="10661" max="10661" width="1.140625" style="304" customWidth="1"/>
    <col min="10662" max="10663" width="2" style="304" customWidth="1"/>
    <col min="10664" max="10665" width="2.140625" style="304" customWidth="1"/>
    <col min="10666" max="10666" width="1.7109375" style="304" customWidth="1"/>
    <col min="10667" max="10667" width="0.85546875" style="304" customWidth="1"/>
    <col min="10668" max="10668" width="2" style="304" customWidth="1"/>
    <col min="10669" max="10669" width="2.140625" style="304" customWidth="1"/>
    <col min="10670" max="10914" width="11.42578125" style="304"/>
    <col min="10915" max="10915" width="2.28515625" style="304" customWidth="1"/>
    <col min="10916" max="10916" width="2.140625" style="304" customWidth="1"/>
    <col min="10917" max="10917" width="1.140625" style="304" customWidth="1"/>
    <col min="10918" max="10919" width="2" style="304" customWidth="1"/>
    <col min="10920" max="10921" width="2.140625" style="304" customWidth="1"/>
    <col min="10922" max="10922" width="1.7109375" style="304" customWidth="1"/>
    <col min="10923" max="10923" width="0.85546875" style="304" customWidth="1"/>
    <col min="10924" max="10924" width="2" style="304" customWidth="1"/>
    <col min="10925" max="10925" width="2.140625" style="304" customWidth="1"/>
    <col min="10926" max="11170" width="11.42578125" style="304"/>
    <col min="11171" max="11171" width="2.28515625" style="304" customWidth="1"/>
    <col min="11172" max="11172" width="2.140625" style="304" customWidth="1"/>
    <col min="11173" max="11173" width="1.140625" style="304" customWidth="1"/>
    <col min="11174" max="11175" width="2" style="304" customWidth="1"/>
    <col min="11176" max="11177" width="2.140625" style="304" customWidth="1"/>
    <col min="11178" max="11178" width="1.7109375" style="304" customWidth="1"/>
    <col min="11179" max="11179" width="0.85546875" style="304" customWidth="1"/>
    <col min="11180" max="11180" width="2" style="304" customWidth="1"/>
    <col min="11181" max="11181" width="2.140625" style="304" customWidth="1"/>
    <col min="11182" max="11426" width="11.42578125" style="304"/>
    <col min="11427" max="11427" width="2.28515625" style="304" customWidth="1"/>
    <col min="11428" max="11428" width="2.140625" style="304" customWidth="1"/>
    <col min="11429" max="11429" width="1.140625" style="304" customWidth="1"/>
    <col min="11430" max="11431" width="2" style="304" customWidth="1"/>
    <col min="11432" max="11433" width="2.140625" style="304" customWidth="1"/>
    <col min="11434" max="11434" width="1.7109375" style="304" customWidth="1"/>
    <col min="11435" max="11435" width="0.85546875" style="304" customWidth="1"/>
    <col min="11436" max="11436" width="2" style="304" customWidth="1"/>
    <col min="11437" max="11437" width="2.140625" style="304" customWidth="1"/>
    <col min="11438" max="11682" width="11.42578125" style="304"/>
    <col min="11683" max="11683" width="2.28515625" style="304" customWidth="1"/>
    <col min="11684" max="11684" width="2.140625" style="304" customWidth="1"/>
    <col min="11685" max="11685" width="1.140625" style="304" customWidth="1"/>
    <col min="11686" max="11687" width="2" style="304" customWidth="1"/>
    <col min="11688" max="11689" width="2.140625" style="304" customWidth="1"/>
    <col min="11690" max="11690" width="1.7109375" style="304" customWidth="1"/>
    <col min="11691" max="11691" width="0.85546875" style="304" customWidth="1"/>
    <col min="11692" max="11692" width="2" style="304" customWidth="1"/>
    <col min="11693" max="11693" width="2.140625" style="304" customWidth="1"/>
    <col min="11694" max="11938" width="11.42578125" style="304"/>
    <col min="11939" max="11939" width="2.28515625" style="304" customWidth="1"/>
    <col min="11940" max="11940" width="2.140625" style="304" customWidth="1"/>
    <col min="11941" max="11941" width="1.140625" style="304" customWidth="1"/>
    <col min="11942" max="11943" width="2" style="304" customWidth="1"/>
    <col min="11944" max="11945" width="2.140625" style="304" customWidth="1"/>
    <col min="11946" max="11946" width="1.7109375" style="304" customWidth="1"/>
    <col min="11947" max="11947" width="0.85546875" style="304" customWidth="1"/>
    <col min="11948" max="11948" width="2" style="304" customWidth="1"/>
    <col min="11949" max="11949" width="2.140625" style="304" customWidth="1"/>
    <col min="11950" max="12194" width="11.42578125" style="304"/>
    <col min="12195" max="12195" width="2.28515625" style="304" customWidth="1"/>
    <col min="12196" max="12196" width="2.140625" style="304" customWidth="1"/>
    <col min="12197" max="12197" width="1.140625" style="304" customWidth="1"/>
    <col min="12198" max="12199" width="2" style="304" customWidth="1"/>
    <col min="12200" max="12201" width="2.140625" style="304" customWidth="1"/>
    <col min="12202" max="12202" width="1.7109375" style="304" customWidth="1"/>
    <col min="12203" max="12203" width="0.85546875" style="304" customWidth="1"/>
    <col min="12204" max="12204" width="2" style="304" customWidth="1"/>
    <col min="12205" max="12205" width="2.140625" style="304" customWidth="1"/>
    <col min="12206" max="12450" width="11.42578125" style="304"/>
    <col min="12451" max="12451" width="2.28515625" style="304" customWidth="1"/>
    <col min="12452" max="12452" width="2.140625" style="304" customWidth="1"/>
    <col min="12453" max="12453" width="1.140625" style="304" customWidth="1"/>
    <col min="12454" max="12455" width="2" style="304" customWidth="1"/>
    <col min="12456" max="12457" width="2.140625" style="304" customWidth="1"/>
    <col min="12458" max="12458" width="1.7109375" style="304" customWidth="1"/>
    <col min="12459" max="12459" width="0.85546875" style="304" customWidth="1"/>
    <col min="12460" max="12460" width="2" style="304" customWidth="1"/>
    <col min="12461" max="12461" width="2.140625" style="304" customWidth="1"/>
    <col min="12462" max="12706" width="11.42578125" style="304"/>
    <col min="12707" max="12707" width="2.28515625" style="304" customWidth="1"/>
    <col min="12708" max="12708" width="2.140625" style="304" customWidth="1"/>
    <col min="12709" max="12709" width="1.140625" style="304" customWidth="1"/>
    <col min="12710" max="12711" width="2" style="304" customWidth="1"/>
    <col min="12712" max="12713" width="2.140625" style="304" customWidth="1"/>
    <col min="12714" max="12714" width="1.7109375" style="304" customWidth="1"/>
    <col min="12715" max="12715" width="0.85546875" style="304" customWidth="1"/>
    <col min="12716" max="12716" width="2" style="304" customWidth="1"/>
    <col min="12717" max="12717" width="2.140625" style="304" customWidth="1"/>
    <col min="12718" max="12962" width="11.42578125" style="304"/>
    <col min="12963" max="12963" width="2.28515625" style="304" customWidth="1"/>
    <col min="12964" max="12964" width="2.140625" style="304" customWidth="1"/>
    <col min="12965" max="12965" width="1.140625" style="304" customWidth="1"/>
    <col min="12966" max="12967" width="2" style="304" customWidth="1"/>
    <col min="12968" max="12969" width="2.140625" style="304" customWidth="1"/>
    <col min="12970" max="12970" width="1.7109375" style="304" customWidth="1"/>
    <col min="12971" max="12971" width="0.85546875" style="304" customWidth="1"/>
    <col min="12972" max="12972" width="2" style="304" customWidth="1"/>
    <col min="12973" max="12973" width="2.140625" style="304" customWidth="1"/>
    <col min="12974" max="13218" width="11.42578125" style="304"/>
    <col min="13219" max="13219" width="2.28515625" style="304" customWidth="1"/>
    <col min="13220" max="13220" width="2.140625" style="304" customWidth="1"/>
    <col min="13221" max="13221" width="1.140625" style="304" customWidth="1"/>
    <col min="13222" max="13223" width="2" style="304" customWidth="1"/>
    <col min="13224" max="13225" width="2.140625" style="304" customWidth="1"/>
    <col min="13226" max="13226" width="1.7109375" style="304" customWidth="1"/>
    <col min="13227" max="13227" width="0.85546875" style="304" customWidth="1"/>
    <col min="13228" max="13228" width="2" style="304" customWidth="1"/>
    <col min="13229" max="13229" width="2.140625" style="304" customWidth="1"/>
    <col min="13230" max="13474" width="11.42578125" style="304"/>
    <col min="13475" max="13475" width="2.28515625" style="304" customWidth="1"/>
    <col min="13476" max="13476" width="2.140625" style="304" customWidth="1"/>
    <col min="13477" max="13477" width="1.140625" style="304" customWidth="1"/>
    <col min="13478" max="13479" width="2" style="304" customWidth="1"/>
    <col min="13480" max="13481" width="2.140625" style="304" customWidth="1"/>
    <col min="13482" max="13482" width="1.7109375" style="304" customWidth="1"/>
    <col min="13483" max="13483" width="0.85546875" style="304" customWidth="1"/>
    <col min="13484" max="13484" width="2" style="304" customWidth="1"/>
    <col min="13485" max="13485" width="2.140625" style="304" customWidth="1"/>
    <col min="13486" max="13730" width="11.42578125" style="304"/>
    <col min="13731" max="13731" width="2.28515625" style="304" customWidth="1"/>
    <col min="13732" max="13732" width="2.140625" style="304" customWidth="1"/>
    <col min="13733" max="13733" width="1.140625" style="304" customWidth="1"/>
    <col min="13734" max="13735" width="2" style="304" customWidth="1"/>
    <col min="13736" max="13737" width="2.140625" style="304" customWidth="1"/>
    <col min="13738" max="13738" width="1.7109375" style="304" customWidth="1"/>
    <col min="13739" max="13739" width="0.85546875" style="304" customWidth="1"/>
    <col min="13740" max="13740" width="2" style="304" customWidth="1"/>
    <col min="13741" max="13741" width="2.140625" style="304" customWidth="1"/>
    <col min="13742" max="13986" width="11.42578125" style="304"/>
    <col min="13987" max="13987" width="2.28515625" style="304" customWidth="1"/>
    <col min="13988" max="13988" width="2.140625" style="304" customWidth="1"/>
    <col min="13989" max="13989" width="1.140625" style="304" customWidth="1"/>
    <col min="13990" max="13991" width="2" style="304" customWidth="1"/>
    <col min="13992" max="13993" width="2.140625" style="304" customWidth="1"/>
    <col min="13994" max="13994" width="1.7109375" style="304" customWidth="1"/>
    <col min="13995" max="13995" width="0.85546875" style="304" customWidth="1"/>
    <col min="13996" max="13996" width="2" style="304" customWidth="1"/>
    <col min="13997" max="13997" width="2.140625" style="304" customWidth="1"/>
    <col min="13998" max="14242" width="11.42578125" style="304"/>
    <col min="14243" max="14243" width="2.28515625" style="304" customWidth="1"/>
    <col min="14244" max="14244" width="2.140625" style="304" customWidth="1"/>
    <col min="14245" max="14245" width="1.140625" style="304" customWidth="1"/>
    <col min="14246" max="14247" width="2" style="304" customWidth="1"/>
    <col min="14248" max="14249" width="2.140625" style="304" customWidth="1"/>
    <col min="14250" max="14250" width="1.7109375" style="304" customWidth="1"/>
    <col min="14251" max="14251" width="0.85546875" style="304" customWidth="1"/>
    <col min="14252" max="14252" width="2" style="304" customWidth="1"/>
    <col min="14253" max="14253" width="2.140625" style="304" customWidth="1"/>
    <col min="14254" max="14498" width="11.42578125" style="304"/>
    <col min="14499" max="14499" width="2.28515625" style="304" customWidth="1"/>
    <col min="14500" max="14500" width="2.140625" style="304" customWidth="1"/>
    <col min="14501" max="14501" width="1.140625" style="304" customWidth="1"/>
    <col min="14502" max="14503" width="2" style="304" customWidth="1"/>
    <col min="14504" max="14505" width="2.140625" style="304" customWidth="1"/>
    <col min="14506" max="14506" width="1.7109375" style="304" customWidth="1"/>
    <col min="14507" max="14507" width="0.85546875" style="304" customWidth="1"/>
    <col min="14508" max="14508" width="2" style="304" customWidth="1"/>
    <col min="14509" max="14509" width="2.140625" style="304" customWidth="1"/>
    <col min="14510" max="14754" width="11.42578125" style="304"/>
    <col min="14755" max="14755" width="2.28515625" style="304" customWidth="1"/>
    <col min="14756" max="14756" width="2.140625" style="304" customWidth="1"/>
    <col min="14757" max="14757" width="1.140625" style="304" customWidth="1"/>
    <col min="14758" max="14759" width="2" style="304" customWidth="1"/>
    <col min="14760" max="14761" width="2.140625" style="304" customWidth="1"/>
    <col min="14762" max="14762" width="1.7109375" style="304" customWidth="1"/>
    <col min="14763" max="14763" width="0.85546875" style="304" customWidth="1"/>
    <col min="14764" max="14764" width="2" style="304" customWidth="1"/>
    <col min="14765" max="14765" width="2.140625" style="304" customWidth="1"/>
    <col min="14766" max="15010" width="11.42578125" style="304"/>
    <col min="15011" max="15011" width="2.28515625" style="304" customWidth="1"/>
    <col min="15012" max="15012" width="2.140625" style="304" customWidth="1"/>
    <col min="15013" max="15013" width="1.140625" style="304" customWidth="1"/>
    <col min="15014" max="15015" width="2" style="304" customWidth="1"/>
    <col min="15016" max="15017" width="2.140625" style="304" customWidth="1"/>
    <col min="15018" max="15018" width="1.7109375" style="304" customWidth="1"/>
    <col min="15019" max="15019" width="0.85546875" style="304" customWidth="1"/>
    <col min="15020" max="15020" width="2" style="304" customWidth="1"/>
    <col min="15021" max="15021" width="2.140625" style="304" customWidth="1"/>
    <col min="15022" max="15266" width="11.42578125" style="304"/>
    <col min="15267" max="15267" width="2.28515625" style="304" customWidth="1"/>
    <col min="15268" max="15268" width="2.140625" style="304" customWidth="1"/>
    <col min="15269" max="15269" width="1.140625" style="304" customWidth="1"/>
    <col min="15270" max="15271" width="2" style="304" customWidth="1"/>
    <col min="15272" max="15273" width="2.140625" style="304" customWidth="1"/>
    <col min="15274" max="15274" width="1.7109375" style="304" customWidth="1"/>
    <col min="15275" max="15275" width="0.85546875" style="304" customWidth="1"/>
    <col min="15276" max="15276" width="2" style="304" customWidth="1"/>
    <col min="15277" max="15277" width="2.140625" style="304" customWidth="1"/>
    <col min="15278" max="15522" width="11.42578125" style="304"/>
    <col min="15523" max="15523" width="2.28515625" style="304" customWidth="1"/>
    <col min="15524" max="15524" width="2.140625" style="304" customWidth="1"/>
    <col min="15525" max="15525" width="1.140625" style="304" customWidth="1"/>
    <col min="15526" max="15527" width="2" style="304" customWidth="1"/>
    <col min="15528" max="15529" width="2.140625" style="304" customWidth="1"/>
    <col min="15530" max="15530" width="1.7109375" style="304" customWidth="1"/>
    <col min="15531" max="15531" width="0.85546875" style="304" customWidth="1"/>
    <col min="15532" max="15532" width="2" style="304" customWidth="1"/>
    <col min="15533" max="15533" width="2.140625" style="304" customWidth="1"/>
    <col min="15534" max="15778" width="11.42578125" style="304"/>
    <col min="15779" max="15779" width="2.28515625" style="304" customWidth="1"/>
    <col min="15780" max="15780" width="2.140625" style="304" customWidth="1"/>
    <col min="15781" max="15781" width="1.140625" style="304" customWidth="1"/>
    <col min="15782" max="15783" width="2" style="304" customWidth="1"/>
    <col min="15784" max="15785" width="2.140625" style="304" customWidth="1"/>
    <col min="15786" max="15786" width="1.7109375" style="304" customWidth="1"/>
    <col min="15787" max="15787" width="0.85546875" style="304" customWidth="1"/>
    <col min="15788" max="15788" width="2" style="304" customWidth="1"/>
    <col min="15789" max="15789" width="2.140625" style="304" customWidth="1"/>
    <col min="15790" max="16034" width="11.42578125" style="304"/>
    <col min="16035" max="16035" width="2.28515625" style="304" customWidth="1"/>
    <col min="16036" max="16036" width="2.140625" style="304" customWidth="1"/>
    <col min="16037" max="16037" width="1.140625" style="304" customWidth="1"/>
    <col min="16038" max="16039" width="2" style="304" customWidth="1"/>
    <col min="16040" max="16041" width="2.140625" style="304" customWidth="1"/>
    <col min="16042" max="16042" width="1.7109375" style="304" customWidth="1"/>
    <col min="16043" max="16043" width="0.85546875" style="304" customWidth="1"/>
    <col min="16044" max="16044" width="2" style="304" customWidth="1"/>
    <col min="16045" max="16045" width="2.140625" style="304" customWidth="1"/>
    <col min="16046" max="16384" width="11.42578125" style="304"/>
  </cols>
  <sheetData>
    <row r="1" spans="2:13" ht="8.25" customHeight="1"/>
    <row r="2" spans="2:13" ht="51.75" customHeight="1"/>
    <row r="3" spans="2:13" ht="27.75" customHeight="1" thickBot="1"/>
    <row r="4" spans="2:13" s="386" customFormat="1" ht="16.5" thickBot="1">
      <c r="B4" s="384"/>
      <c r="C4" s="385"/>
      <c r="D4" s="748" t="s">
        <v>626</v>
      </c>
      <c r="E4" s="749"/>
      <c r="F4" s="384"/>
      <c r="G4" s="750" t="s">
        <v>648</v>
      </c>
      <c r="H4" s="751"/>
      <c r="I4" s="751"/>
      <c r="J4" s="751"/>
      <c r="K4" s="751"/>
      <c r="L4" s="752"/>
      <c r="M4" s="414"/>
    </row>
    <row r="5" spans="2:13" s="356" customFormat="1" ht="39" thickBot="1">
      <c r="B5" s="453" t="s">
        <v>7</v>
      </c>
      <c r="C5" s="454" t="s">
        <v>634</v>
      </c>
      <c r="D5" s="455" t="s">
        <v>15</v>
      </c>
      <c r="E5" s="456" t="s">
        <v>627</v>
      </c>
      <c r="F5" s="457" t="s">
        <v>16</v>
      </c>
      <c r="G5" s="457" t="s">
        <v>658</v>
      </c>
      <c r="H5" s="457" t="s">
        <v>628</v>
      </c>
      <c r="I5" s="457" t="s">
        <v>660</v>
      </c>
      <c r="J5" s="456" t="s">
        <v>629</v>
      </c>
      <c r="K5" s="457" t="s">
        <v>630</v>
      </c>
      <c r="L5" s="457" t="s">
        <v>631</v>
      </c>
      <c r="M5" s="457" t="s">
        <v>632</v>
      </c>
    </row>
    <row r="6" spans="2:13" s="398" customFormat="1" ht="15.95" customHeight="1">
      <c r="B6" s="392" t="s">
        <v>447</v>
      </c>
      <c r="C6" s="393">
        <f>+VLOOKUP($B6,RESUMEN!$A$15:$H$52,2,FALSE)</f>
        <v>11</v>
      </c>
      <c r="D6" s="393">
        <f>+VLOOKUP($B6,RESUMEN!$A$15:$H$52,3,FALSE)</f>
        <v>61488985668</v>
      </c>
      <c r="E6" s="394">
        <f>D6/D$11</f>
        <v>0.77156535176629892</v>
      </c>
      <c r="F6" s="393">
        <f>+VLOOKUP($B6,RESUMEN!$A$15:$H$52,4,FALSE)</f>
        <v>6573117954</v>
      </c>
      <c r="G6" s="393">
        <f>+VLOOKUP($B6,RESUMEN!$A$15:$H$52,5,FALSE)</f>
        <v>5920219484</v>
      </c>
      <c r="H6" s="395">
        <f>G6/G$11</f>
        <v>0.5699446119825442</v>
      </c>
      <c r="I6" s="393">
        <f>+VLOOKUP($B6,RESUMEN!$A$15:$H$52,6,FALSE)</f>
        <v>96539007</v>
      </c>
      <c r="J6" s="396">
        <f>+G6-I6</f>
        <v>5823680477</v>
      </c>
      <c r="K6" s="393">
        <f>+VLOOKUP($B6,RESUMEN!$A$15:$H$52,7,FALSE)</f>
        <v>5823680477</v>
      </c>
      <c r="L6" s="397">
        <f t="shared" ref="L6:L11" si="0">I6/G6</f>
        <v>1.6306660126521755E-2</v>
      </c>
      <c r="M6" s="393">
        <f>+VLOOKUP($B6,RESUMEN!$A$15:$H$52,8,FALSE)</f>
        <v>48995648230</v>
      </c>
    </row>
    <row r="7" spans="2:13" s="398" customFormat="1" ht="15.95" customHeight="1">
      <c r="B7" s="399" t="s">
        <v>408</v>
      </c>
      <c r="C7" s="393">
        <f>+VLOOKUP($B7,RESUMEN!$A$15:$H$52,2,FALSE)</f>
        <v>4</v>
      </c>
      <c r="D7" s="393">
        <f>+VLOOKUP($B7,RESUMEN!$A$15:$H$52,3,FALSE)</f>
        <v>1363464000</v>
      </c>
      <c r="E7" s="400">
        <f>D7/D$11</f>
        <v>1.7108780854847731E-2</v>
      </c>
      <c r="F7" s="393">
        <f>+VLOOKUP($B7,RESUMEN!$A$15:$H$52,4,FALSE)</f>
        <v>95407000</v>
      </c>
      <c r="G7" s="393">
        <f>+VLOOKUP($B7,RESUMEN!$A$15:$H$52,5,FALSE)</f>
        <v>619084227</v>
      </c>
      <c r="H7" s="401">
        <f>G7/G$11</f>
        <v>5.9599769990897243E-2</v>
      </c>
      <c r="I7" s="393">
        <f>+VLOOKUP($B7,RESUMEN!$A$15:$H$52,6,FALSE)</f>
        <v>0</v>
      </c>
      <c r="J7" s="402">
        <f>+G7-I7</f>
        <v>619084227</v>
      </c>
      <c r="K7" s="393">
        <f>+VLOOKUP($B7,RESUMEN!$A$15:$H$52,7,FALSE)</f>
        <v>619084227</v>
      </c>
      <c r="L7" s="403">
        <f t="shared" si="0"/>
        <v>0</v>
      </c>
      <c r="M7" s="393">
        <f>+VLOOKUP($B7,RESUMEN!$A$15:$H$52,8,FALSE)</f>
        <v>648972773</v>
      </c>
    </row>
    <row r="8" spans="2:13" s="398" customFormat="1" ht="15.95" customHeight="1">
      <c r="B8" s="399" t="s">
        <v>415</v>
      </c>
      <c r="C8" s="393">
        <f>+VLOOKUP($B8,RESUMEN!$A$15:$H$52,2,FALSE)</f>
        <v>7</v>
      </c>
      <c r="D8" s="393">
        <f>+VLOOKUP($B8,RESUMEN!$A$15:$H$52,3,FALSE)</f>
        <v>9091486378</v>
      </c>
      <c r="E8" s="400">
        <f>D8/D$11</f>
        <v>0.11408020166725</v>
      </c>
      <c r="F8" s="393">
        <f>+VLOOKUP($B8,RESUMEN!$A$15:$H$52,4,FALSE)</f>
        <v>7902898687</v>
      </c>
      <c r="G8" s="393">
        <f>+VLOOKUP($B8,RESUMEN!$A$15:$H$52,5,FALSE)</f>
        <v>874726265</v>
      </c>
      <c r="H8" s="401">
        <f>G8/G$11</f>
        <v>8.4210648447027261E-2</v>
      </c>
      <c r="I8" s="393">
        <f>+VLOOKUP($B8,RESUMEN!$A$15:$H$52,6,FALSE)</f>
        <v>49512258</v>
      </c>
      <c r="J8" s="402">
        <f>+G8-I8</f>
        <v>825214007</v>
      </c>
      <c r="K8" s="393">
        <f>+VLOOKUP($B8,RESUMEN!$A$15:$H$52,7,FALSE)</f>
        <v>825214007</v>
      </c>
      <c r="L8" s="403">
        <f t="shared" si="0"/>
        <v>5.6603145442305887E-2</v>
      </c>
      <c r="M8" s="393">
        <f>+VLOOKUP($B8,RESUMEN!$A$15:$H$52,8,FALSE)</f>
        <v>313861426</v>
      </c>
    </row>
    <row r="9" spans="2:13" s="398" customFormat="1" ht="15.95" customHeight="1">
      <c r="B9" s="399" t="s">
        <v>425</v>
      </c>
      <c r="C9" s="393">
        <f>+VLOOKUP($B9,RESUMEN!$A$15:$H$52,2,FALSE)</f>
        <v>10</v>
      </c>
      <c r="D9" s="393">
        <f>+VLOOKUP($B9,RESUMEN!$A$15:$H$52,3,FALSE)</f>
        <v>3071815000</v>
      </c>
      <c r="E9" s="400">
        <f>D9/D$11</f>
        <v>3.8545212533395885E-2</v>
      </c>
      <c r="F9" s="393">
        <f>+VLOOKUP($B9,RESUMEN!$A$15:$H$52,4,FALSE)</f>
        <v>1127483773</v>
      </c>
      <c r="G9" s="393">
        <f>+VLOOKUP($B9,RESUMEN!$A$15:$H$52,5,FALSE)</f>
        <v>1514342804</v>
      </c>
      <c r="H9" s="401">
        <f>G9/G$11</f>
        <v>0.14578708174028537</v>
      </c>
      <c r="I9" s="393">
        <f>+VLOOKUP($B9,RESUMEN!$A$15:$H$52,6,FALSE)</f>
        <v>35723661</v>
      </c>
      <c r="J9" s="402">
        <f>+G9-I9</f>
        <v>1478619143</v>
      </c>
      <c r="K9" s="393">
        <f>+VLOOKUP($B9,RESUMEN!$A$15:$H$52,7,FALSE)</f>
        <v>1478619143</v>
      </c>
      <c r="L9" s="403">
        <f t="shared" si="0"/>
        <v>2.3590207518165089E-2</v>
      </c>
      <c r="M9" s="393">
        <f>+VLOOKUP($B9,RESUMEN!$A$15:$H$52,8,FALSE)</f>
        <v>429988423</v>
      </c>
    </row>
    <row r="10" spans="2:13" s="398" customFormat="1" ht="15.95" customHeight="1" thickBot="1">
      <c r="B10" s="404" t="s">
        <v>407</v>
      </c>
      <c r="C10" s="393">
        <f>+VLOOKUP($B10,RESUMEN!$A$15:$H$52,2,FALSE)</f>
        <v>8</v>
      </c>
      <c r="D10" s="393">
        <f>+VLOOKUP($B10,RESUMEN!$A$15:$H$52,3,FALSE)</f>
        <v>4678063000</v>
      </c>
      <c r="E10" s="420">
        <f>D10/D$11</f>
        <v>5.8700453178207525E-2</v>
      </c>
      <c r="F10" s="393">
        <f>+VLOOKUP($B10,RESUMEN!$A$15:$H$52,4,FALSE)</f>
        <v>1208174304</v>
      </c>
      <c r="G10" s="393">
        <f>+VLOOKUP($B10,RESUMEN!$A$15:$H$52,5,FALSE)</f>
        <v>1458986552</v>
      </c>
      <c r="H10" s="442">
        <f>G10/G$11</f>
        <v>0.14045788783924587</v>
      </c>
      <c r="I10" s="393">
        <f>+VLOOKUP($B10,RESUMEN!$A$15:$H$52,6,FALSE)</f>
        <v>216459187</v>
      </c>
      <c r="J10" s="421">
        <f>+G10-I10</f>
        <v>1242527365</v>
      </c>
      <c r="K10" s="393">
        <f>+VLOOKUP($B10,RESUMEN!$A$15:$H$52,7,FALSE)</f>
        <v>1242527365</v>
      </c>
      <c r="L10" s="422">
        <f t="shared" si="0"/>
        <v>0.14836270197506249</v>
      </c>
      <c r="M10" s="393">
        <f>+VLOOKUP($B10,RESUMEN!$A$15:$H$52,8,FALSE)</f>
        <v>2010902144</v>
      </c>
    </row>
    <row r="11" spans="2:13" ht="15.75" thickBot="1">
      <c r="B11" s="458" t="s">
        <v>633</v>
      </c>
      <c r="C11" s="459">
        <f t="shared" ref="C11:K11" si="1">SUM(C6:C10)</f>
        <v>40</v>
      </c>
      <c r="D11" s="460">
        <f t="shared" si="1"/>
        <v>79693814046</v>
      </c>
      <c r="E11" s="461">
        <f t="shared" si="1"/>
        <v>1</v>
      </c>
      <c r="F11" s="462">
        <f t="shared" si="1"/>
        <v>16907081718</v>
      </c>
      <c r="G11" s="460">
        <f t="shared" si="1"/>
        <v>10387359332</v>
      </c>
      <c r="H11" s="463">
        <f t="shared" si="1"/>
        <v>0.99999999999999989</v>
      </c>
      <c r="I11" s="464">
        <f t="shared" si="1"/>
        <v>398234113</v>
      </c>
      <c r="J11" s="464">
        <f t="shared" si="1"/>
        <v>9989125219</v>
      </c>
      <c r="K11" s="465">
        <f t="shared" si="1"/>
        <v>9989125219</v>
      </c>
      <c r="L11" s="466">
        <f t="shared" si="0"/>
        <v>3.8338339925641458E-2</v>
      </c>
      <c r="M11" s="467">
        <f>SUM(M6:M10)</f>
        <v>52399372996</v>
      </c>
    </row>
    <row r="12" spans="2:13" ht="18">
      <c r="B12" s="305"/>
      <c r="C12" s="306"/>
      <c r="D12" s="382"/>
      <c r="E12" s="382"/>
      <c r="F12" s="382"/>
      <c r="G12" s="382"/>
      <c r="H12" s="305"/>
      <c r="I12" s="382"/>
      <c r="J12" s="382"/>
      <c r="K12" s="382"/>
      <c r="L12" s="382"/>
      <c r="M12" s="310"/>
    </row>
    <row r="15" spans="2:13" ht="66.75" customHeight="1"/>
    <row r="19" ht="46.5" customHeight="1"/>
    <row r="24" ht="2.25" customHeight="1"/>
  </sheetData>
  <mergeCells count="2">
    <mergeCell ref="D4:E4"/>
    <mergeCell ref="G4:L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4:T37"/>
  <sheetViews>
    <sheetView view="pageBreakPreview" topLeftCell="A4" zoomScale="110" zoomScaleNormal="100" zoomScaleSheetLayoutView="110" workbookViewId="0">
      <selection activeCell="D13" sqref="D13"/>
    </sheetView>
  </sheetViews>
  <sheetFormatPr baseColWidth="10" defaultColWidth="11.42578125" defaultRowHeight="12.75"/>
  <cols>
    <col min="1" max="1" width="4.28515625" style="305" customWidth="1"/>
    <col min="2" max="2" width="17.42578125" style="305" customWidth="1"/>
    <col min="3" max="3" width="2.7109375" style="468" customWidth="1"/>
    <col min="4" max="4" width="14.42578125" style="305" customWidth="1"/>
    <col min="5" max="5" width="14.7109375" style="305" customWidth="1"/>
    <col min="6" max="6" width="15.42578125" style="305" customWidth="1"/>
    <col min="7" max="7" width="15.28515625" style="305" customWidth="1"/>
    <col min="8" max="8" width="2.7109375" style="468" customWidth="1"/>
    <col min="9" max="9" width="14.7109375" style="305" customWidth="1"/>
    <col min="10" max="11" width="16.42578125" style="305" customWidth="1"/>
    <col min="12" max="12" width="15.42578125" style="305" hidden="1" customWidth="1"/>
    <col min="13" max="13" width="13.7109375" style="305" hidden="1" customWidth="1"/>
    <col min="14" max="14" width="14.7109375" style="305" hidden="1" customWidth="1"/>
    <col min="15" max="15" width="14.28515625" style="310" hidden="1" customWidth="1"/>
    <col min="16" max="16" width="15.42578125" style="305" customWidth="1"/>
    <col min="17" max="17" width="3.85546875" style="305" customWidth="1"/>
    <col min="18" max="18" width="10.28515625" style="305" customWidth="1"/>
    <col min="19" max="19" width="11.42578125" style="305"/>
    <col min="20" max="20" width="12.140625" style="305" customWidth="1"/>
    <col min="21" max="16384" width="11.42578125" style="305"/>
  </cols>
  <sheetData>
    <row r="4" spans="2:18" ht="13.5" thickBot="1"/>
    <row r="5" spans="2:18" ht="18.75" thickBot="1">
      <c r="D5" s="753" t="s">
        <v>661</v>
      </c>
      <c r="E5" s="754"/>
      <c r="F5" s="754"/>
      <c r="G5" s="755"/>
      <c r="H5" s="382"/>
      <c r="I5" s="756" t="s">
        <v>662</v>
      </c>
      <c r="J5" s="757"/>
      <c r="K5" s="757"/>
      <c r="L5" s="757"/>
      <c r="M5" s="757"/>
      <c r="N5" s="757"/>
      <c r="O5" s="757"/>
      <c r="P5" s="758"/>
    </row>
    <row r="6" spans="2:18" ht="39" customHeight="1">
      <c r="B6" s="469" t="s">
        <v>635</v>
      </c>
      <c r="C6" s="470"/>
      <c r="D6" s="471" t="s">
        <v>636</v>
      </c>
      <c r="E6" s="472" t="s">
        <v>618</v>
      </c>
      <c r="F6" s="472" t="s">
        <v>628</v>
      </c>
      <c r="G6" s="473" t="s">
        <v>637</v>
      </c>
      <c r="H6" s="474"/>
      <c r="I6" s="471" t="s">
        <v>618</v>
      </c>
      <c r="J6" s="475" t="s">
        <v>663</v>
      </c>
      <c r="K6" s="476" t="s">
        <v>638</v>
      </c>
      <c r="L6" s="477" t="s">
        <v>639</v>
      </c>
      <c r="M6" s="478"/>
      <c r="N6" s="478"/>
      <c r="O6" s="479"/>
      <c r="P6" s="480" t="s">
        <v>630</v>
      </c>
    </row>
    <row r="7" spans="2:18" s="492" customFormat="1" ht="15">
      <c r="B7" s="481" t="s">
        <v>46</v>
      </c>
      <c r="C7" s="482"/>
      <c r="D7" s="483">
        <f>+SUBTITULO!F17-SUM(D8:D18)</f>
        <v>64264103000</v>
      </c>
      <c r="E7" s="484">
        <f>+VLOOKUP($B7,RESUMEN!$A$57:$D$68,2,FALSE)</f>
        <v>64117722640</v>
      </c>
      <c r="F7" s="485">
        <f t="shared" ref="F7:F18" si="0">+E7/$E$19</f>
        <v>0.69752502722924459</v>
      </c>
      <c r="G7" s="486">
        <f>+E7-D7</f>
        <v>-146380360</v>
      </c>
      <c r="H7" s="487"/>
      <c r="I7" s="484">
        <f>+VLOOKUP($B7,RESUMEN!$A$57:$D$68,2,FALSE)</f>
        <v>64117722640</v>
      </c>
      <c r="J7" s="484">
        <f>+VLOOKUP($B7,RESUMEN!$A$57:$D$68,3,FALSE)</f>
        <v>5059685774</v>
      </c>
      <c r="K7" s="488">
        <f t="shared" ref="K7:K18" si="1">+J7/$J$19</f>
        <v>0.83874993551025623</v>
      </c>
      <c r="L7" s="489">
        <f>+VLOOKUP(B7,[1]RESUMEN!$A$18:$G$28,7,FALSE)</f>
        <v>199025081973</v>
      </c>
      <c r="M7" s="490">
        <v>236893000</v>
      </c>
      <c r="N7" s="491"/>
      <c r="O7" s="491">
        <v>767149000</v>
      </c>
      <c r="P7" s="484">
        <f>+VLOOKUP($B7,RESUMEN!$A$57:$D$68,4,FALSE)</f>
        <v>59058036866</v>
      </c>
    </row>
    <row r="8" spans="2:18" s="492" customFormat="1" ht="15">
      <c r="B8" s="481" t="s">
        <v>280</v>
      </c>
      <c r="C8" s="482"/>
      <c r="D8" s="493">
        <v>0</v>
      </c>
      <c r="E8" s="484">
        <f>+VLOOKUP($B8,RESUMEN!$A$57:$D$68,2,FALSE)</f>
        <v>7369671250</v>
      </c>
      <c r="F8" s="485">
        <f t="shared" si="0"/>
        <v>8.0173311335295289E-2</v>
      </c>
      <c r="G8" s="486">
        <f t="shared" ref="G8:G18" si="2">+E8-D8</f>
        <v>7369671250</v>
      </c>
      <c r="H8" s="487"/>
      <c r="I8" s="484">
        <f>+VLOOKUP($B8,RESUMEN!$A$57:$D$68,2,FALSE)</f>
        <v>7369671250</v>
      </c>
      <c r="J8" s="484">
        <f>+VLOOKUP($B8,RESUMEN!$A$57:$D$68,3,FALSE)</f>
        <v>156806578</v>
      </c>
      <c r="K8" s="488">
        <f t="shared" si="1"/>
        <v>2.5994006952156624E-2</v>
      </c>
      <c r="L8" s="489">
        <f>+VLOOKUP(B8,[1]RESUMEN!$A$18:$G$28,7,FALSE)</f>
        <v>55294176640</v>
      </c>
      <c r="M8" s="490">
        <v>200000000</v>
      </c>
      <c r="N8" s="491"/>
      <c r="O8" s="491">
        <v>200000000</v>
      </c>
      <c r="P8" s="484">
        <f>+VLOOKUP($B8,RESUMEN!$A$57:$D$68,4,FALSE)</f>
        <v>7212864672</v>
      </c>
      <c r="R8" s="494"/>
    </row>
    <row r="9" spans="2:18" s="492" customFormat="1" ht="15">
      <c r="B9" s="481" t="s">
        <v>76</v>
      </c>
      <c r="C9" s="482"/>
      <c r="D9" s="493">
        <v>7219742000</v>
      </c>
      <c r="E9" s="484">
        <f>+VLOOKUP($B9,RESUMEN!$A$57:$D$68,2,FALSE)</f>
        <v>6050000000</v>
      </c>
      <c r="F9" s="485">
        <f t="shared" si="0"/>
        <v>6.5816848150253168E-2</v>
      </c>
      <c r="G9" s="486">
        <f t="shared" si="2"/>
        <v>-1169742000</v>
      </c>
      <c r="H9" s="487"/>
      <c r="I9" s="484">
        <f>+VLOOKUP($B9,RESUMEN!$A$57:$D$68,2,FALSE)</f>
        <v>6050000000</v>
      </c>
      <c r="J9" s="484">
        <f>+VLOOKUP($B9,RESUMEN!$A$57:$D$68,3,FALSE)</f>
        <v>619560354</v>
      </c>
      <c r="K9" s="488">
        <f t="shared" si="1"/>
        <v>0.10270523312584896</v>
      </c>
      <c r="L9" s="489">
        <f>+VLOOKUP(B9,[1]RESUMEN!$A$18:$G$28,7,FALSE)</f>
        <v>0</v>
      </c>
      <c r="M9" s="495">
        <v>1990433000</v>
      </c>
      <c r="N9" s="491"/>
      <c r="O9" s="491">
        <v>1990433000</v>
      </c>
      <c r="P9" s="484">
        <f>+VLOOKUP($B9,RESUMEN!$A$57:$D$68,4,FALSE)</f>
        <v>5430439646</v>
      </c>
      <c r="R9" s="496"/>
    </row>
    <row r="10" spans="2:18" s="492" customFormat="1" ht="15">
      <c r="B10" s="481" t="s">
        <v>310</v>
      </c>
      <c r="C10" s="482"/>
      <c r="D10" s="493">
        <f>3405537000+661135000+483611000+384550000</f>
        <v>4934833000</v>
      </c>
      <c r="E10" s="484">
        <f>+VLOOKUP($B10,RESUMEN!$A$57:$D$68,2,FALSE)</f>
        <v>3660581000</v>
      </c>
      <c r="F10" s="485">
        <f t="shared" si="0"/>
        <v>3.9822794019620147E-2</v>
      </c>
      <c r="G10" s="486">
        <f t="shared" si="2"/>
        <v>-1274252000</v>
      </c>
      <c r="H10" s="487"/>
      <c r="I10" s="484">
        <f>+VLOOKUP($B10,RESUMEN!$A$57:$D$68,2,FALSE)</f>
        <v>3660581000</v>
      </c>
      <c r="J10" s="484">
        <f>+VLOOKUP($B10,RESUMEN!$A$57:$D$68,3,FALSE)</f>
        <v>0</v>
      </c>
      <c r="K10" s="488">
        <f t="shared" si="1"/>
        <v>0</v>
      </c>
      <c r="L10" s="489">
        <f>+VLOOKUP(B10,[1]RESUMEN!$A$18:$G$28,7,FALSE)</f>
        <v>370771000</v>
      </c>
      <c r="M10" s="490">
        <v>32593247000</v>
      </c>
      <c r="N10" s="491"/>
      <c r="O10" s="491">
        <v>31808080114</v>
      </c>
      <c r="P10" s="484">
        <f>+VLOOKUP($B10,RESUMEN!$A$57:$D$68,4,FALSE)</f>
        <v>3660581000</v>
      </c>
      <c r="R10" s="494"/>
    </row>
    <row r="11" spans="2:18" s="492" customFormat="1" ht="15">
      <c r="B11" s="481" t="s">
        <v>88</v>
      </c>
      <c r="C11" s="482"/>
      <c r="D11" s="493">
        <v>511250000</v>
      </c>
      <c r="E11" s="484">
        <f>+VLOOKUP($B11,RESUMEN!$A$57:$D$68,2,FALSE)</f>
        <v>1937213162</v>
      </c>
      <c r="F11" s="485">
        <f t="shared" si="0"/>
        <v>2.1074589176533189E-2</v>
      </c>
      <c r="G11" s="486">
        <f t="shared" si="2"/>
        <v>1425963162</v>
      </c>
      <c r="H11" s="487"/>
      <c r="I11" s="484">
        <f>+VLOOKUP($B11,RESUMEN!$A$57:$D$68,2,FALSE)</f>
        <v>1937213162</v>
      </c>
      <c r="J11" s="484">
        <f>+VLOOKUP($B11,RESUMEN!$A$57:$D$68,3,FALSE)</f>
        <v>187000007</v>
      </c>
      <c r="K11" s="488">
        <f t="shared" si="1"/>
        <v>3.0999206436424735E-2</v>
      </c>
      <c r="L11" s="489">
        <f>+VLOOKUP(B11,[1]RESUMEN!$A$18:$G$28,7,FALSE)</f>
        <v>2232235489</v>
      </c>
      <c r="M11" s="490"/>
      <c r="N11" s="491"/>
      <c r="O11" s="497">
        <v>813429886</v>
      </c>
      <c r="P11" s="484">
        <f>+VLOOKUP($B11,RESUMEN!$A$57:$D$68,4,FALSE)</f>
        <v>1750213155</v>
      </c>
    </row>
    <row r="12" spans="2:18" s="492" customFormat="1" ht="15">
      <c r="B12" s="481" t="s">
        <v>131</v>
      </c>
      <c r="C12" s="482"/>
      <c r="D12" s="493">
        <v>979281000</v>
      </c>
      <c r="E12" s="484">
        <f>+VLOOKUP($B12,RESUMEN!$A$57:$D$68,2,FALSE)</f>
        <v>2468884750</v>
      </c>
      <c r="F12" s="485">
        <f t="shared" si="0"/>
        <v>2.6858547552268724E-2</v>
      </c>
      <c r="G12" s="486">
        <f t="shared" si="2"/>
        <v>1489603750</v>
      </c>
      <c r="H12" s="487"/>
      <c r="I12" s="484">
        <f>+VLOOKUP($B12,RESUMEN!$A$57:$D$68,2,FALSE)</f>
        <v>2468884750</v>
      </c>
      <c r="J12" s="484">
        <f>+VLOOKUP($B12,RESUMEN!$A$57:$D$68,3,FALSE)</f>
        <v>0</v>
      </c>
      <c r="K12" s="488">
        <f t="shared" si="1"/>
        <v>0</v>
      </c>
      <c r="L12" s="489">
        <f>+VLOOKUP(B12,[1]RESUMEN!$A$18:$G$28,7,FALSE)</f>
        <v>1553691000</v>
      </c>
      <c r="M12" s="495">
        <v>18928756000</v>
      </c>
      <c r="N12" s="491"/>
      <c r="O12" s="491">
        <v>18928756000</v>
      </c>
      <c r="P12" s="484">
        <f>+VLOOKUP($B12,RESUMEN!$A$57:$D$68,4,FALSE)</f>
        <v>2468884750</v>
      </c>
      <c r="R12" s="494"/>
    </row>
    <row r="13" spans="2:18" s="492" customFormat="1" ht="15">
      <c r="B13" s="481" t="s">
        <v>590</v>
      </c>
      <c r="C13" s="482"/>
      <c r="D13" s="493">
        <v>1577281000</v>
      </c>
      <c r="E13" s="484">
        <f>+VLOOKUP($B13,RESUMEN!$A$57:$D$68,2,FALSE)</f>
        <v>1577281000</v>
      </c>
      <c r="F13" s="485">
        <f t="shared" si="0"/>
        <v>1.7158952738393303E-2</v>
      </c>
      <c r="G13" s="486">
        <f t="shared" si="2"/>
        <v>0</v>
      </c>
      <c r="H13" s="487"/>
      <c r="I13" s="484">
        <f>+VLOOKUP($B13,RESUMEN!$A$57:$D$68,2,FALSE)</f>
        <v>1577281000</v>
      </c>
      <c r="J13" s="484">
        <f>+VLOOKUP($B13,RESUMEN!$A$57:$D$68,3,FALSE)</f>
        <v>0</v>
      </c>
      <c r="K13" s="488">
        <f t="shared" si="1"/>
        <v>0</v>
      </c>
      <c r="L13" s="489">
        <f>+VLOOKUP(B13,[1]RESUMEN!$A$18:$G$28,7,FALSE)</f>
        <v>0</v>
      </c>
      <c r="M13" s="495">
        <v>2565000000</v>
      </c>
      <c r="N13" s="491"/>
      <c r="O13" s="491">
        <v>2565000000</v>
      </c>
      <c r="P13" s="484">
        <f>+VLOOKUP($B13,RESUMEN!$A$57:$D$68,4,FALSE)</f>
        <v>1577281000</v>
      </c>
    </row>
    <row r="14" spans="2:18" s="492" customFormat="1" ht="15">
      <c r="B14" s="481" t="s">
        <v>348</v>
      </c>
      <c r="C14" s="482"/>
      <c r="D14" s="493">
        <v>1138226000</v>
      </c>
      <c r="E14" s="484">
        <f>+VLOOKUP($B14,RESUMEN!$A$57:$D$68,2,FALSE)</f>
        <v>311243092</v>
      </c>
      <c r="F14" s="485">
        <f t="shared" si="0"/>
        <v>3.3859569130544262E-3</v>
      </c>
      <c r="G14" s="486">
        <f t="shared" si="2"/>
        <v>-826982908</v>
      </c>
      <c r="H14" s="487"/>
      <c r="I14" s="484">
        <f>+VLOOKUP($B14,RESUMEN!$A$57:$D$68,2,FALSE)</f>
        <v>311243092</v>
      </c>
      <c r="J14" s="484">
        <f>+VLOOKUP($B14,RESUMEN!$A$57:$D$68,3,FALSE)</f>
        <v>0</v>
      </c>
      <c r="K14" s="488">
        <f t="shared" si="1"/>
        <v>0</v>
      </c>
      <c r="L14" s="489">
        <f>+VLOOKUP(B14,[1]RESUMEN!$A$18:$G$28,7,FALSE)</f>
        <v>201000000</v>
      </c>
      <c r="M14" s="490">
        <v>911004000</v>
      </c>
      <c r="N14" s="491"/>
      <c r="O14" s="491">
        <v>748049000</v>
      </c>
      <c r="P14" s="484">
        <f>+VLOOKUP($B14,RESUMEN!$A$57:$D$68,4,FALSE)</f>
        <v>311243092</v>
      </c>
      <c r="R14" s="498"/>
    </row>
    <row r="15" spans="2:18" s="492" customFormat="1" ht="15">
      <c r="B15" s="481" t="s">
        <v>244</v>
      </c>
      <c r="C15" s="482"/>
      <c r="D15" s="493">
        <v>506421000</v>
      </c>
      <c r="E15" s="484">
        <f>+VLOOKUP($B15,RESUMEN!$A$57:$D$68,2,FALSE)</f>
        <v>217176211</v>
      </c>
      <c r="F15" s="485">
        <f t="shared" si="0"/>
        <v>2.3626204464850154E-3</v>
      </c>
      <c r="G15" s="486">
        <f t="shared" si="2"/>
        <v>-289244789</v>
      </c>
      <c r="H15" s="487"/>
      <c r="I15" s="484">
        <f>+VLOOKUP($B15,RESUMEN!$A$57:$D$68,2,FALSE)</f>
        <v>217176211</v>
      </c>
      <c r="J15" s="484">
        <f>+VLOOKUP($B15,RESUMEN!$A$57:$D$68,3,FALSE)</f>
        <v>9360000</v>
      </c>
      <c r="K15" s="488">
        <f t="shared" si="1"/>
        <v>1.5516179753134209E-3</v>
      </c>
      <c r="L15" s="489" t="e">
        <f>+VLOOKUP(B15,[1]RESUMEN!$A$18:$G$28,7,FALSE)</f>
        <v>#N/A</v>
      </c>
      <c r="M15" s="495">
        <v>7007484000</v>
      </c>
      <c r="N15" s="491"/>
      <c r="O15" s="491">
        <v>7007484000</v>
      </c>
      <c r="P15" s="484">
        <f>+VLOOKUP($B15,RESUMEN!$A$57:$D$68,4,FALSE)</f>
        <v>207816211</v>
      </c>
    </row>
    <row r="16" spans="2:18" s="492" customFormat="1" ht="15">
      <c r="B16" s="481" t="s">
        <v>205</v>
      </c>
      <c r="C16" s="482"/>
      <c r="D16" s="493">
        <v>0</v>
      </c>
      <c r="E16" s="484">
        <f>+VLOOKUP($B16,RESUMEN!$A$57:$D$68,2,FALSE)</f>
        <v>1605064000</v>
      </c>
      <c r="F16" s="485">
        <f t="shared" si="0"/>
        <v>1.7461198935444292E-2</v>
      </c>
      <c r="G16" s="486">
        <f t="shared" si="2"/>
        <v>1605064000</v>
      </c>
      <c r="H16" s="487"/>
      <c r="I16" s="484">
        <f>+VLOOKUP($B16,RESUMEN!$A$57:$D$68,2,FALSE)</f>
        <v>1605064000</v>
      </c>
      <c r="J16" s="484">
        <f>+VLOOKUP($B16,RESUMEN!$A$57:$D$68,3,FALSE)</f>
        <v>0</v>
      </c>
      <c r="K16" s="488">
        <f t="shared" si="1"/>
        <v>0</v>
      </c>
      <c r="L16" s="489"/>
      <c r="M16" s="490"/>
      <c r="N16" s="491"/>
      <c r="O16" s="491"/>
      <c r="P16" s="484">
        <f>+VLOOKUP($B16,RESUMEN!$A$57:$D$68,4,FALSE)</f>
        <v>1605064000</v>
      </c>
    </row>
    <row r="17" spans="2:20" s="492" customFormat="1" ht="15">
      <c r="B17" s="481" t="s">
        <v>39</v>
      </c>
      <c r="C17" s="482"/>
      <c r="D17" s="483">
        <v>2606915000</v>
      </c>
      <c r="E17" s="484">
        <f>+VLOOKUP($B17,RESUMEN!$A$57:$D$68,2,FALSE)</f>
        <v>2606915000</v>
      </c>
      <c r="F17" s="485">
        <f t="shared" si="0"/>
        <v>2.8360153503407811E-2</v>
      </c>
      <c r="G17" s="486">
        <f>+E17-D17</f>
        <v>0</v>
      </c>
      <c r="H17" s="487"/>
      <c r="I17" s="484">
        <f>+VLOOKUP($B17,RESUMEN!$A$57:$D$68,2,FALSE)</f>
        <v>2606915000</v>
      </c>
      <c r="J17" s="484">
        <f>+VLOOKUP($B17,RESUMEN!$A$57:$D$68,3,FALSE)</f>
        <v>0</v>
      </c>
      <c r="K17" s="488">
        <f t="shared" si="1"/>
        <v>0</v>
      </c>
      <c r="L17" s="489" t="e">
        <f>+VLOOKUP(B17,[1]RESUMEN!$A$18:$G$28,7,FALSE)</f>
        <v>#N/A</v>
      </c>
      <c r="M17" s="495">
        <v>6481346000</v>
      </c>
      <c r="N17" s="491"/>
      <c r="O17" s="491">
        <v>6481346000</v>
      </c>
      <c r="P17" s="484">
        <f>+VLOOKUP($B17,RESUMEN!$A$57:$D$68,4,FALSE)</f>
        <v>2606915000</v>
      </c>
      <c r="R17" s="499"/>
      <c r="T17" s="499"/>
    </row>
    <row r="18" spans="2:20" s="492" customFormat="1" ht="15">
      <c r="B18" s="481" t="s">
        <v>640</v>
      </c>
      <c r="C18" s="482"/>
      <c r="D18" s="483">
        <v>573429000</v>
      </c>
      <c r="E18" s="484">
        <v>0</v>
      </c>
      <c r="F18" s="485">
        <f t="shared" si="0"/>
        <v>0</v>
      </c>
      <c r="G18" s="486">
        <f t="shared" si="2"/>
        <v>-573429000</v>
      </c>
      <c r="H18" s="487"/>
      <c r="I18" s="484">
        <v>0</v>
      </c>
      <c r="J18" s="484">
        <v>0</v>
      </c>
      <c r="K18" s="488">
        <f t="shared" si="1"/>
        <v>0</v>
      </c>
      <c r="L18" s="489" t="e">
        <f>+VLOOKUP(B18,[1]RESUMEN!$A$18:$G$28,7,FALSE)</f>
        <v>#N/A</v>
      </c>
      <c r="M18" s="490">
        <v>12613412000</v>
      </c>
      <c r="N18" s="491">
        <v>-12262659000</v>
      </c>
      <c r="O18" s="491">
        <v>11394278000</v>
      </c>
      <c r="P18" s="484">
        <v>0</v>
      </c>
      <c r="R18" s="494"/>
    </row>
    <row r="19" spans="2:20" ht="13.5" customHeight="1" thickBot="1">
      <c r="B19" s="500" t="s">
        <v>633</v>
      </c>
      <c r="C19" s="482"/>
      <c r="D19" s="501">
        <f t="shared" ref="D19:K19" si="3">SUM(D7:D18)</f>
        <v>84311481000</v>
      </c>
      <c r="E19" s="502">
        <f t="shared" si="3"/>
        <v>91921752105</v>
      </c>
      <c r="F19" s="503">
        <v>1</v>
      </c>
      <c r="G19" s="504">
        <f>SUM(G7:G18)</f>
        <v>7610271105</v>
      </c>
      <c r="H19" s="505"/>
      <c r="I19" s="501">
        <f>SUM(I7:I18)</f>
        <v>91921752105</v>
      </c>
      <c r="J19" s="506">
        <f t="shared" si="3"/>
        <v>6032412713</v>
      </c>
      <c r="K19" s="507">
        <f t="shared" si="3"/>
        <v>1</v>
      </c>
      <c r="L19" s="508" t="e">
        <f>SUM(L7:L18)</f>
        <v>#N/A</v>
      </c>
      <c r="M19" s="509">
        <v>83527575000</v>
      </c>
      <c r="N19" s="510"/>
      <c r="O19" s="510"/>
      <c r="P19" s="504">
        <f>SUM(P7:P18)</f>
        <v>85889339392</v>
      </c>
    </row>
    <row r="20" spans="2:20">
      <c r="D20" s="310"/>
      <c r="E20" s="310"/>
      <c r="G20" s="310"/>
      <c r="H20" s="511"/>
      <c r="I20" s="310"/>
      <c r="M20" s="512"/>
    </row>
    <row r="21" spans="2:20" s="310" customFormat="1">
      <c r="B21" s="305"/>
      <c r="C21" s="468"/>
      <c r="F21" s="305"/>
      <c r="H21" s="511"/>
      <c r="J21" s="305"/>
      <c r="K21" s="305"/>
      <c r="L21" s="305"/>
      <c r="M21" s="513">
        <v>88503509000</v>
      </c>
    </row>
    <row r="22" spans="2:20" s="310" customFormat="1">
      <c r="C22" s="511"/>
      <c r="F22" s="305"/>
      <c r="H22" s="511"/>
      <c r="J22" s="305"/>
      <c r="K22" s="305"/>
      <c r="M22" s="310">
        <v>-4975934000</v>
      </c>
      <c r="O22" s="310">
        <v>88503509</v>
      </c>
    </row>
    <row r="23" spans="2:20" s="310" customFormat="1">
      <c r="C23" s="511"/>
      <c r="F23" s="305"/>
      <c r="H23" s="511"/>
      <c r="J23" s="305"/>
      <c r="K23" s="305"/>
      <c r="L23" s="305"/>
      <c r="M23" s="310">
        <v>3282065000</v>
      </c>
      <c r="O23" s="310">
        <v>3471737</v>
      </c>
    </row>
    <row r="24" spans="2:20" s="310" customFormat="1">
      <c r="C24" s="511"/>
      <c r="E24" s="305"/>
      <c r="H24" s="511"/>
      <c r="I24" s="305"/>
      <c r="J24" s="305"/>
      <c r="K24" s="305"/>
      <c r="L24" s="305"/>
      <c r="M24" s="310">
        <v>1585864000</v>
      </c>
      <c r="O24" s="310">
        <v>1586864</v>
      </c>
    </row>
    <row r="25" spans="2:20" s="310" customFormat="1">
      <c r="C25" s="511"/>
      <c r="H25" s="511"/>
      <c r="J25" s="305"/>
      <c r="K25" s="305"/>
      <c r="L25" s="305"/>
      <c r="M25" s="310">
        <v>139672000</v>
      </c>
      <c r="O25" s="310">
        <v>662179</v>
      </c>
    </row>
    <row r="26" spans="2:20" s="310" customFormat="1">
      <c r="C26" s="511"/>
      <c r="E26" s="305"/>
      <c r="H26" s="511"/>
      <c r="I26" s="305"/>
      <c r="J26" s="305"/>
      <c r="K26" s="305"/>
      <c r="L26" s="305"/>
      <c r="M26" s="310">
        <v>50000000</v>
      </c>
      <c r="O26" s="310">
        <v>82782729</v>
      </c>
    </row>
    <row r="27" spans="2:20" s="310" customFormat="1">
      <c r="B27" s="305"/>
      <c r="C27" s="468"/>
      <c r="D27" s="305"/>
      <c r="E27" s="305"/>
      <c r="H27" s="511"/>
      <c r="I27" s="305"/>
      <c r="J27" s="305"/>
      <c r="K27" s="305"/>
      <c r="L27" s="305"/>
      <c r="M27" s="310">
        <v>81667000</v>
      </c>
    </row>
    <row r="28" spans="2:20" s="310" customFormat="1">
      <c r="B28" s="305"/>
      <c r="C28" s="468"/>
      <c r="E28" s="305"/>
      <c r="H28" s="511"/>
      <c r="I28" s="305"/>
      <c r="J28" s="305"/>
      <c r="K28" s="305"/>
      <c r="L28" s="305"/>
    </row>
    <row r="29" spans="2:20" s="310" customFormat="1">
      <c r="B29" s="305"/>
      <c r="C29" s="468"/>
      <c r="E29" s="305"/>
      <c r="H29" s="511"/>
      <c r="I29" s="305"/>
      <c r="J29" s="305"/>
      <c r="K29" s="305"/>
      <c r="L29" s="305"/>
    </row>
    <row r="30" spans="2:20" s="310" customFormat="1">
      <c r="B30" s="305"/>
      <c r="C30" s="468"/>
      <c r="E30" s="305"/>
      <c r="H30" s="511"/>
      <c r="I30" s="305"/>
      <c r="J30" s="305"/>
      <c r="K30" s="305"/>
      <c r="L30" s="305" t="s">
        <v>641</v>
      </c>
    </row>
    <row r="31" spans="2:20" s="310" customFormat="1">
      <c r="B31" s="305"/>
      <c r="C31" s="468"/>
      <c r="E31" s="305"/>
      <c r="H31" s="511"/>
      <c r="I31" s="305"/>
      <c r="J31" s="305"/>
      <c r="K31" s="305"/>
      <c r="L31" s="305"/>
    </row>
    <row r="32" spans="2:20" s="310" customFormat="1">
      <c r="B32" s="305"/>
      <c r="C32" s="468"/>
      <c r="D32" s="305"/>
      <c r="E32" s="305"/>
      <c r="H32" s="511"/>
      <c r="I32" s="305"/>
      <c r="J32" s="305"/>
      <c r="K32" s="305"/>
      <c r="L32" s="305"/>
    </row>
    <row r="33" spans="2:12" s="310" customFormat="1">
      <c r="B33" s="305"/>
      <c r="C33" s="468"/>
      <c r="D33" s="305"/>
      <c r="E33" s="305"/>
      <c r="F33" s="305"/>
      <c r="H33" s="511"/>
      <c r="I33" s="305"/>
      <c r="J33" s="305"/>
      <c r="K33" s="305"/>
      <c r="L33" s="305"/>
    </row>
    <row r="34" spans="2:12">
      <c r="G34" s="310"/>
      <c r="H34" s="511"/>
    </row>
    <row r="35" spans="2:12">
      <c r="G35" s="310"/>
      <c r="H35" s="511"/>
    </row>
    <row r="36" spans="2:12" s="310" customFormat="1">
      <c r="B36" s="305"/>
      <c r="C36" s="468"/>
      <c r="D36" s="305"/>
      <c r="E36" s="305"/>
      <c r="H36" s="511"/>
      <c r="I36" s="305"/>
      <c r="J36" s="305"/>
      <c r="K36" s="305"/>
      <c r="L36" s="305"/>
    </row>
    <row r="37" spans="2:12">
      <c r="F37" s="310"/>
    </row>
  </sheetData>
  <mergeCells count="2">
    <mergeCell ref="D5:G5"/>
    <mergeCell ref="I5:P5"/>
  </mergeCells>
  <printOptions horizontalCentered="1" verticalCentered="1"/>
  <pageMargins left="0.23622047244094491" right="0.23622047244094491" top="0.70866141732283472" bottom="0.15748031496062992" header="0.31496062992125984" footer="0.31496062992125984"/>
  <pageSetup paperSize="5" scale="9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17</vt:i4>
      </vt:variant>
    </vt:vector>
  </HeadingPairs>
  <TitlesOfParts>
    <vt:vector size="34" baseType="lpstr">
      <vt:lpstr>PORTADA</vt:lpstr>
      <vt:lpstr>GASTO</vt:lpstr>
      <vt:lpstr>EFICIENCIA</vt:lpstr>
      <vt:lpstr>PROVINCIA</vt:lpstr>
      <vt:lpstr>OSORNO</vt:lpstr>
      <vt:lpstr>LLANQUIHUE</vt:lpstr>
      <vt:lpstr>CHILOE</vt:lpstr>
      <vt:lpstr>PALENA</vt:lpstr>
      <vt:lpstr>PROVISION</vt:lpstr>
      <vt:lpstr>SECTOR</vt:lpstr>
      <vt:lpstr>SUBTITULO</vt:lpstr>
      <vt:lpstr>ESTADO SITUACION</vt:lpstr>
      <vt:lpstr>AC. SOC. COMPLEMENTARIO</vt:lpstr>
      <vt:lpstr>RESUMEN</vt:lpstr>
      <vt:lpstr>CONVENIOS 2021</vt:lpstr>
      <vt:lpstr>CONVENIOS 2020</vt:lpstr>
      <vt:lpstr>Hoja1</vt:lpstr>
      <vt:lpstr>'AC. SOC. COMPLEMENTARIO'!Área_de_impresión</vt:lpstr>
      <vt:lpstr>CHILOE!Área_de_impresión</vt:lpstr>
      <vt:lpstr>EFICIENCIA!Área_de_impresión</vt:lpstr>
      <vt:lpstr>'ESTADO SITUACION'!Área_de_impresión</vt:lpstr>
      <vt:lpstr>GASTO!Área_de_impresión</vt:lpstr>
      <vt:lpstr>LLANQUIHUE!Área_de_impresión</vt:lpstr>
      <vt:lpstr>OSORNO!Área_de_impresión</vt:lpstr>
      <vt:lpstr>PALENA!Área_de_impresión</vt:lpstr>
      <vt:lpstr>PORTADA!Área_de_impresión</vt:lpstr>
      <vt:lpstr>PROVINCIA!Área_de_impresión</vt:lpstr>
      <vt:lpstr>PROVISION!Área_de_impresión</vt:lpstr>
      <vt:lpstr>SECTOR!Área_de_impresión</vt:lpstr>
      <vt:lpstr>SUBTITULO!Área_de_impresión</vt:lpstr>
      <vt:lpstr>'ESTADO SITUACION'!Print_Area</vt:lpstr>
      <vt:lpstr>'ESTADO SITUACION'!Print_Titles</vt:lpstr>
      <vt:lpstr>'AC. SOC. COMPLEMENTARIO'!Títulos_a_imprimir</vt:lpstr>
      <vt:lpstr>'ESTADO SITUACION'!Títulos_a_imprimir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Segundo Alarcon</dc:creator>
  <cp:lastModifiedBy>Usuario</cp:lastModifiedBy>
  <cp:lastPrinted>2021-03-12T13:21:27Z</cp:lastPrinted>
  <dcterms:created xsi:type="dcterms:W3CDTF">2021-02-02T02:19:29Z</dcterms:created>
  <dcterms:modified xsi:type="dcterms:W3CDTF">2021-03-12T15:59:52Z</dcterms:modified>
</cp:coreProperties>
</file>