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defaultThemeVersion="124226"/>
  <bookViews>
    <workbookView xWindow="0" yWindow="60" windowWidth="19890" windowHeight="7875" tabRatio="957"/>
  </bookViews>
  <sheets>
    <sheet name="PORTADA" sheetId="44" r:id="rId1"/>
    <sheet name="GASTO" sheetId="19" r:id="rId2"/>
    <sheet name="EFICIENCIA" sheetId="20" r:id="rId3"/>
    <sheet name="PROVINCIA" sheetId="18" r:id="rId4"/>
    <sheet name="OSORNO" sheetId="47" r:id="rId5"/>
    <sheet name="LLANQUIHUE" sheetId="49" r:id="rId6"/>
    <sheet name="CHILOE" sheetId="50" r:id="rId7"/>
    <sheet name="PALENA" sheetId="51" r:id="rId8"/>
    <sheet name="PROVISION" sheetId="21" r:id="rId9"/>
    <sheet name="SECTOR" sheetId="22" r:id="rId10"/>
    <sheet name="SUBTITULO" sheetId="23" r:id="rId11"/>
    <sheet name="ESTADO SITUACION" sheetId="14" r:id="rId12"/>
    <sheet name="PORTADA FRIL" sheetId="55" r:id="rId13"/>
    <sheet name="FRIL" sheetId="38" r:id="rId14"/>
    <sheet name="RESUMEN" sheetId="17" state="hidden" r:id="rId15"/>
    <sheet name="VALIDACION" sheetId="39" state="hidden" r:id="rId16"/>
    <sheet name="RS" sheetId="61" state="hidden" r:id="rId17"/>
    <sheet name="AC. SOCIAL" sheetId="64" r:id="rId18"/>
    <sheet name="FRIL AC.SOCIAL" sheetId="62" r:id="rId19"/>
    <sheet name="AC. SOC. COMPLEMENTARIO" sheetId="63" r:id="rId20"/>
  </sheets>
  <definedNames>
    <definedName name="__bookmark_1" localSheetId="19">#REF!</definedName>
    <definedName name="__bookmark_1" localSheetId="17">#REF!</definedName>
    <definedName name="__bookmark_1" localSheetId="6">#REF!</definedName>
    <definedName name="__bookmark_1" localSheetId="2">#REF!</definedName>
    <definedName name="__bookmark_1" localSheetId="18">#REF!</definedName>
    <definedName name="__bookmark_1" localSheetId="1">#REF!</definedName>
    <definedName name="__bookmark_1" localSheetId="5">#REF!</definedName>
    <definedName name="__bookmark_1" localSheetId="7">#REF!</definedName>
    <definedName name="__bookmark_1" localSheetId="3">#REF!</definedName>
    <definedName name="__bookmark_1" localSheetId="8">#REF!</definedName>
    <definedName name="__bookmark_1" localSheetId="9">#REF!</definedName>
    <definedName name="__bookmark_1" localSheetId="10">#REF!</definedName>
    <definedName name="__bookmark_1">#REF!</definedName>
    <definedName name="_xlnm._FilterDatabase" localSheetId="19" hidden="1">'AC. SOC. COMPLEMENTARIO'!$A$2:$AU$30</definedName>
    <definedName name="_xlnm._FilterDatabase" localSheetId="17" hidden="1">'AC. SOCIAL'!$A$2:$AU$29</definedName>
    <definedName name="_xlnm._FilterDatabase" localSheetId="11" hidden="1">'ESTADO SITUACION'!$A$2:$AU$922</definedName>
    <definedName name="_xlnm._FilterDatabase" localSheetId="13" hidden="1">FRIL!$A$1:$Z$349</definedName>
    <definedName name="_xlnm._FilterDatabase" localSheetId="18" hidden="1">'FRIL AC.SOCIAL'!$A$1:$AA$137</definedName>
    <definedName name="_xlnm._FilterDatabase" localSheetId="8" hidden="1">PROVISION!$B$6:$L$18</definedName>
    <definedName name="_xlnm._FilterDatabase" localSheetId="10" hidden="1">SUBTITULO!$B$10:$K$16</definedName>
    <definedName name="_xlnm.Print_Area" localSheetId="17">'AC. SOCIAL'!$B$1:$AU$57</definedName>
    <definedName name="_xlnm.Print_Area" localSheetId="6">CHILOE!$A$1:$N$29</definedName>
    <definedName name="_xlnm.Print_Area" localSheetId="2">EFICIENCIA!$A$1:$L$42</definedName>
    <definedName name="_xlnm.Print_Area" localSheetId="11">'ESTADO SITUACION'!$B$1:$AU$922</definedName>
    <definedName name="_xlnm.Print_Area" localSheetId="13">FRIL!$A$1:$Z$350</definedName>
    <definedName name="_xlnm.Print_Area" localSheetId="18">'FRIL AC.SOCIAL'!$A$1:$AA$138</definedName>
    <definedName name="_xlnm.Print_Area" localSheetId="1">GASTO!$A$1:$K$33</definedName>
    <definedName name="_xlnm.Print_Area" localSheetId="5">LLANQUIHUE!$A$1:$N$29</definedName>
    <definedName name="_xlnm.Print_Area" localSheetId="4">OSORNO!$A$1:$N$28</definedName>
    <definedName name="_xlnm.Print_Area" localSheetId="7">PALENA!$A$1:$N$26</definedName>
    <definedName name="_xlnm.Print_Area" localSheetId="0">PORTADA!$A$1:$M$34</definedName>
    <definedName name="_xlnm.Print_Area" localSheetId="3">PROVINCIA!$A$1:$M$34</definedName>
    <definedName name="_xlnm.Print_Area" localSheetId="8">PROVISION!$A$1:$R$42</definedName>
    <definedName name="_xlnm.Print_Area" localSheetId="9">SECTOR!$A$2:$K$46</definedName>
    <definedName name="_xlnm.Print_Area" localSheetId="10">SUBTITULO!$A$1:$L$42</definedName>
    <definedName name="proyectosconrecomendacion" localSheetId="19">#REF!</definedName>
    <definedName name="proyectosconrecomendacion" localSheetId="17">#REF!</definedName>
    <definedName name="proyectosconrecomendacion" localSheetId="6">#REF!</definedName>
    <definedName name="proyectosconrecomendacion" localSheetId="2">#REF!</definedName>
    <definedName name="proyectosconrecomendacion" localSheetId="18">#REF!</definedName>
    <definedName name="proyectosconrecomendacion" localSheetId="1">#REF!</definedName>
    <definedName name="proyectosconrecomendacion" localSheetId="5">#REF!</definedName>
    <definedName name="proyectosconrecomendacion" localSheetId="7">#REF!</definedName>
    <definedName name="proyectosconrecomendacion" localSheetId="3">#REF!</definedName>
    <definedName name="proyectosconrecomendacion" localSheetId="8">#REF!</definedName>
    <definedName name="proyectosconrecomendacion" localSheetId="9">#REF!</definedName>
    <definedName name="proyectosconrecomendacion" localSheetId="10">#REF!</definedName>
    <definedName name="proyectosconrecomendacion">#REF!</definedName>
    <definedName name="_xlnm.Print_Titles" localSheetId="19">'AC. SOC. COMPLEMENTARIO'!$1:$2</definedName>
    <definedName name="_xlnm.Print_Titles" localSheetId="17">'AC. SOCIAL'!$1:$3</definedName>
    <definedName name="_xlnm.Print_Titles" localSheetId="11">'ESTADO SITUACION'!$1:$3</definedName>
    <definedName name="_xlnm.Print_Titles" localSheetId="13">FRIL!$1:$1</definedName>
    <definedName name="_xlnm.Print_Titles" localSheetId="18">'FRIL AC.SOCIAL'!$1:$1</definedName>
    <definedName name="VB" localSheetId="19">#REF!</definedName>
    <definedName name="VB" localSheetId="17">#REF!</definedName>
    <definedName name="VB" localSheetId="6">#REF!</definedName>
    <definedName name="VB" localSheetId="2">#REF!</definedName>
    <definedName name="VB" localSheetId="18">#REF!</definedName>
    <definedName name="VB" localSheetId="1">#REF!</definedName>
    <definedName name="VB" localSheetId="5">#REF!</definedName>
    <definedName name="VB" localSheetId="7">#REF!</definedName>
    <definedName name="VB" localSheetId="3">#REF!</definedName>
    <definedName name="VB" localSheetId="8">#REF!</definedName>
    <definedName name="VB" localSheetId="9">#REF!</definedName>
    <definedName name="VB" localSheetId="10">#REF!</definedName>
    <definedName name="VB">#REF!</definedName>
  </definedNames>
  <calcPr calcId="145621"/>
  <pivotCaches>
    <pivotCache cacheId="0" r:id="rId21"/>
    <pivotCache cacheId="1" r:id="rId22"/>
    <pivotCache cacheId="2" r:id="rId23"/>
    <pivotCache cacheId="3" r:id="rId24"/>
  </pivotCaches>
</workbook>
</file>

<file path=xl/calcChain.xml><?xml version="1.0" encoding="utf-8"?>
<calcChain xmlns="http://schemas.openxmlformats.org/spreadsheetml/2006/main">
  <c r="Y58" i="63" l="1"/>
  <c r="AB58" i="63" s="1"/>
  <c r="AP12" i="64" l="1"/>
  <c r="AO12" i="64"/>
  <c r="AK12" i="64"/>
  <c r="AJ12" i="64"/>
  <c r="AI12" i="64"/>
  <c r="AH12" i="64"/>
  <c r="AG12" i="64"/>
  <c r="AF12" i="64"/>
  <c r="AE12" i="64"/>
  <c r="Z12" i="64"/>
  <c r="AC11" i="64"/>
  <c r="AB731" i="14"/>
  <c r="Y731" i="14"/>
  <c r="AB658" i="14"/>
  <c r="AC729" i="14"/>
  <c r="AC12" i="64" l="1"/>
  <c r="AD729" i="14"/>
  <c r="AR729" i="14" s="1"/>
  <c r="AB24" i="63" l="1"/>
  <c r="Z24" i="63"/>
  <c r="Y24" i="63"/>
  <c r="AB67" i="63" l="1"/>
  <c r="Z67" i="63"/>
  <c r="Y67" i="63"/>
  <c r="AB61" i="63"/>
  <c r="Z61" i="63"/>
  <c r="Y61" i="63"/>
  <c r="Z50" i="63"/>
  <c r="Y50" i="63"/>
  <c r="AB8" i="63"/>
  <c r="Z8" i="63"/>
  <c r="Y8" i="63"/>
  <c r="AB13" i="63"/>
  <c r="Z13" i="63"/>
  <c r="Y13" i="63"/>
  <c r="AP50" i="63"/>
  <c r="AO50" i="63"/>
  <c r="AK50" i="63"/>
  <c r="AJ50" i="63"/>
  <c r="AI50" i="63"/>
  <c r="AH50" i="63"/>
  <c r="AG50" i="63"/>
  <c r="AF50" i="63"/>
  <c r="AE50" i="63"/>
  <c r="AB51" i="64"/>
  <c r="Z51" i="64"/>
  <c r="Y51" i="64"/>
  <c r="AB27" i="64"/>
  <c r="Z27" i="64"/>
  <c r="Y27" i="64"/>
  <c r="AC23" i="64"/>
  <c r="AC22" i="64"/>
  <c r="AD22" i="64" s="1"/>
  <c r="AR22" i="64" s="1"/>
  <c r="AP51" i="64"/>
  <c r="AP53" i="64" s="1"/>
  <c r="AP55" i="64" s="1"/>
  <c r="AO51" i="64"/>
  <c r="AO53" i="64" s="1"/>
  <c r="AO55" i="64" s="1"/>
  <c r="AK51" i="64"/>
  <c r="AK53" i="64" s="1"/>
  <c r="AK55" i="64" s="1"/>
  <c r="AJ51" i="64"/>
  <c r="AJ53" i="64" s="1"/>
  <c r="AJ55" i="64" s="1"/>
  <c r="AI51" i="64"/>
  <c r="AI53" i="64" s="1"/>
  <c r="AI55" i="64" s="1"/>
  <c r="AH51" i="64"/>
  <c r="AH53" i="64" s="1"/>
  <c r="AH55" i="64" s="1"/>
  <c r="AG51" i="64"/>
  <c r="AG53" i="64" s="1"/>
  <c r="AG55" i="64" s="1"/>
  <c r="AF51" i="64"/>
  <c r="AF53" i="64" s="1"/>
  <c r="AF55" i="64" s="1"/>
  <c r="AE51" i="64"/>
  <c r="AE53" i="64" s="1"/>
  <c r="AE55" i="64" s="1"/>
  <c r="Z315" i="14"/>
  <c r="Y315" i="14"/>
  <c r="AP602" i="14"/>
  <c r="AO602" i="14"/>
  <c r="AN602" i="14"/>
  <c r="AM602" i="14"/>
  <c r="AL602" i="14"/>
  <c r="AK602" i="14"/>
  <c r="AJ602" i="14"/>
  <c r="AI602" i="14"/>
  <c r="AH602" i="14"/>
  <c r="AG602" i="14"/>
  <c r="AF602" i="14"/>
  <c r="AE602" i="14"/>
  <c r="Z602" i="14"/>
  <c r="Y602" i="14"/>
  <c r="AP597" i="14"/>
  <c r="AO597" i="14"/>
  <c r="AN597" i="14"/>
  <c r="AM597" i="14"/>
  <c r="AL597" i="14"/>
  <c r="AK597" i="14"/>
  <c r="AJ597" i="14"/>
  <c r="AI597" i="14"/>
  <c r="AH597" i="14"/>
  <c r="AG597" i="14"/>
  <c r="AF597" i="14"/>
  <c r="AE597" i="14"/>
  <c r="Z597" i="14"/>
  <c r="Y597" i="14"/>
  <c r="AP584" i="14"/>
  <c r="AO584" i="14"/>
  <c r="AN584" i="14"/>
  <c r="AM584" i="14"/>
  <c r="AL584" i="14"/>
  <c r="AK584" i="14"/>
  <c r="AJ584" i="14"/>
  <c r="AI584" i="14"/>
  <c r="AH584" i="14"/>
  <c r="AG584" i="14"/>
  <c r="AF584" i="14"/>
  <c r="AE584" i="14"/>
  <c r="AB584" i="14"/>
  <c r="Z584" i="14"/>
  <c r="Y584" i="14"/>
  <c r="AP579" i="14"/>
  <c r="AN579" i="14"/>
  <c r="AM579" i="14"/>
  <c r="AL579" i="14"/>
  <c r="AK579" i="14"/>
  <c r="AJ579" i="14"/>
  <c r="AI579" i="14"/>
  <c r="AH579" i="14"/>
  <c r="AG579" i="14"/>
  <c r="AF579" i="14"/>
  <c r="AE579" i="14"/>
  <c r="AP496" i="14"/>
  <c r="AP498" i="14" s="1"/>
  <c r="AN496" i="14"/>
  <c r="AN498" i="14" s="1"/>
  <c r="AM496" i="14"/>
  <c r="AM498" i="14" s="1"/>
  <c r="AL496" i="14"/>
  <c r="AL498" i="14" s="1"/>
  <c r="AK496" i="14"/>
  <c r="AK498" i="14" s="1"/>
  <c r="AJ496" i="14"/>
  <c r="AJ498" i="14" s="1"/>
  <c r="AI496" i="14"/>
  <c r="AI498" i="14" s="1"/>
  <c r="AH496" i="14"/>
  <c r="AH498" i="14" s="1"/>
  <c r="AG496" i="14"/>
  <c r="AG498" i="14" s="1"/>
  <c r="AF496" i="14"/>
  <c r="AF498" i="14" s="1"/>
  <c r="AE496" i="14"/>
  <c r="AE498" i="14" s="1"/>
  <c r="Y496" i="14"/>
  <c r="Y498" i="14" s="1"/>
  <c r="AP315" i="14"/>
  <c r="AO315" i="14"/>
  <c r="AN315" i="14"/>
  <c r="AM315" i="14"/>
  <c r="AL315" i="14"/>
  <c r="AK315" i="14"/>
  <c r="AJ315" i="14"/>
  <c r="AI315" i="14"/>
  <c r="AH315" i="14"/>
  <c r="AG315" i="14"/>
  <c r="AF315" i="14"/>
  <c r="AE315" i="14"/>
  <c r="AP309" i="14"/>
  <c r="AN309" i="14"/>
  <c r="AM309" i="14"/>
  <c r="AL309" i="14"/>
  <c r="AK309" i="14"/>
  <c r="AJ309" i="14"/>
  <c r="AI309" i="14"/>
  <c r="AH309" i="14"/>
  <c r="AG309" i="14"/>
  <c r="AF309" i="14"/>
  <c r="AE309" i="14"/>
  <c r="Y309" i="14"/>
  <c r="AP157" i="14"/>
  <c r="AO157" i="14"/>
  <c r="AN157" i="14"/>
  <c r="AM157" i="14"/>
  <c r="AL157" i="14"/>
  <c r="AK157" i="14"/>
  <c r="AJ157" i="14"/>
  <c r="AI157" i="14"/>
  <c r="AH157" i="14"/>
  <c r="AG157" i="14"/>
  <c r="AF157" i="14"/>
  <c r="AE157" i="14"/>
  <c r="Z157" i="14"/>
  <c r="Y157" i="14"/>
  <c r="AP150" i="14"/>
  <c r="AO150" i="14"/>
  <c r="AN150" i="14"/>
  <c r="AM150" i="14"/>
  <c r="AL150" i="14"/>
  <c r="AK150" i="14"/>
  <c r="AJ150" i="14"/>
  <c r="AI150" i="14"/>
  <c r="AH150" i="14"/>
  <c r="AG150" i="14"/>
  <c r="AF150" i="14"/>
  <c r="AE150" i="14"/>
  <c r="Z150" i="14"/>
  <c r="Y150" i="14"/>
  <c r="AB123" i="14"/>
  <c r="AB126" i="14"/>
  <c r="AP134" i="14"/>
  <c r="AO134" i="14"/>
  <c r="AN134" i="14"/>
  <c r="AM134" i="14"/>
  <c r="AL134" i="14"/>
  <c r="AK134" i="14"/>
  <c r="AJ134" i="14"/>
  <c r="AI134" i="14"/>
  <c r="AH134" i="14"/>
  <c r="AG134" i="14"/>
  <c r="AF134" i="14"/>
  <c r="AE134" i="14"/>
  <c r="AB134" i="14"/>
  <c r="Z134" i="14"/>
  <c r="Y134" i="14"/>
  <c r="AP130" i="14"/>
  <c r="AN130" i="14"/>
  <c r="AM130" i="14"/>
  <c r="AL130" i="14"/>
  <c r="AK130" i="14"/>
  <c r="AJ130" i="14"/>
  <c r="AI130" i="14"/>
  <c r="AH130" i="14"/>
  <c r="AG130" i="14"/>
  <c r="AF130" i="14"/>
  <c r="AE130" i="14"/>
  <c r="Z130" i="14"/>
  <c r="Y130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Z87" i="14"/>
  <c r="Y87" i="14"/>
  <c r="AB86" i="14"/>
  <c r="AB87" i="14" s="1"/>
  <c r="AB79" i="14"/>
  <c r="AP82" i="14"/>
  <c r="AN82" i="14"/>
  <c r="AM82" i="14"/>
  <c r="AL82" i="14"/>
  <c r="AK82" i="14"/>
  <c r="AJ82" i="14"/>
  <c r="AI82" i="14"/>
  <c r="AH82" i="14"/>
  <c r="AG82" i="14"/>
  <c r="AF82" i="14"/>
  <c r="AE82" i="14"/>
  <c r="AB493" i="14"/>
  <c r="AB440" i="14"/>
  <c r="AB408" i="14"/>
  <c r="AB411" i="14"/>
  <c r="AB253" i="14"/>
  <c r="AB265" i="14"/>
  <c r="AB481" i="14"/>
  <c r="AB522" i="14"/>
  <c r="AB111" i="14"/>
  <c r="AB35" i="14"/>
  <c r="AB550" i="14"/>
  <c r="AB545" i="14"/>
  <c r="AB370" i="14"/>
  <c r="AB275" i="14"/>
  <c r="AB283" i="14"/>
  <c r="AB171" i="14"/>
  <c r="AB170" i="14"/>
  <c r="AB881" i="14"/>
  <c r="AB871" i="14"/>
  <c r="AB884" i="14"/>
  <c r="AB864" i="14"/>
  <c r="AB714" i="14"/>
  <c r="AB20" i="14"/>
  <c r="AB659" i="14"/>
  <c r="AB245" i="14"/>
  <c r="AB148" i="14"/>
  <c r="AD23" i="64" l="1"/>
  <c r="AR23" i="64" s="1"/>
  <c r="AP367" i="14"/>
  <c r="AO367" i="14"/>
  <c r="AN367" i="14"/>
  <c r="AM367" i="14"/>
  <c r="AL367" i="14"/>
  <c r="AK367" i="14"/>
  <c r="AI367" i="14"/>
  <c r="AH367" i="14"/>
  <c r="AG367" i="14"/>
  <c r="AF367" i="14"/>
  <c r="AE367" i="14"/>
  <c r="Z367" i="14"/>
  <c r="Y367" i="14"/>
  <c r="AC154" i="14"/>
  <c r="AC372" i="14" l="1"/>
  <c r="AD154" i="14"/>
  <c r="AR154" i="14" s="1"/>
  <c r="AD372" i="14" l="1"/>
  <c r="AR372" i="14" l="1"/>
  <c r="Q343" i="38" l="1"/>
  <c r="Q345" i="38" s="1"/>
  <c r="P343" i="38"/>
  <c r="P345" i="38" s="1"/>
  <c r="O343" i="38"/>
  <c r="O345" i="38" s="1"/>
  <c r="Q333" i="38"/>
  <c r="Q335" i="38" s="1"/>
  <c r="P333" i="38"/>
  <c r="P335" i="38" s="1"/>
  <c r="O333" i="38"/>
  <c r="O335" i="38" s="1"/>
  <c r="Q324" i="38"/>
  <c r="Q326" i="38" s="1"/>
  <c r="P324" i="38"/>
  <c r="P326" i="38" s="1"/>
  <c r="O324" i="38"/>
  <c r="O326" i="38" s="1"/>
  <c r="Q312" i="38"/>
  <c r="Q314" i="38" s="1"/>
  <c r="P312" i="38"/>
  <c r="P314" i="38" s="1"/>
  <c r="O312" i="38"/>
  <c r="O314" i="38" s="1"/>
  <c r="Q298" i="38"/>
  <c r="Q300" i="38" s="1"/>
  <c r="P298" i="38"/>
  <c r="P300" i="38" s="1"/>
  <c r="O298" i="38"/>
  <c r="O300" i="38" s="1"/>
  <c r="Q286" i="38"/>
  <c r="Q288" i="38" s="1"/>
  <c r="P286" i="38"/>
  <c r="P288" i="38" s="1"/>
  <c r="O286" i="38"/>
  <c r="O288" i="38" s="1"/>
  <c r="Q275" i="38"/>
  <c r="Q277" i="38" s="1"/>
  <c r="P275" i="38"/>
  <c r="P277" i="38" s="1"/>
  <c r="O275" i="38"/>
  <c r="O277" i="38" s="1"/>
  <c r="Q264" i="38"/>
  <c r="Q266" i="38" s="1"/>
  <c r="P264" i="38"/>
  <c r="P266" i="38" s="1"/>
  <c r="O264" i="38"/>
  <c r="O266" i="38" s="1"/>
  <c r="Q254" i="38"/>
  <c r="Q256" i="38" s="1"/>
  <c r="P254" i="38"/>
  <c r="P256" i="38" s="1"/>
  <c r="O254" i="38"/>
  <c r="O256" i="38" s="1"/>
  <c r="Q244" i="38"/>
  <c r="Q246" i="38" s="1"/>
  <c r="P244" i="38"/>
  <c r="P246" i="38" s="1"/>
  <c r="O244" i="38"/>
  <c r="O246" i="38" s="1"/>
  <c r="Q233" i="38"/>
  <c r="Q235" i="38" s="1"/>
  <c r="P233" i="38"/>
  <c r="P235" i="38" s="1"/>
  <c r="O233" i="38"/>
  <c r="O235" i="38" s="1"/>
  <c r="Q219" i="38"/>
  <c r="Q221" i="38" s="1"/>
  <c r="P219" i="38"/>
  <c r="P221" i="38" s="1"/>
  <c r="Q182" i="38"/>
  <c r="Q184" i="38" s="1"/>
  <c r="P182" i="38"/>
  <c r="P184" i="38" s="1"/>
  <c r="O182" i="38"/>
  <c r="O184" i="38" s="1"/>
  <c r="O148" i="38"/>
  <c r="O150" i="38" s="1"/>
  <c r="Q148" i="38"/>
  <c r="Q150" i="38" s="1"/>
  <c r="P148" i="38"/>
  <c r="P150" i="38" s="1"/>
  <c r="Q137" i="38"/>
  <c r="Q139" i="38" s="1"/>
  <c r="P137" i="38"/>
  <c r="P139" i="38" s="1"/>
  <c r="Q126" i="38"/>
  <c r="Q128" i="38" s="1"/>
  <c r="P126" i="38"/>
  <c r="P128" i="38" s="1"/>
  <c r="Q101" i="38"/>
  <c r="Q103" i="38" s="1"/>
  <c r="P101" i="38"/>
  <c r="P103" i="38" s="1"/>
  <c r="Q89" i="38"/>
  <c r="Q91" i="38" s="1"/>
  <c r="Q77" i="38"/>
  <c r="Q79" i="38" s="1"/>
  <c r="P77" i="38"/>
  <c r="P79" i="38" s="1"/>
  <c r="Q65" i="38"/>
  <c r="Q67" i="38" s="1"/>
  <c r="P65" i="38"/>
  <c r="P67" i="38" s="1"/>
  <c r="Q53" i="38"/>
  <c r="Q55" i="38" s="1"/>
  <c r="P53" i="38"/>
  <c r="P55" i="38" s="1"/>
  <c r="Q11" i="38"/>
  <c r="Q13" i="38" s="1"/>
  <c r="P11" i="38"/>
  <c r="P13" i="38" s="1"/>
  <c r="O11" i="38"/>
  <c r="O13" i="38" s="1"/>
  <c r="P347" i="38" l="1"/>
  <c r="Q302" i="38"/>
  <c r="O347" i="38"/>
  <c r="P81" i="38"/>
  <c r="O186" i="38"/>
  <c r="Q81" i="38"/>
  <c r="P186" i="38"/>
  <c r="O302" i="38"/>
  <c r="Q347" i="38"/>
  <c r="Q186" i="38"/>
  <c r="P302" i="38"/>
  <c r="P349" i="38" s="1"/>
  <c r="J298" i="38"/>
  <c r="X296" i="38"/>
  <c r="Y296" i="38" s="1"/>
  <c r="W296" i="38"/>
  <c r="V333" i="38"/>
  <c r="U333" i="38"/>
  <c r="T333" i="38"/>
  <c r="S333" i="38"/>
  <c r="R333" i="38"/>
  <c r="N333" i="38"/>
  <c r="M333" i="38"/>
  <c r="L333" i="38"/>
  <c r="K333" i="38"/>
  <c r="J333" i="38"/>
  <c r="I333" i="38"/>
  <c r="X332" i="38"/>
  <c r="Y332" i="38" s="1"/>
  <c r="W332" i="38"/>
  <c r="J286" i="38"/>
  <c r="V286" i="38"/>
  <c r="U286" i="38"/>
  <c r="T286" i="38"/>
  <c r="S286" i="38"/>
  <c r="R286" i="38"/>
  <c r="N286" i="38"/>
  <c r="M286" i="38"/>
  <c r="L286" i="38"/>
  <c r="K286" i="38"/>
  <c r="I286" i="38"/>
  <c r="X285" i="38"/>
  <c r="Y285" i="38" s="1"/>
  <c r="W285" i="38"/>
  <c r="V42" i="38"/>
  <c r="U42" i="38"/>
  <c r="T42" i="38"/>
  <c r="S42" i="38"/>
  <c r="R42" i="38"/>
  <c r="P42" i="38"/>
  <c r="O42" i="38"/>
  <c r="N42" i="38"/>
  <c r="M42" i="38"/>
  <c r="L42" i="38"/>
  <c r="K42" i="38"/>
  <c r="J42" i="38"/>
  <c r="I42" i="38"/>
  <c r="X41" i="38"/>
  <c r="Y41" i="38" s="1"/>
  <c r="W41" i="38"/>
  <c r="V298" i="38"/>
  <c r="U298" i="38"/>
  <c r="T298" i="38"/>
  <c r="S298" i="38"/>
  <c r="R298" i="38"/>
  <c r="N298" i="38"/>
  <c r="M298" i="38"/>
  <c r="L298" i="38"/>
  <c r="K298" i="38"/>
  <c r="I298" i="38"/>
  <c r="X295" i="38"/>
  <c r="Y295" i="38" s="1"/>
  <c r="W295" i="38"/>
  <c r="X297" i="38"/>
  <c r="Y297" i="38" s="1"/>
  <c r="W297" i="38"/>
  <c r="X170" i="38"/>
  <c r="Y170" i="38" s="1"/>
  <c r="W170" i="38"/>
  <c r="X19" i="38"/>
  <c r="Y19" i="38" s="1"/>
  <c r="W19" i="38"/>
  <c r="X111" i="38"/>
  <c r="Y111" i="38" s="1"/>
  <c r="W111" i="38"/>
  <c r="X273" i="38"/>
  <c r="Y273" i="38" s="1"/>
  <c r="W273" i="38"/>
  <c r="X252" i="38"/>
  <c r="Y252" i="38" s="1"/>
  <c r="W252" i="38"/>
  <c r="V113" i="38"/>
  <c r="U113" i="38"/>
  <c r="T113" i="38"/>
  <c r="S113" i="38"/>
  <c r="R113" i="38"/>
  <c r="P113" i="38"/>
  <c r="O113" i="38"/>
  <c r="N113" i="38"/>
  <c r="M113" i="38"/>
  <c r="L113" i="38"/>
  <c r="K113" i="38"/>
  <c r="J113" i="38"/>
  <c r="I113" i="38"/>
  <c r="X112" i="38"/>
  <c r="Y112" i="38" s="1"/>
  <c r="W112" i="38"/>
  <c r="V324" i="38"/>
  <c r="U324" i="38"/>
  <c r="T324" i="38"/>
  <c r="S324" i="38"/>
  <c r="R324" i="38"/>
  <c r="N324" i="38"/>
  <c r="M324" i="38"/>
  <c r="L324" i="38"/>
  <c r="K324" i="38"/>
  <c r="J324" i="38"/>
  <c r="I324" i="38"/>
  <c r="X323" i="38"/>
  <c r="Y323" i="38" s="1"/>
  <c r="W323" i="38"/>
  <c r="X135" i="38"/>
  <c r="Y135" i="38" s="1"/>
  <c r="W135" i="38"/>
  <c r="V264" i="38"/>
  <c r="U264" i="38"/>
  <c r="T264" i="38"/>
  <c r="S264" i="38"/>
  <c r="R264" i="38"/>
  <c r="N264" i="38"/>
  <c r="M264" i="38"/>
  <c r="L264" i="38"/>
  <c r="K264" i="38"/>
  <c r="J264" i="38"/>
  <c r="I264" i="38"/>
  <c r="X263" i="38"/>
  <c r="Y263" i="38" s="1"/>
  <c r="W263" i="38"/>
  <c r="V343" i="38"/>
  <c r="U343" i="38"/>
  <c r="T343" i="38"/>
  <c r="S343" i="38"/>
  <c r="R343" i="38"/>
  <c r="N343" i="38"/>
  <c r="M343" i="38"/>
  <c r="L343" i="38"/>
  <c r="K343" i="38"/>
  <c r="J343" i="38"/>
  <c r="I343" i="38"/>
  <c r="X342" i="38"/>
  <c r="Y342" i="38" s="1"/>
  <c r="W342" i="38"/>
  <c r="X242" i="38"/>
  <c r="Y242" i="38" s="1"/>
  <c r="W242" i="38"/>
  <c r="I233" i="38"/>
  <c r="X231" i="38"/>
  <c r="Y231" i="38" s="1"/>
  <c r="W231" i="38"/>
  <c r="X310" i="38"/>
  <c r="Y310" i="38" s="1"/>
  <c r="W310" i="38"/>
  <c r="V244" i="38"/>
  <c r="U244" i="38"/>
  <c r="T244" i="38"/>
  <c r="S244" i="38"/>
  <c r="R244" i="38"/>
  <c r="N244" i="38"/>
  <c r="M244" i="38"/>
  <c r="L244" i="38"/>
  <c r="K244" i="38"/>
  <c r="J244" i="38"/>
  <c r="I244" i="38"/>
  <c r="X243" i="38"/>
  <c r="Y243" i="38" s="1"/>
  <c r="W243" i="38"/>
  <c r="V275" i="38"/>
  <c r="U275" i="38"/>
  <c r="T275" i="38"/>
  <c r="S275" i="38"/>
  <c r="R275" i="38"/>
  <c r="N275" i="38"/>
  <c r="M275" i="38"/>
  <c r="L275" i="38"/>
  <c r="K275" i="38"/>
  <c r="J275" i="38"/>
  <c r="I275" i="38"/>
  <c r="X274" i="38"/>
  <c r="Y274" i="38" s="1"/>
  <c r="W274" i="38"/>
  <c r="V53" i="38"/>
  <c r="U53" i="38"/>
  <c r="T53" i="38"/>
  <c r="S53" i="38"/>
  <c r="R53" i="38"/>
  <c r="O53" i="38"/>
  <c r="N53" i="38"/>
  <c r="M53" i="38"/>
  <c r="L53" i="38"/>
  <c r="K53" i="38"/>
  <c r="J53" i="38"/>
  <c r="I53" i="38"/>
  <c r="X52" i="38"/>
  <c r="Y52" i="38" s="1"/>
  <c r="W52" i="38"/>
  <c r="I77" i="38"/>
  <c r="V77" i="38"/>
  <c r="U77" i="38"/>
  <c r="T77" i="38"/>
  <c r="S77" i="38"/>
  <c r="R77" i="38"/>
  <c r="O77" i="38"/>
  <c r="N77" i="38"/>
  <c r="M77" i="38"/>
  <c r="L77" i="38"/>
  <c r="K77" i="38"/>
  <c r="J77" i="38"/>
  <c r="X75" i="38"/>
  <c r="Y75" i="38" s="1"/>
  <c r="W75" i="38"/>
  <c r="X76" i="38"/>
  <c r="Y76" i="38" s="1"/>
  <c r="W76" i="38"/>
  <c r="X99" i="38"/>
  <c r="Y99" i="38" s="1"/>
  <c r="W99" i="38"/>
  <c r="V65" i="38"/>
  <c r="U65" i="38"/>
  <c r="T65" i="38"/>
  <c r="S65" i="38"/>
  <c r="R65" i="38"/>
  <c r="O65" i="38"/>
  <c r="N65" i="38"/>
  <c r="M65" i="38"/>
  <c r="L65" i="38"/>
  <c r="K65" i="38"/>
  <c r="J65" i="38"/>
  <c r="I65" i="38"/>
  <c r="X62" i="38"/>
  <c r="Y62" i="38" s="1"/>
  <c r="W62" i="38"/>
  <c r="X63" i="38"/>
  <c r="Y63" i="38" s="1"/>
  <c r="W63" i="38"/>
  <c r="X64" i="38"/>
  <c r="Y64" i="38" s="1"/>
  <c r="W64" i="38"/>
  <c r="O126" i="38"/>
  <c r="I160" i="38"/>
  <c r="J160" i="38"/>
  <c r="V21" i="38"/>
  <c r="U21" i="38"/>
  <c r="T21" i="38"/>
  <c r="S21" i="38"/>
  <c r="R21" i="38"/>
  <c r="P21" i="38"/>
  <c r="O21" i="38"/>
  <c r="N21" i="38"/>
  <c r="M21" i="38"/>
  <c r="L21" i="38"/>
  <c r="K21" i="38"/>
  <c r="J21" i="38"/>
  <c r="I21" i="38"/>
  <c r="X20" i="38"/>
  <c r="Y20" i="38" s="1"/>
  <c r="W20" i="38"/>
  <c r="X158" i="38"/>
  <c r="Y158" i="38" s="1"/>
  <c r="W158" i="38"/>
  <c r="X98" i="38"/>
  <c r="Y98" i="38" s="1"/>
  <c r="W98" i="38"/>
  <c r="X124" i="38"/>
  <c r="Y124" i="38" s="1"/>
  <c r="W124" i="38"/>
  <c r="X123" i="38"/>
  <c r="Y123" i="38" s="1"/>
  <c r="W123" i="38"/>
  <c r="O349" i="38" l="1"/>
  <c r="Q349" i="38"/>
  <c r="O11" i="51"/>
  <c r="AB523" i="14"/>
  <c r="AB471" i="14"/>
  <c r="AB432" i="14"/>
  <c r="AB413" i="14"/>
  <c r="AB395" i="14"/>
  <c r="AB591" i="14"/>
  <c r="AB593" i="14"/>
  <c r="O16" i="50"/>
  <c r="AB346" i="14"/>
  <c r="AB185" i="14"/>
  <c r="AB332" i="14"/>
  <c r="AB325" i="14"/>
  <c r="AB301" i="14"/>
  <c r="AB290" i="14"/>
  <c r="AB266" i="14"/>
  <c r="Q15" i="49"/>
  <c r="O15" i="49"/>
  <c r="AB141" i="14"/>
  <c r="AB149" i="14"/>
  <c r="AB113" i="14"/>
  <c r="AB98" i="14"/>
  <c r="AB66" i="14"/>
  <c r="AB36" i="14"/>
  <c r="AB8" i="14"/>
  <c r="AB7" i="14"/>
  <c r="O13" i="47"/>
  <c r="N13" i="18"/>
  <c r="AB710" i="14"/>
  <c r="AB619" i="14"/>
  <c r="AB389" i="14"/>
  <c r="AP719" i="14"/>
  <c r="AN719" i="14"/>
  <c r="AM719" i="14"/>
  <c r="AL719" i="14"/>
  <c r="AK719" i="14"/>
  <c r="AI719" i="14"/>
  <c r="AH719" i="14"/>
  <c r="AG719" i="14"/>
  <c r="AF719" i="14"/>
  <c r="AE719" i="14"/>
  <c r="AO718" i="14"/>
  <c r="AO719" i="14" s="1"/>
  <c r="AC717" i="14"/>
  <c r="AP416" i="14"/>
  <c r="AN416" i="14"/>
  <c r="AM416" i="14"/>
  <c r="AL416" i="14"/>
  <c r="AK416" i="14"/>
  <c r="AB691" i="14" l="1"/>
  <c r="AB689" i="14"/>
  <c r="AB364" i="14"/>
  <c r="AB479" i="14"/>
  <c r="AB553" i="14"/>
  <c r="AB17" i="14"/>
  <c r="AB600" i="14"/>
  <c r="AB602" i="14" s="1"/>
  <c r="AB711" i="14"/>
  <c r="AB492" i="14"/>
  <c r="AB496" i="14" s="1"/>
  <c r="AB498" i="14" s="1"/>
  <c r="AB473" i="14"/>
  <c r="AB436" i="14"/>
  <c r="AB410" i="14"/>
  <c r="AB353" i="14"/>
  <c r="AB365" i="14"/>
  <c r="AB306" i="14"/>
  <c r="AB300" i="14"/>
  <c r="AB145" i="14"/>
  <c r="AB24" i="14"/>
  <c r="AB13" i="14"/>
  <c r="AB12" i="14"/>
  <c r="AB420" i="14"/>
  <c r="AB373" i="14"/>
  <c r="AB366" i="14"/>
  <c r="AB342" i="14"/>
  <c r="AB341" i="14"/>
  <c r="AB313" i="14"/>
  <c r="AB315" i="14" s="1"/>
  <c r="AB302" i="14"/>
  <c r="AB284" i="14"/>
  <c r="AB142" i="14"/>
  <c r="AB144" i="14"/>
  <c r="AB95" i="14"/>
  <c r="AB43" i="14"/>
  <c r="AB45" i="14" s="1"/>
  <c r="AB53" i="14"/>
  <c r="AB838" i="14"/>
  <c r="AB869" i="14"/>
  <c r="AP731" i="14"/>
  <c r="AP733" i="14" s="1"/>
  <c r="AO731" i="14"/>
  <c r="AN731" i="14"/>
  <c r="AM731" i="14"/>
  <c r="AM733" i="14" s="1"/>
  <c r="AL731" i="14"/>
  <c r="AL733" i="14" s="1"/>
  <c r="AK731" i="14"/>
  <c r="AK733" i="14" s="1"/>
  <c r="AI731" i="14"/>
  <c r="AI733" i="14" s="1"/>
  <c r="AH731" i="14"/>
  <c r="AH733" i="14" s="1"/>
  <c r="AG731" i="14"/>
  <c r="AG733" i="14" s="1"/>
  <c r="AF731" i="14"/>
  <c r="AF733" i="14" s="1"/>
  <c r="AE731" i="14"/>
  <c r="AE733" i="14" s="1"/>
  <c r="AP681" i="14"/>
  <c r="AO681" i="14"/>
  <c r="AN681" i="14"/>
  <c r="AM681" i="14"/>
  <c r="AL681" i="14"/>
  <c r="AL683" i="14" s="1"/>
  <c r="AK681" i="14"/>
  <c r="AK683" i="14" s="1"/>
  <c r="AI681" i="14"/>
  <c r="AH681" i="14"/>
  <c r="AG681" i="14"/>
  <c r="AF681" i="14"/>
  <c r="AE681" i="14"/>
  <c r="AL665" i="14"/>
  <c r="AK665" i="14"/>
  <c r="AL642" i="14"/>
  <c r="AK642" i="14"/>
  <c r="AE635" i="14"/>
  <c r="AL624" i="14"/>
  <c r="AK624" i="14"/>
  <c r="AL604" i="14"/>
  <c r="AK604" i="14"/>
  <c r="AL586" i="14"/>
  <c r="AK586" i="14"/>
  <c r="AL564" i="14"/>
  <c r="AK564" i="14"/>
  <c r="AE562" i="14"/>
  <c r="AE557" i="14"/>
  <c r="AP537" i="14"/>
  <c r="AO537" i="14"/>
  <c r="AN537" i="14"/>
  <c r="AM537" i="14"/>
  <c r="AL537" i="14"/>
  <c r="AK537" i="14"/>
  <c r="AI537" i="14"/>
  <c r="AH537" i="14"/>
  <c r="AG537" i="14"/>
  <c r="AF537" i="14"/>
  <c r="AE537" i="14"/>
  <c r="AP530" i="14"/>
  <c r="AN530" i="14"/>
  <c r="AM530" i="14"/>
  <c r="AL530" i="14"/>
  <c r="AK530" i="14"/>
  <c r="AI530" i="14"/>
  <c r="AH530" i="14"/>
  <c r="AG530" i="14"/>
  <c r="AF530" i="14"/>
  <c r="AP484" i="14"/>
  <c r="AO484" i="14"/>
  <c r="AN484" i="14"/>
  <c r="AM484" i="14"/>
  <c r="AL484" i="14"/>
  <c r="AL486" i="14" s="1"/>
  <c r="AK484" i="14"/>
  <c r="AK486" i="14" s="1"/>
  <c r="AI484" i="14"/>
  <c r="AH484" i="14"/>
  <c r="AG484" i="14"/>
  <c r="AF484" i="14"/>
  <c r="AE484" i="14"/>
  <c r="AE476" i="14"/>
  <c r="AL465" i="14"/>
  <c r="AK465" i="14"/>
  <c r="AP443" i="14"/>
  <c r="AN443" i="14"/>
  <c r="AM443" i="14"/>
  <c r="AL443" i="14"/>
  <c r="AL449" i="14" s="1"/>
  <c r="AK443" i="14"/>
  <c r="AK449" i="14" s="1"/>
  <c r="AI443" i="14"/>
  <c r="AH443" i="14"/>
  <c r="AG443" i="14"/>
  <c r="AF443" i="14"/>
  <c r="AE443" i="14"/>
  <c r="AP424" i="14"/>
  <c r="AO424" i="14"/>
  <c r="AN424" i="14"/>
  <c r="AM424" i="14"/>
  <c r="AL424" i="14"/>
  <c r="AL426" i="14" s="1"/>
  <c r="AK424" i="14"/>
  <c r="AK426" i="14" s="1"/>
  <c r="AI424" i="14"/>
  <c r="AH424" i="14"/>
  <c r="AG424" i="14"/>
  <c r="AF424" i="14"/>
  <c r="AE424" i="14"/>
  <c r="AL403" i="14"/>
  <c r="AK403" i="14"/>
  <c r="AL378" i="14"/>
  <c r="AK378" i="14"/>
  <c r="AL359" i="14"/>
  <c r="AK359" i="14"/>
  <c r="AP333" i="14"/>
  <c r="AO333" i="14"/>
  <c r="AN333" i="14"/>
  <c r="AM333" i="14"/>
  <c r="AL333" i="14"/>
  <c r="AL335" i="14" s="1"/>
  <c r="AK333" i="14"/>
  <c r="AK335" i="14" s="1"/>
  <c r="AI333" i="14"/>
  <c r="AH333" i="14"/>
  <c r="AG333" i="14"/>
  <c r="AF333" i="14"/>
  <c r="AL317" i="14"/>
  <c r="AK317" i="14"/>
  <c r="AP291" i="14"/>
  <c r="AO291" i="14"/>
  <c r="AN291" i="14"/>
  <c r="AM291" i="14"/>
  <c r="AL291" i="14"/>
  <c r="AK291" i="14"/>
  <c r="AI291" i="14"/>
  <c r="AH291" i="14"/>
  <c r="AG291" i="14"/>
  <c r="AF291" i="14"/>
  <c r="AE291" i="14"/>
  <c r="AP287" i="14"/>
  <c r="AN287" i="14"/>
  <c r="AM287" i="14"/>
  <c r="AL287" i="14"/>
  <c r="AK287" i="14"/>
  <c r="AI287" i="14"/>
  <c r="AH287" i="14"/>
  <c r="AG287" i="14"/>
  <c r="AF287" i="14"/>
  <c r="AE287" i="14"/>
  <c r="AL278" i="14"/>
  <c r="AK278" i="14"/>
  <c r="AL257" i="14"/>
  <c r="AK257" i="14"/>
  <c r="AP234" i="14"/>
  <c r="AO234" i="14"/>
  <c r="AN234" i="14"/>
  <c r="AM234" i="14"/>
  <c r="AL234" i="14"/>
  <c r="AL236" i="14" s="1"/>
  <c r="AK234" i="14"/>
  <c r="AK236" i="14" s="1"/>
  <c r="AI234" i="14"/>
  <c r="AH234" i="14"/>
  <c r="AG234" i="14"/>
  <c r="AF234" i="14"/>
  <c r="AE234" i="14"/>
  <c r="AC227" i="14"/>
  <c r="AC231" i="14"/>
  <c r="Z234" i="14"/>
  <c r="AC229" i="14"/>
  <c r="AP213" i="14"/>
  <c r="AO213" i="14"/>
  <c r="AN213" i="14"/>
  <c r="AM213" i="14"/>
  <c r="AL213" i="14"/>
  <c r="AK213" i="14"/>
  <c r="AI213" i="14"/>
  <c r="AH213" i="14"/>
  <c r="AG213" i="14"/>
  <c r="AF213" i="14"/>
  <c r="AE213" i="14"/>
  <c r="AP205" i="14"/>
  <c r="AN205" i="14"/>
  <c r="AM205" i="14"/>
  <c r="AL205" i="14"/>
  <c r="AK205" i="14"/>
  <c r="AI205" i="14"/>
  <c r="AH205" i="14"/>
  <c r="AG205" i="14"/>
  <c r="AF205" i="14"/>
  <c r="AE205" i="14"/>
  <c r="AP186" i="14"/>
  <c r="AO186" i="14"/>
  <c r="AN186" i="14"/>
  <c r="AM186" i="14"/>
  <c r="AL186" i="14"/>
  <c r="AL188" i="14" s="1"/>
  <c r="AK186" i="14"/>
  <c r="AK188" i="14" s="1"/>
  <c r="AI186" i="14"/>
  <c r="AH186" i="14"/>
  <c r="AG186" i="14"/>
  <c r="AF186" i="14"/>
  <c r="AE186" i="14"/>
  <c r="AB186" i="14"/>
  <c r="Z186" i="14"/>
  <c r="Y186" i="14"/>
  <c r="AC180" i="14"/>
  <c r="AC178" i="14"/>
  <c r="AE159" i="14"/>
  <c r="AP116" i="14"/>
  <c r="AP118" i="14" s="1"/>
  <c r="AN116" i="14"/>
  <c r="AN118" i="14" s="1"/>
  <c r="AM116" i="14"/>
  <c r="AM118" i="14" s="1"/>
  <c r="AL116" i="14"/>
  <c r="AL118" i="14" s="1"/>
  <c r="AK116" i="14"/>
  <c r="AK118" i="14" s="1"/>
  <c r="AI116" i="14"/>
  <c r="AI118" i="14" s="1"/>
  <c r="AH116" i="14"/>
  <c r="AH118" i="14" s="1"/>
  <c r="AG116" i="14"/>
  <c r="AG118" i="14" s="1"/>
  <c r="AF116" i="14"/>
  <c r="AF118" i="14" s="1"/>
  <c r="AE116" i="14"/>
  <c r="AE118" i="14" s="1"/>
  <c r="AP104" i="14"/>
  <c r="AO104" i="14"/>
  <c r="AN104" i="14"/>
  <c r="AM104" i="14"/>
  <c r="AL104" i="14"/>
  <c r="AK104" i="14"/>
  <c r="AI104" i="14"/>
  <c r="AH104" i="14"/>
  <c r="AG104" i="14"/>
  <c r="AF104" i="14"/>
  <c r="AE104" i="14"/>
  <c r="AP100" i="14"/>
  <c r="AN100" i="14"/>
  <c r="AM100" i="14"/>
  <c r="AL100" i="14"/>
  <c r="AK100" i="14"/>
  <c r="AI100" i="14"/>
  <c r="AH100" i="14"/>
  <c r="AG100" i="14"/>
  <c r="AF100" i="14"/>
  <c r="AE100" i="14"/>
  <c r="AP70" i="14"/>
  <c r="AO70" i="14"/>
  <c r="AN70" i="14"/>
  <c r="AM70" i="14"/>
  <c r="AL70" i="14"/>
  <c r="AK70" i="14"/>
  <c r="AI70" i="14"/>
  <c r="AH70" i="14"/>
  <c r="AG70" i="14"/>
  <c r="AF70" i="14"/>
  <c r="AE70" i="14"/>
  <c r="AP61" i="14"/>
  <c r="AN61" i="14"/>
  <c r="AM61" i="14"/>
  <c r="AL61" i="14"/>
  <c r="AK61" i="14"/>
  <c r="AI61" i="14"/>
  <c r="AH61" i="14"/>
  <c r="AG61" i="14"/>
  <c r="AF61" i="14"/>
  <c r="AE61" i="14"/>
  <c r="AP45" i="14"/>
  <c r="AO45" i="14"/>
  <c r="AN45" i="14"/>
  <c r="AM45" i="14"/>
  <c r="AL45" i="14"/>
  <c r="AK45" i="14"/>
  <c r="AI45" i="14"/>
  <c r="AH45" i="14"/>
  <c r="AG45" i="14"/>
  <c r="AF45" i="14"/>
  <c r="AE45" i="14"/>
  <c r="AP40" i="14"/>
  <c r="AN40" i="14"/>
  <c r="AM40" i="14"/>
  <c r="AL40" i="14"/>
  <c r="AK40" i="14"/>
  <c r="AI40" i="14"/>
  <c r="AH40" i="14"/>
  <c r="AG40" i="14"/>
  <c r="AF40" i="14"/>
  <c r="AE40" i="14"/>
  <c r="AP27" i="14"/>
  <c r="AO27" i="14"/>
  <c r="AN27" i="14"/>
  <c r="AM27" i="14"/>
  <c r="AL27" i="14"/>
  <c r="AK27" i="14"/>
  <c r="AI27" i="14"/>
  <c r="AH27" i="14"/>
  <c r="AG27" i="14"/>
  <c r="AF27" i="14"/>
  <c r="AE27" i="14"/>
  <c r="AP21" i="14"/>
  <c r="AN21" i="14"/>
  <c r="AM21" i="14"/>
  <c r="AL21" i="14"/>
  <c r="AK21" i="14"/>
  <c r="AI21" i="14"/>
  <c r="AH21" i="14"/>
  <c r="AG21" i="14"/>
  <c r="AF21" i="14"/>
  <c r="AE21" i="14"/>
  <c r="AB150" i="14" l="1"/>
  <c r="AB367" i="14"/>
  <c r="AP47" i="14"/>
  <c r="AP293" i="14"/>
  <c r="AP539" i="14"/>
  <c r="AP29" i="14"/>
  <c r="AP215" i="14"/>
  <c r="AF29" i="14"/>
  <c r="AN29" i="14"/>
  <c r="AG47" i="14"/>
  <c r="AK47" i="14"/>
  <c r="AF215" i="14"/>
  <c r="AN215" i="14"/>
  <c r="AE293" i="14"/>
  <c r="AI293" i="14"/>
  <c r="AM293" i="14"/>
  <c r="AF539" i="14"/>
  <c r="AN539" i="14"/>
  <c r="AE29" i="14"/>
  <c r="AI29" i="14"/>
  <c r="AM29" i="14"/>
  <c r="AF47" i="14"/>
  <c r="AN47" i="14"/>
  <c r="AI215" i="14"/>
  <c r="AH293" i="14"/>
  <c r="AL293" i="14"/>
  <c r="AI539" i="14"/>
  <c r="AM539" i="14"/>
  <c r="AC186" i="14"/>
  <c r="AK29" i="14"/>
  <c r="AL47" i="14"/>
  <c r="AK215" i="14"/>
  <c r="AF293" i="14"/>
  <c r="AN293" i="14"/>
  <c r="AG539" i="14"/>
  <c r="AK539" i="14"/>
  <c r="AK606" i="14" s="1"/>
  <c r="AH29" i="14"/>
  <c r="AL29" i="14"/>
  <c r="AE47" i="14"/>
  <c r="AI47" i="14"/>
  <c r="AM47" i="14"/>
  <c r="AH215" i="14"/>
  <c r="AL215" i="14"/>
  <c r="AG293" i="14"/>
  <c r="AK293" i="14"/>
  <c r="AH539" i="14"/>
  <c r="AL539" i="14"/>
  <c r="AL606" i="14" s="1"/>
  <c r="AG29" i="14"/>
  <c r="AH47" i="14"/>
  <c r="AG215" i="14"/>
  <c r="AM215" i="14"/>
  <c r="AE486" i="14"/>
  <c r="AN733" i="14"/>
  <c r="AL703" i="14"/>
  <c r="AO733" i="14"/>
  <c r="AC681" i="14"/>
  <c r="AC234" i="14"/>
  <c r="AE564" i="14"/>
  <c r="AK703" i="14"/>
  <c r="AE215" i="14"/>
  <c r="AE72" i="14"/>
  <c r="AE89" i="14"/>
  <c r="AE106" i="14"/>
  <c r="AM136" i="14"/>
  <c r="AI159" i="14"/>
  <c r="AH72" i="14"/>
  <c r="AL72" i="14"/>
  <c r="AP72" i="14"/>
  <c r="AH89" i="14"/>
  <c r="AL89" i="14"/>
  <c r="AP89" i="14"/>
  <c r="AH106" i="14"/>
  <c r="AL106" i="14"/>
  <c r="AP106" i="14"/>
  <c r="AH136" i="14"/>
  <c r="AL136" i="14"/>
  <c r="AP136" i="14"/>
  <c r="AH159" i="14"/>
  <c r="AL159" i="14"/>
  <c r="AP159" i="14"/>
  <c r="AI72" i="14"/>
  <c r="AI89" i="14"/>
  <c r="AI106" i="14"/>
  <c r="AE136" i="14"/>
  <c r="AF72" i="14"/>
  <c r="AN72" i="14"/>
  <c r="AF89" i="14"/>
  <c r="AN89" i="14"/>
  <c r="AF106" i="14"/>
  <c r="AN106" i="14"/>
  <c r="AF136" i="14"/>
  <c r="AN136" i="14"/>
  <c r="AF159" i="14"/>
  <c r="AN159" i="14"/>
  <c r="AM72" i="14"/>
  <c r="AM89" i="14"/>
  <c r="AM106" i="14"/>
  <c r="AI136" i="14"/>
  <c r="AM159" i="14"/>
  <c r="AG72" i="14"/>
  <c r="AK72" i="14"/>
  <c r="AG89" i="14"/>
  <c r="AK89" i="14"/>
  <c r="AG106" i="14"/>
  <c r="AK106" i="14"/>
  <c r="AG136" i="14"/>
  <c r="AK136" i="14"/>
  <c r="AG159" i="14"/>
  <c r="AK159" i="14"/>
  <c r="AO159" i="14"/>
  <c r="AL380" i="14" l="1"/>
  <c r="AK380" i="14"/>
  <c r="AM161" i="14"/>
  <c r="AK161" i="14"/>
  <c r="AH161" i="14"/>
  <c r="AG161" i="14"/>
  <c r="AI161" i="14"/>
  <c r="AE161" i="14"/>
  <c r="AF161" i="14"/>
  <c r="AN161" i="14"/>
  <c r="AP161" i="14"/>
  <c r="AL161" i="14"/>
  <c r="D43" i="19" l="1"/>
  <c r="AL906" i="14"/>
  <c r="AL908" i="14" s="1"/>
  <c r="AK906" i="14"/>
  <c r="AK908" i="14" s="1"/>
  <c r="AB904" i="14" l="1"/>
  <c r="Z904" i="14"/>
  <c r="Y904" i="14"/>
  <c r="Z731" i="14"/>
  <c r="Y681" i="14"/>
  <c r="Z681" i="14"/>
  <c r="Y663" i="14"/>
  <c r="Y640" i="14"/>
  <c r="Y622" i="14"/>
  <c r="AB537" i="14"/>
  <c r="Z537" i="14"/>
  <c r="Y537" i="14"/>
  <c r="Z484" i="14"/>
  <c r="Y484" i="14"/>
  <c r="Z424" i="14"/>
  <c r="Y424" i="14"/>
  <c r="AB401" i="14"/>
  <c r="Z401" i="14"/>
  <c r="Y401" i="14"/>
  <c r="AB357" i="14"/>
  <c r="Z357" i="14"/>
  <c r="Y357" i="14"/>
  <c r="Y255" i="14"/>
  <c r="Y234" i="14"/>
  <c r="Y213" i="14"/>
  <c r="AB213" i="14"/>
  <c r="Z213" i="14"/>
  <c r="Z70" i="14"/>
  <c r="Y70" i="14"/>
  <c r="Z45" i="14"/>
  <c r="Y45" i="14"/>
  <c r="Y98" i="14" l="1"/>
  <c r="Y100" i="14" s="1"/>
  <c r="AC98" i="14"/>
  <c r="AD98" i="14" s="1"/>
  <c r="AR98" i="14" l="1"/>
  <c r="AC880" i="14" l="1"/>
  <c r="AC879" i="14"/>
  <c r="AD879" i="14" s="1"/>
  <c r="AC889" i="14"/>
  <c r="AR879" i="14" l="1"/>
  <c r="AD880" i="14"/>
  <c r="AR880" i="14" s="1"/>
  <c r="AD889" i="14"/>
  <c r="AR889" i="14" s="1"/>
  <c r="X69" i="62"/>
  <c r="W71" i="62"/>
  <c r="V71" i="62"/>
  <c r="U71" i="62"/>
  <c r="T71" i="62"/>
  <c r="S71" i="62"/>
  <c r="R71" i="62"/>
  <c r="Q71" i="62"/>
  <c r="P71" i="62"/>
  <c r="O71" i="62"/>
  <c r="N71" i="62"/>
  <c r="M71" i="62"/>
  <c r="L71" i="62"/>
  <c r="K71" i="62"/>
  <c r="J71" i="62"/>
  <c r="Y69" i="62"/>
  <c r="Z69" i="62" s="1"/>
  <c r="F15" i="23" l="1"/>
  <c r="F12" i="23"/>
  <c r="C51" i="20"/>
  <c r="AB592" i="14" l="1"/>
  <c r="C50" i="20" l="1"/>
  <c r="AB688" i="14"/>
  <c r="AB679" i="14"/>
  <c r="AB681" i="14" s="1"/>
  <c r="AB649" i="14"/>
  <c r="AB169" i="14"/>
  <c r="AB712" i="14"/>
  <c r="AB512" i="14"/>
  <c r="AB506" i="14"/>
  <c r="AB78" i="14"/>
  <c r="AB82" i="14" s="1"/>
  <c r="AB446" i="14"/>
  <c r="J15" i="21"/>
  <c r="J32" i="61"/>
  <c r="D42" i="19" l="1"/>
  <c r="W7" i="38"/>
  <c r="X7" i="38"/>
  <c r="Y7" i="38" s="1"/>
  <c r="AB8" i="64" l="1"/>
  <c r="Z8" i="64"/>
  <c r="Z29" i="64" s="1"/>
  <c r="Y8" i="64"/>
  <c r="AB47" i="64"/>
  <c r="Z47" i="64"/>
  <c r="Y47" i="64"/>
  <c r="AB43" i="64"/>
  <c r="Z43" i="64"/>
  <c r="Y43" i="64"/>
  <c r="AB39" i="64"/>
  <c r="Z39" i="64"/>
  <c r="Y39" i="64"/>
  <c r="AB35" i="64"/>
  <c r="Z35" i="64"/>
  <c r="Y35" i="64"/>
  <c r="AC26" i="64"/>
  <c r="AC50" i="64"/>
  <c r="AC51" i="64" s="1"/>
  <c r="AC25" i="64"/>
  <c r="AD25" i="64" s="1"/>
  <c r="AR25" i="64" s="1"/>
  <c r="AC24" i="64"/>
  <c r="AD24" i="64" s="1"/>
  <c r="AC21" i="64"/>
  <c r="AC20" i="64"/>
  <c r="AD20" i="64" s="1"/>
  <c r="AC19" i="64"/>
  <c r="AD19" i="64" s="1"/>
  <c r="AR19" i="64" s="1"/>
  <c r="AC18" i="64"/>
  <c r="AD18" i="64" s="1"/>
  <c r="AC17" i="64"/>
  <c r="AC16" i="64"/>
  <c r="AD16" i="64" s="1"/>
  <c r="AR16" i="64" s="1"/>
  <c r="AC15" i="64"/>
  <c r="AC7" i="64"/>
  <c r="AD7" i="64" s="1"/>
  <c r="AD8" i="64" s="1"/>
  <c r="AC46" i="64"/>
  <c r="AD46" i="64" s="1"/>
  <c r="AD47" i="64" s="1"/>
  <c r="AC42" i="64"/>
  <c r="AI43" i="64"/>
  <c r="AE43" i="64"/>
  <c r="AP39" i="64"/>
  <c r="AC38" i="64"/>
  <c r="AC39" i="64" s="1"/>
  <c r="AC34" i="64"/>
  <c r="AD34" i="64" s="1"/>
  <c r="AR34" i="64" s="1"/>
  <c r="AB53" i="64" l="1"/>
  <c r="AD15" i="64"/>
  <c r="AR15" i="64" s="1"/>
  <c r="AC27" i="64"/>
  <c r="Y53" i="64"/>
  <c r="AD42" i="64"/>
  <c r="AD43" i="64" s="1"/>
  <c r="AC43" i="64"/>
  <c r="AC47" i="64"/>
  <c r="AC35" i="64"/>
  <c r="AC8" i="64"/>
  <c r="AD35" i="64"/>
  <c r="AG27" i="64"/>
  <c r="AK27" i="64"/>
  <c r="AP27" i="64"/>
  <c r="AP47" i="64"/>
  <c r="AF27" i="64"/>
  <c r="AJ27" i="64"/>
  <c r="AO27" i="64"/>
  <c r="AG47" i="64"/>
  <c r="AH47" i="64"/>
  <c r="AE27" i="64"/>
  <c r="AI27" i="64"/>
  <c r="AK47" i="64"/>
  <c r="AH27" i="64"/>
  <c r="AI39" i="64"/>
  <c r="AN39" i="64"/>
  <c r="AH43" i="64"/>
  <c r="AO39" i="64"/>
  <c r="AO35" i="64"/>
  <c r="AE47" i="64"/>
  <c r="AI47" i="64"/>
  <c r="AH8" i="64"/>
  <c r="AF47" i="64"/>
  <c r="AJ47" i="64"/>
  <c r="AO8" i="64"/>
  <c r="AI8" i="64"/>
  <c r="AP35" i="64"/>
  <c r="AF39" i="64"/>
  <c r="AJ39" i="64"/>
  <c r="AO47" i="64"/>
  <c r="AF8" i="64"/>
  <c r="AJ8" i="64"/>
  <c r="AP8" i="64"/>
  <c r="AE35" i="64"/>
  <c r="AI35" i="64"/>
  <c r="AG43" i="64"/>
  <c r="AK43" i="64"/>
  <c r="AR46" i="64"/>
  <c r="AG39" i="64"/>
  <c r="AK39" i="64"/>
  <c r="AJ43" i="64"/>
  <c r="AP43" i="64"/>
  <c r="AF35" i="64"/>
  <c r="AJ35" i="64"/>
  <c r="AG35" i="64"/>
  <c r="AK35" i="64"/>
  <c r="AH39" i="64"/>
  <c r="AM39" i="64"/>
  <c r="AH35" i="64"/>
  <c r="AR18" i="64"/>
  <c r="AG8" i="64"/>
  <c r="AK8" i="64"/>
  <c r="AR24" i="64"/>
  <c r="AD50" i="64"/>
  <c r="AR7" i="64"/>
  <c r="AR20" i="64"/>
  <c r="AD38" i="64"/>
  <c r="AE39" i="64"/>
  <c r="AO43" i="64"/>
  <c r="AF43" i="64"/>
  <c r="AE8" i="64"/>
  <c r="AD17" i="64"/>
  <c r="AR17" i="64" s="1"/>
  <c r="AD21" i="64"/>
  <c r="AR21" i="64" s="1"/>
  <c r="AD26" i="64"/>
  <c r="AR26" i="64" s="1"/>
  <c r="AC29" i="64" l="1"/>
  <c r="AR50" i="64"/>
  <c r="AD51" i="64"/>
  <c r="AR51" i="64" s="1"/>
  <c r="AC55" i="64"/>
  <c r="AR27" i="64"/>
  <c r="AD27" i="64"/>
  <c r="AC53" i="64"/>
  <c r="Z53" i="64"/>
  <c r="Z55" i="64" s="1"/>
  <c r="AR42" i="64"/>
  <c r="AR38" i="64"/>
  <c r="AD39" i="64"/>
  <c r="AR35" i="64"/>
  <c r="AB28" i="63"/>
  <c r="Z28" i="63"/>
  <c r="Y28" i="63"/>
  <c r="AB18" i="63"/>
  <c r="Z18" i="63"/>
  <c r="Y18" i="63"/>
  <c r="Y30" i="63" s="1"/>
  <c r="AB55" i="63"/>
  <c r="Z55" i="63"/>
  <c r="Y55" i="63"/>
  <c r="AB42" i="63"/>
  <c r="Z42" i="63"/>
  <c r="Y42" i="63"/>
  <c r="AB36" i="63"/>
  <c r="Z36" i="63"/>
  <c r="Y36" i="63"/>
  <c r="AC27" i="63"/>
  <c r="AC28" i="63" s="1"/>
  <c r="AC23" i="63"/>
  <c r="AC22" i="63"/>
  <c r="AC24" i="63" s="1"/>
  <c r="AC66" i="63"/>
  <c r="AD66" i="63" s="1"/>
  <c r="AR66" i="63" s="1"/>
  <c r="AC65" i="63"/>
  <c r="AD65" i="63" s="1"/>
  <c r="AC64" i="63"/>
  <c r="AC60" i="63"/>
  <c r="AC59" i="63"/>
  <c r="AD59" i="63" s="1"/>
  <c r="AR59" i="63" s="1"/>
  <c r="AC58" i="63"/>
  <c r="AC17" i="63"/>
  <c r="AD17" i="63" s="1"/>
  <c r="AR17" i="63" s="1"/>
  <c r="AF55" i="63"/>
  <c r="AC54" i="63"/>
  <c r="AD54" i="63" s="1"/>
  <c r="AD55" i="63" s="1"/>
  <c r="AC49" i="63"/>
  <c r="AC48" i="63"/>
  <c r="AC12" i="63"/>
  <c r="AD12" i="63" s="1"/>
  <c r="AR12" i="63" s="1"/>
  <c r="AC47" i="63"/>
  <c r="AB47" i="63"/>
  <c r="AB50" i="63" s="1"/>
  <c r="AC46" i="63"/>
  <c r="AD46" i="63" s="1"/>
  <c r="AR46" i="63" s="1"/>
  <c r="AC45" i="63"/>
  <c r="AC11" i="63"/>
  <c r="AC41" i="63"/>
  <c r="AC42" i="63" s="1"/>
  <c r="AC7" i="63"/>
  <c r="AP36" i="63"/>
  <c r="AO36" i="63"/>
  <c r="AJ36" i="63"/>
  <c r="AH36" i="63"/>
  <c r="AF36" i="63"/>
  <c r="AE36" i="63"/>
  <c r="AC35" i="63"/>
  <c r="AD35" i="63" s="1"/>
  <c r="AD36" i="63" s="1"/>
  <c r="AC13" i="63" l="1"/>
  <c r="AC50" i="63"/>
  <c r="Y70" i="63"/>
  <c r="Z70" i="63"/>
  <c r="AB70" i="63"/>
  <c r="Z30" i="63"/>
  <c r="AB30" i="63"/>
  <c r="Y72" i="63"/>
  <c r="AD7" i="63"/>
  <c r="AC8" i="63"/>
  <c r="AD64" i="63"/>
  <c r="AD67" i="63" s="1"/>
  <c r="AC67" i="63"/>
  <c r="AD23" i="63"/>
  <c r="AD58" i="63"/>
  <c r="AR58" i="63" s="1"/>
  <c r="AC61" i="63"/>
  <c r="AD53" i="64"/>
  <c r="AR53" i="64" s="1"/>
  <c r="AD18" i="63"/>
  <c r="AC36" i="63"/>
  <c r="AC55" i="63"/>
  <c r="AC18" i="63"/>
  <c r="AI29" i="64"/>
  <c r="AK29" i="64"/>
  <c r="AR39" i="64"/>
  <c r="AJ29" i="64"/>
  <c r="AR43" i="64"/>
  <c r="AG29" i="64"/>
  <c r="AR47" i="64"/>
  <c r="AP29" i="64"/>
  <c r="AH29" i="64"/>
  <c r="AF29" i="64"/>
  <c r="AE29" i="64"/>
  <c r="AO29" i="64"/>
  <c r="AR8" i="64"/>
  <c r="AF28" i="63"/>
  <c r="AJ28" i="63"/>
  <c r="AO28" i="63"/>
  <c r="AF24" i="63"/>
  <c r="AJ24" i="63"/>
  <c r="AO24" i="63"/>
  <c r="AF18" i="63"/>
  <c r="AF67" i="63"/>
  <c r="AF70" i="63" s="1"/>
  <c r="AF72" i="63" s="1"/>
  <c r="AJ67" i="63"/>
  <c r="AJ70" i="63" s="1"/>
  <c r="AJ72" i="63" s="1"/>
  <c r="AP67" i="63"/>
  <c r="AP70" i="63" s="1"/>
  <c r="AP72" i="63" s="1"/>
  <c r="AG28" i="63"/>
  <c r="AK28" i="63"/>
  <c r="AP28" i="63"/>
  <c r="AJ55" i="63"/>
  <c r="AH61" i="63"/>
  <c r="AE24" i="63"/>
  <c r="AI24" i="63"/>
  <c r="AP55" i="63"/>
  <c r="AH28" i="63"/>
  <c r="AG55" i="63"/>
  <c r="AK55" i="63"/>
  <c r="AG24" i="63"/>
  <c r="AK24" i="63"/>
  <c r="AP24" i="63"/>
  <c r="AF61" i="63"/>
  <c r="AD47" i="63"/>
  <c r="AR47" i="63" s="1"/>
  <c r="AE61" i="63"/>
  <c r="AE18" i="63"/>
  <c r="AI61" i="63"/>
  <c r="AJ61" i="63"/>
  <c r="AG13" i="63"/>
  <c r="AK13" i="63"/>
  <c r="AI18" i="63"/>
  <c r="AP42" i="63"/>
  <c r="AF13" i="63"/>
  <c r="AJ13" i="63"/>
  <c r="AJ18" i="63"/>
  <c r="AE42" i="63"/>
  <c r="AI42" i="63"/>
  <c r="AE55" i="63"/>
  <c r="AI55" i="63"/>
  <c r="AN55" i="63"/>
  <c r="AG8" i="63"/>
  <c r="AK8" i="63"/>
  <c r="AE13" i="63"/>
  <c r="AI13" i="63"/>
  <c r="AI36" i="63"/>
  <c r="AG36" i="63"/>
  <c r="AH13" i="63"/>
  <c r="AH67" i="63"/>
  <c r="AH70" i="63" s="1"/>
  <c r="AH72" i="63" s="1"/>
  <c r="AO8" i="63"/>
  <c r="AE8" i="63"/>
  <c r="AI8" i="63"/>
  <c r="AO42" i="63"/>
  <c r="AF42" i="63"/>
  <c r="AJ42" i="63"/>
  <c r="AH55" i="63"/>
  <c r="AM55" i="63"/>
  <c r="AG18" i="63"/>
  <c r="AK18" i="63"/>
  <c r="AE67" i="63"/>
  <c r="AE70" i="63" s="1"/>
  <c r="AE72" i="63" s="1"/>
  <c r="AI67" i="63"/>
  <c r="AI70" i="63" s="1"/>
  <c r="AI72" i="63" s="1"/>
  <c r="AH24" i="63"/>
  <c r="AE28" i="63"/>
  <c r="AI28" i="63"/>
  <c r="AF8" i="63"/>
  <c r="AJ8" i="63"/>
  <c r="AP13" i="63"/>
  <c r="AR54" i="63"/>
  <c r="AR55" i="63" s="1"/>
  <c r="AH18" i="63"/>
  <c r="AG61" i="63"/>
  <c r="AK61" i="63"/>
  <c r="AK36" i="63"/>
  <c r="AR35" i="63"/>
  <c r="AR36" i="63" s="1"/>
  <c r="AH8" i="63"/>
  <c r="AH42" i="63"/>
  <c r="AP18" i="63"/>
  <c r="AR64" i="63"/>
  <c r="AR65" i="63"/>
  <c r="AG42" i="63"/>
  <c r="AK42" i="63"/>
  <c r="AG67" i="63"/>
  <c r="AG70" i="63" s="1"/>
  <c r="AG72" i="63" s="1"/>
  <c r="AK67" i="63"/>
  <c r="AK70" i="63" s="1"/>
  <c r="AK72" i="63" s="1"/>
  <c r="AP8" i="63"/>
  <c r="AO13" i="63"/>
  <c r="AO55" i="63"/>
  <c r="AD41" i="63"/>
  <c r="AD11" i="63"/>
  <c r="AD13" i="63" s="1"/>
  <c r="AD45" i="63"/>
  <c r="AD49" i="63"/>
  <c r="AR49" i="63" s="1"/>
  <c r="AO18" i="63"/>
  <c r="AD48" i="63"/>
  <c r="AR48" i="63" s="1"/>
  <c r="AO61" i="63"/>
  <c r="AP61" i="63"/>
  <c r="AD60" i="63"/>
  <c r="AR60" i="63" s="1"/>
  <c r="AO67" i="63"/>
  <c r="AO70" i="63" s="1"/>
  <c r="AO72" i="63" s="1"/>
  <c r="AD22" i="63"/>
  <c r="AD24" i="63" s="1"/>
  <c r="AD27" i="63"/>
  <c r="AD28" i="63" s="1"/>
  <c r="AR28" i="63" s="1"/>
  <c r="X8" i="38"/>
  <c r="Y8" i="38" s="1"/>
  <c r="W8" i="38"/>
  <c r="X110" i="38"/>
  <c r="Y110" i="38" s="1"/>
  <c r="W110" i="38"/>
  <c r="V126" i="38"/>
  <c r="U126" i="38"/>
  <c r="T126" i="38"/>
  <c r="S126" i="38"/>
  <c r="R126" i="38"/>
  <c r="N126" i="38"/>
  <c r="M126" i="38"/>
  <c r="L126" i="38"/>
  <c r="K126" i="38"/>
  <c r="J126" i="38"/>
  <c r="X125" i="38"/>
  <c r="Y125" i="38" s="1"/>
  <c r="W125" i="38"/>
  <c r="V137" i="38"/>
  <c r="U137" i="38"/>
  <c r="T137" i="38"/>
  <c r="S137" i="38"/>
  <c r="R137" i="38"/>
  <c r="O137" i="38"/>
  <c r="N137" i="38"/>
  <c r="M137" i="38"/>
  <c r="L137" i="38"/>
  <c r="K137" i="38"/>
  <c r="J137" i="38"/>
  <c r="X136" i="38"/>
  <c r="Y136" i="38" s="1"/>
  <c r="W136" i="38"/>
  <c r="I137" i="38"/>
  <c r="V160" i="38"/>
  <c r="U160" i="38"/>
  <c r="T160" i="38"/>
  <c r="S160" i="38"/>
  <c r="R160" i="38"/>
  <c r="O160" i="38"/>
  <c r="N160" i="38"/>
  <c r="M160" i="38"/>
  <c r="L160" i="38"/>
  <c r="K160" i="38"/>
  <c r="X157" i="38"/>
  <c r="Y157" i="38" s="1"/>
  <c r="W157" i="38"/>
  <c r="V172" i="38"/>
  <c r="U172" i="38"/>
  <c r="T172" i="38"/>
  <c r="S172" i="38"/>
  <c r="R172" i="38"/>
  <c r="O172" i="38"/>
  <c r="N172" i="38"/>
  <c r="M172" i="38"/>
  <c r="L172" i="38"/>
  <c r="K172" i="38"/>
  <c r="J172" i="38"/>
  <c r="I172" i="38"/>
  <c r="X171" i="38"/>
  <c r="Y171" i="38" s="1"/>
  <c r="W171" i="38"/>
  <c r="V219" i="38"/>
  <c r="U219" i="38"/>
  <c r="T219" i="38"/>
  <c r="S219" i="38"/>
  <c r="R219" i="38"/>
  <c r="O219" i="38"/>
  <c r="N219" i="38"/>
  <c r="M219" i="38"/>
  <c r="L219" i="38"/>
  <c r="K219" i="38"/>
  <c r="J219" i="38"/>
  <c r="I219" i="38"/>
  <c r="X218" i="38"/>
  <c r="Y218" i="38" s="1"/>
  <c r="W218" i="38"/>
  <c r="X217" i="38"/>
  <c r="Y217" i="38" s="1"/>
  <c r="W217" i="38"/>
  <c r="X216" i="38"/>
  <c r="Y216" i="38" s="1"/>
  <c r="W216" i="38"/>
  <c r="X215" i="38"/>
  <c r="Y215" i="38" s="1"/>
  <c r="W215" i="38"/>
  <c r="X230" i="38"/>
  <c r="Y230" i="38" s="1"/>
  <c r="W230" i="38"/>
  <c r="X229" i="38"/>
  <c r="Y229" i="38" s="1"/>
  <c r="W229" i="38"/>
  <c r="N254" i="38"/>
  <c r="V254" i="38"/>
  <c r="U254" i="38"/>
  <c r="T254" i="38"/>
  <c r="S254" i="38"/>
  <c r="R254" i="38"/>
  <c r="M254" i="38"/>
  <c r="L254" i="38"/>
  <c r="K254" i="38"/>
  <c r="J254" i="38"/>
  <c r="I254" i="38"/>
  <c r="X253" i="38"/>
  <c r="Y253" i="38" s="1"/>
  <c r="W253" i="38"/>
  <c r="U312" i="38"/>
  <c r="J312" i="38"/>
  <c r="X311" i="38"/>
  <c r="Y311" i="38" s="1"/>
  <c r="X309" i="38"/>
  <c r="Y309" i="38" s="1"/>
  <c r="W311" i="38"/>
  <c r="W309" i="38"/>
  <c r="V312" i="38"/>
  <c r="T312" i="38"/>
  <c r="S312" i="38"/>
  <c r="R312" i="38"/>
  <c r="N312" i="38"/>
  <c r="M312" i="38"/>
  <c r="L312" i="38"/>
  <c r="K312" i="38"/>
  <c r="I312" i="38"/>
  <c r="AC155" i="14"/>
  <c r="AD902" i="14"/>
  <c r="AR902" i="14" s="1"/>
  <c r="AD901" i="14"/>
  <c r="AR901" i="14" s="1"/>
  <c r="AD900" i="14"/>
  <c r="AR900" i="14" s="1"/>
  <c r="AC30" i="63" l="1"/>
  <c r="AC70" i="63"/>
  <c r="Z72" i="63"/>
  <c r="AD61" i="63"/>
  <c r="AR45" i="63"/>
  <c r="AD50" i="63"/>
  <c r="AR50" i="63" s="1"/>
  <c r="AR23" i="63"/>
  <c r="AR7" i="63"/>
  <c r="AR8" i="63" s="1"/>
  <c r="AD8" i="63"/>
  <c r="AD30" i="63" s="1"/>
  <c r="AC72" i="63"/>
  <c r="AR13" i="63"/>
  <c r="AB72" i="63"/>
  <c r="AD155" i="14"/>
  <c r="AR155" i="14" s="1"/>
  <c r="AR67" i="63"/>
  <c r="AR11" i="63"/>
  <c r="AR41" i="63"/>
  <c r="AR42" i="63" s="1"/>
  <c r="AD42" i="63"/>
  <c r="AK30" i="63"/>
  <c r="AG30" i="63"/>
  <c r="AR22" i="63"/>
  <c r="AH30" i="63"/>
  <c r="AR27" i="63"/>
  <c r="AD70" i="63" l="1"/>
  <c r="AF30" i="63"/>
  <c r="AI30" i="63"/>
  <c r="AR18" i="63"/>
  <c r="AJ30" i="63"/>
  <c r="AR61" i="63"/>
  <c r="AE30" i="63"/>
  <c r="AP30" i="63"/>
  <c r="AD899" i="14"/>
  <c r="AR899" i="14" s="1"/>
  <c r="AD72" i="63" l="1"/>
  <c r="AR72" i="63" s="1"/>
  <c r="AR70" i="63"/>
  <c r="AO30" i="63"/>
  <c r="Y718" i="14"/>
  <c r="AD717" i="14"/>
  <c r="AR717" i="14" s="1"/>
  <c r="X341" i="38"/>
  <c r="X340" i="38"/>
  <c r="X339" i="38"/>
  <c r="X331" i="38"/>
  <c r="X330" i="38"/>
  <c r="X322" i="38"/>
  <c r="X321" i="38"/>
  <c r="X320" i="38"/>
  <c r="X319" i="38"/>
  <c r="X318" i="38"/>
  <c r="X308" i="38"/>
  <c r="X307" i="38"/>
  <c r="X306" i="38"/>
  <c r="X294" i="38"/>
  <c r="X293" i="38"/>
  <c r="X292" i="38"/>
  <c r="X284" i="38"/>
  <c r="X283" i="38"/>
  <c r="X282" i="38"/>
  <c r="X281" i="38"/>
  <c r="X272" i="38"/>
  <c r="X271" i="38"/>
  <c r="X270" i="38"/>
  <c r="X262" i="38"/>
  <c r="X261" i="38"/>
  <c r="X260" i="38"/>
  <c r="X251" i="38"/>
  <c r="X250" i="38"/>
  <c r="X240" i="38"/>
  <c r="X241" i="38"/>
  <c r="X239" i="38"/>
  <c r="X232" i="38"/>
  <c r="X228" i="38"/>
  <c r="X227" i="38"/>
  <c r="X226" i="38"/>
  <c r="X225" i="38"/>
  <c r="X214" i="38"/>
  <c r="X213" i="38"/>
  <c r="X212" i="38"/>
  <c r="X205" i="38"/>
  <c r="X204" i="38"/>
  <c r="X203" i="38"/>
  <c r="X196" i="38"/>
  <c r="X195" i="38"/>
  <c r="X194" i="38"/>
  <c r="X193" i="38"/>
  <c r="X192" i="38"/>
  <c r="X191" i="38"/>
  <c r="X190" i="38"/>
  <c r="X181" i="38"/>
  <c r="X180" i="38"/>
  <c r="X179" i="38"/>
  <c r="X178" i="38"/>
  <c r="X169" i="38"/>
  <c r="X168" i="38"/>
  <c r="X167" i="38"/>
  <c r="X156" i="38"/>
  <c r="X159" i="38"/>
  <c r="X155" i="38"/>
  <c r="X154" i="38"/>
  <c r="X147" i="38"/>
  <c r="X146" i="38"/>
  <c r="X145" i="38"/>
  <c r="X144" i="38"/>
  <c r="X143" i="38"/>
  <c r="X134" i="38"/>
  <c r="X133" i="38"/>
  <c r="X132" i="38"/>
  <c r="X122" i="38"/>
  <c r="X121" i="38"/>
  <c r="X120" i="38"/>
  <c r="X119" i="38"/>
  <c r="X109" i="38"/>
  <c r="X108" i="38"/>
  <c r="X107" i="38"/>
  <c r="X100" i="38"/>
  <c r="X97" i="38"/>
  <c r="X96" i="38"/>
  <c r="X95" i="38"/>
  <c r="X88" i="38"/>
  <c r="X87" i="38"/>
  <c r="X86" i="38"/>
  <c r="X85" i="38"/>
  <c r="X74" i="38"/>
  <c r="X73" i="38"/>
  <c r="X72" i="38"/>
  <c r="X71" i="38"/>
  <c r="X61" i="38"/>
  <c r="X60" i="38"/>
  <c r="X59" i="38"/>
  <c r="X51" i="38"/>
  <c r="X50" i="38"/>
  <c r="X49" i="38"/>
  <c r="X48" i="38"/>
  <c r="X40" i="38"/>
  <c r="X39" i="38"/>
  <c r="X32" i="38"/>
  <c r="X31" i="38"/>
  <c r="X30" i="38"/>
  <c r="X29" i="38"/>
  <c r="X28" i="38"/>
  <c r="X27" i="38"/>
  <c r="X18" i="38"/>
  <c r="X17" i="38"/>
  <c r="X10" i="38"/>
  <c r="X9" i="38"/>
  <c r="X6" i="38"/>
  <c r="X5" i="38"/>
  <c r="Y132" i="62"/>
  <c r="Z132" i="62" s="1"/>
  <c r="Y128" i="62"/>
  <c r="Z128" i="62" s="1"/>
  <c r="Y124" i="62"/>
  <c r="Z124" i="62" s="1"/>
  <c r="Y120" i="62"/>
  <c r="Z120" i="62" s="1"/>
  <c r="Y114" i="62"/>
  <c r="Y110" i="62"/>
  <c r="Z110" i="62" s="1"/>
  <c r="Y106" i="62"/>
  <c r="Z106" i="62" s="1"/>
  <c r="Y102" i="62"/>
  <c r="Z102" i="62" s="1"/>
  <c r="Y101" i="62"/>
  <c r="Z101" i="62" s="1"/>
  <c r="Y97" i="62"/>
  <c r="Z97" i="62" s="1"/>
  <c r="Y93" i="62"/>
  <c r="Z93" i="62" s="1"/>
  <c r="Y92" i="62"/>
  <c r="Z92" i="62" s="1"/>
  <c r="Y88" i="62"/>
  <c r="Y84" i="62"/>
  <c r="Z84" i="62" s="1"/>
  <c r="Y80" i="62"/>
  <c r="Z80" i="62" s="1"/>
  <c r="Y76" i="62"/>
  <c r="Y70" i="62"/>
  <c r="Y71" i="62" s="1"/>
  <c r="Y65" i="62"/>
  <c r="Z65" i="62" s="1"/>
  <c r="Y60" i="62"/>
  <c r="Z60" i="62" s="1"/>
  <c r="Y59" i="62"/>
  <c r="Y55" i="62"/>
  <c r="Y51" i="62"/>
  <c r="Z51" i="62" s="1"/>
  <c r="Y47" i="62"/>
  <c r="Z47" i="62" s="1"/>
  <c r="Y43" i="62"/>
  <c r="Y39" i="62"/>
  <c r="Z39" i="62" s="1"/>
  <c r="Y35" i="62"/>
  <c r="Z35" i="62" s="1"/>
  <c r="Y29" i="62"/>
  <c r="Z29" i="62" s="1"/>
  <c r="Y28" i="62"/>
  <c r="Y24" i="62"/>
  <c r="Z24" i="62" s="1"/>
  <c r="Y20" i="62"/>
  <c r="Y16" i="62"/>
  <c r="Z16" i="62" s="1"/>
  <c r="Y12" i="62"/>
  <c r="Y8" i="62"/>
  <c r="Z8" i="62" s="1"/>
  <c r="Y4" i="62"/>
  <c r="Z4" i="62" s="1"/>
  <c r="X132" i="62"/>
  <c r="X128" i="62"/>
  <c r="X124" i="62"/>
  <c r="X120" i="62"/>
  <c r="X114" i="62"/>
  <c r="X110" i="62"/>
  <c r="X106" i="62"/>
  <c r="X102" i="62"/>
  <c r="X101" i="62"/>
  <c r="X97" i="62"/>
  <c r="X93" i="62"/>
  <c r="X92" i="62"/>
  <c r="X88" i="62"/>
  <c r="X84" i="62"/>
  <c r="X80" i="62"/>
  <c r="X81" i="62" s="1"/>
  <c r="X76" i="62"/>
  <c r="X77" i="62" s="1"/>
  <c r="X70" i="62"/>
  <c r="X71" i="62" s="1"/>
  <c r="X65" i="62"/>
  <c r="X66" i="62" s="1"/>
  <c r="X60" i="62"/>
  <c r="X59" i="62"/>
  <c r="X55" i="62"/>
  <c r="X51" i="62"/>
  <c r="X52" i="62" s="1"/>
  <c r="X47" i="62"/>
  <c r="X43" i="62"/>
  <c r="X39" i="62"/>
  <c r="X40" i="62" s="1"/>
  <c r="X35" i="62"/>
  <c r="X29" i="62"/>
  <c r="X30" i="62" s="1"/>
  <c r="X28" i="62"/>
  <c r="X24" i="62"/>
  <c r="X25" i="62" s="1"/>
  <c r="X20" i="62"/>
  <c r="X16" i="62"/>
  <c r="X12" i="62"/>
  <c r="X13" i="62" s="1"/>
  <c r="X8" i="62"/>
  <c r="X4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W133" i="62"/>
  <c r="V133" i="62"/>
  <c r="U133" i="62"/>
  <c r="T133" i="62"/>
  <c r="S133" i="62"/>
  <c r="R133" i="62"/>
  <c r="Q133" i="62"/>
  <c r="P133" i="62"/>
  <c r="O133" i="62"/>
  <c r="N133" i="62"/>
  <c r="M133" i="62"/>
  <c r="L133" i="62"/>
  <c r="K133" i="62"/>
  <c r="J133" i="62"/>
  <c r="W129" i="62"/>
  <c r="V129" i="62"/>
  <c r="U129" i="62"/>
  <c r="T129" i="62"/>
  <c r="S129" i="62"/>
  <c r="R129" i="62"/>
  <c r="Q129" i="62"/>
  <c r="P129" i="62"/>
  <c r="O129" i="62"/>
  <c r="N129" i="62"/>
  <c r="M129" i="62"/>
  <c r="L129" i="62"/>
  <c r="K129" i="62"/>
  <c r="J129" i="62"/>
  <c r="W125" i="62"/>
  <c r="V125" i="62"/>
  <c r="U125" i="62"/>
  <c r="T125" i="62"/>
  <c r="S125" i="62"/>
  <c r="R125" i="62"/>
  <c r="Q125" i="62"/>
  <c r="P125" i="62"/>
  <c r="O125" i="62"/>
  <c r="N125" i="62"/>
  <c r="M125" i="62"/>
  <c r="L125" i="62"/>
  <c r="K125" i="62"/>
  <c r="J125" i="62"/>
  <c r="W121" i="62"/>
  <c r="V121" i="62"/>
  <c r="U121" i="62"/>
  <c r="T121" i="62"/>
  <c r="S121" i="62"/>
  <c r="R121" i="62"/>
  <c r="Q121" i="62"/>
  <c r="P121" i="62"/>
  <c r="O121" i="62"/>
  <c r="N121" i="62"/>
  <c r="M121" i="62"/>
  <c r="L121" i="62"/>
  <c r="K121" i="62"/>
  <c r="J121" i="62"/>
  <c r="W115" i="62"/>
  <c r="V115" i="62"/>
  <c r="U115" i="62"/>
  <c r="T115" i="62"/>
  <c r="S115" i="62"/>
  <c r="R115" i="62"/>
  <c r="Q115" i="62"/>
  <c r="P115" i="62"/>
  <c r="O115" i="62"/>
  <c r="N115" i="62"/>
  <c r="M115" i="62"/>
  <c r="L115" i="62"/>
  <c r="K115" i="62"/>
  <c r="J115" i="62"/>
  <c r="W111" i="62"/>
  <c r="V111" i="62"/>
  <c r="U111" i="62"/>
  <c r="T111" i="62"/>
  <c r="S111" i="62"/>
  <c r="R111" i="62"/>
  <c r="Q111" i="62"/>
  <c r="P111" i="62"/>
  <c r="O111" i="62"/>
  <c r="N111" i="62"/>
  <c r="M111" i="62"/>
  <c r="L111" i="62"/>
  <c r="K111" i="62"/>
  <c r="J111" i="62"/>
  <c r="W107" i="62"/>
  <c r="V107" i="62"/>
  <c r="U107" i="62"/>
  <c r="T107" i="62"/>
  <c r="S107" i="62"/>
  <c r="R107" i="62"/>
  <c r="Q107" i="62"/>
  <c r="P107" i="62"/>
  <c r="O107" i="62"/>
  <c r="N107" i="62"/>
  <c r="M107" i="62"/>
  <c r="L107" i="62"/>
  <c r="K107" i="62"/>
  <c r="J107" i="62"/>
  <c r="W98" i="62"/>
  <c r="V98" i="62"/>
  <c r="U98" i="62"/>
  <c r="T98" i="62"/>
  <c r="S98" i="62"/>
  <c r="R98" i="62"/>
  <c r="Q98" i="62"/>
  <c r="P98" i="62"/>
  <c r="O98" i="62"/>
  <c r="N98" i="62"/>
  <c r="M98" i="62"/>
  <c r="L98" i="62"/>
  <c r="K98" i="62"/>
  <c r="J98" i="62"/>
  <c r="W103" i="62"/>
  <c r="V103" i="62"/>
  <c r="U103" i="62"/>
  <c r="T103" i="62"/>
  <c r="S103" i="62"/>
  <c r="R103" i="62"/>
  <c r="Q103" i="62"/>
  <c r="P103" i="62"/>
  <c r="O103" i="62"/>
  <c r="N103" i="62"/>
  <c r="M103" i="62"/>
  <c r="L103" i="62"/>
  <c r="K103" i="62"/>
  <c r="J103" i="62"/>
  <c r="W94" i="62"/>
  <c r="V94" i="62"/>
  <c r="U94" i="62"/>
  <c r="T94" i="62"/>
  <c r="S94" i="62"/>
  <c r="R94" i="62"/>
  <c r="Q94" i="62"/>
  <c r="P94" i="62"/>
  <c r="O94" i="62"/>
  <c r="N94" i="62"/>
  <c r="M94" i="62"/>
  <c r="L94" i="62"/>
  <c r="K94" i="62"/>
  <c r="J94" i="62"/>
  <c r="W89" i="62"/>
  <c r="V89" i="62"/>
  <c r="U89" i="62"/>
  <c r="T89" i="62"/>
  <c r="S89" i="62"/>
  <c r="R89" i="62"/>
  <c r="Q89" i="62"/>
  <c r="P89" i="62"/>
  <c r="O89" i="62"/>
  <c r="N89" i="62"/>
  <c r="M89" i="62"/>
  <c r="L89" i="62"/>
  <c r="K89" i="62"/>
  <c r="J89" i="62"/>
  <c r="W85" i="62"/>
  <c r="V85" i="62"/>
  <c r="U85" i="62"/>
  <c r="T85" i="62"/>
  <c r="S85" i="62"/>
  <c r="R85" i="62"/>
  <c r="Q85" i="62"/>
  <c r="P85" i="62"/>
  <c r="O85" i="62"/>
  <c r="N85" i="62"/>
  <c r="M85" i="62"/>
  <c r="L85" i="62"/>
  <c r="K85" i="62"/>
  <c r="J85" i="62"/>
  <c r="Y81" i="62"/>
  <c r="W81" i="62"/>
  <c r="V81" i="62"/>
  <c r="U81" i="62"/>
  <c r="T81" i="62"/>
  <c r="S81" i="62"/>
  <c r="R81" i="62"/>
  <c r="Q81" i="62"/>
  <c r="P81" i="62"/>
  <c r="O81" i="62"/>
  <c r="N81" i="62"/>
  <c r="M81" i="62"/>
  <c r="L81" i="62"/>
  <c r="K81" i="62"/>
  <c r="J81" i="62"/>
  <c r="W77" i="62"/>
  <c r="V77" i="62"/>
  <c r="U77" i="62"/>
  <c r="T77" i="62"/>
  <c r="S77" i="62"/>
  <c r="R77" i="62"/>
  <c r="Q77" i="62"/>
  <c r="P77" i="62"/>
  <c r="O77" i="62"/>
  <c r="N77" i="62"/>
  <c r="M77" i="62"/>
  <c r="L77" i="62"/>
  <c r="K77" i="62"/>
  <c r="J77" i="62"/>
  <c r="W66" i="62"/>
  <c r="V66" i="62"/>
  <c r="U66" i="62"/>
  <c r="T66" i="62"/>
  <c r="S66" i="62"/>
  <c r="R66" i="62"/>
  <c r="Q66" i="62"/>
  <c r="P66" i="62"/>
  <c r="O66" i="62"/>
  <c r="N66" i="62"/>
  <c r="M66" i="62"/>
  <c r="L66" i="62"/>
  <c r="K66" i="62"/>
  <c r="J66" i="62"/>
  <c r="W61" i="62"/>
  <c r="V61" i="62"/>
  <c r="U61" i="62"/>
  <c r="T61" i="62"/>
  <c r="S61" i="62"/>
  <c r="R61" i="62"/>
  <c r="Q61" i="62"/>
  <c r="P61" i="62"/>
  <c r="O61" i="62"/>
  <c r="N61" i="62"/>
  <c r="M61" i="62"/>
  <c r="L61" i="62"/>
  <c r="K61" i="62"/>
  <c r="J61" i="62"/>
  <c r="W56" i="62"/>
  <c r="V56" i="62"/>
  <c r="U56" i="62"/>
  <c r="T56" i="62"/>
  <c r="S56" i="62"/>
  <c r="R56" i="62"/>
  <c r="Q56" i="62"/>
  <c r="P56" i="62"/>
  <c r="O56" i="62"/>
  <c r="N56" i="62"/>
  <c r="M56" i="62"/>
  <c r="L56" i="62"/>
  <c r="K56" i="62"/>
  <c r="J56" i="62"/>
  <c r="W52" i="62"/>
  <c r="V52" i="62"/>
  <c r="U52" i="62"/>
  <c r="T52" i="62"/>
  <c r="S52" i="62"/>
  <c r="R52" i="62"/>
  <c r="Q52" i="62"/>
  <c r="P52" i="62"/>
  <c r="O52" i="62"/>
  <c r="N52" i="62"/>
  <c r="M52" i="62"/>
  <c r="L52" i="62"/>
  <c r="K52" i="62"/>
  <c r="J52" i="62"/>
  <c r="X48" i="62"/>
  <c r="W48" i="62"/>
  <c r="V48" i="62"/>
  <c r="U48" i="62"/>
  <c r="T48" i="62"/>
  <c r="S48" i="62"/>
  <c r="R48" i="62"/>
  <c r="Q48" i="62"/>
  <c r="P48" i="62"/>
  <c r="O48" i="62"/>
  <c r="N48" i="62"/>
  <c r="M48" i="62"/>
  <c r="L48" i="62"/>
  <c r="K48" i="62"/>
  <c r="J48" i="62"/>
  <c r="W44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J44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W21" i="62"/>
  <c r="V21" i="62"/>
  <c r="U21" i="62"/>
  <c r="T21" i="62"/>
  <c r="S21" i="62"/>
  <c r="R21" i="62"/>
  <c r="Q21" i="62"/>
  <c r="P21" i="62"/>
  <c r="O21" i="62"/>
  <c r="N21" i="62"/>
  <c r="M21" i="62"/>
  <c r="L21" i="62"/>
  <c r="K21" i="62"/>
  <c r="J21" i="62"/>
  <c r="W17" i="62"/>
  <c r="V17" i="62"/>
  <c r="U17" i="62"/>
  <c r="T17" i="62"/>
  <c r="S17" i="62"/>
  <c r="R17" i="62"/>
  <c r="Q17" i="62"/>
  <c r="P17" i="62"/>
  <c r="O17" i="62"/>
  <c r="N17" i="62"/>
  <c r="M17" i="62"/>
  <c r="L17" i="62"/>
  <c r="K17" i="62"/>
  <c r="J17" i="62"/>
  <c r="W13" i="62"/>
  <c r="V13" i="62"/>
  <c r="U13" i="62"/>
  <c r="T13" i="62"/>
  <c r="S13" i="62"/>
  <c r="R13" i="62"/>
  <c r="Q13" i="62"/>
  <c r="P13" i="62"/>
  <c r="O13" i="62"/>
  <c r="N13" i="62"/>
  <c r="M13" i="62"/>
  <c r="L13" i="62"/>
  <c r="K13" i="62"/>
  <c r="J13" i="62"/>
  <c r="W9" i="62"/>
  <c r="V9" i="62"/>
  <c r="U9" i="62"/>
  <c r="T9" i="62"/>
  <c r="S9" i="62"/>
  <c r="R9" i="62"/>
  <c r="Q9" i="62"/>
  <c r="P9" i="62"/>
  <c r="O9" i="62"/>
  <c r="N9" i="62"/>
  <c r="M9" i="62"/>
  <c r="L9" i="62"/>
  <c r="K9" i="62"/>
  <c r="J9" i="62"/>
  <c r="W5" i="62"/>
  <c r="V5" i="62"/>
  <c r="U5" i="62"/>
  <c r="T5" i="62"/>
  <c r="S5" i="62"/>
  <c r="R5" i="62"/>
  <c r="Q5" i="62"/>
  <c r="P5" i="62"/>
  <c r="O5" i="62"/>
  <c r="N5" i="62"/>
  <c r="M5" i="62"/>
  <c r="L5" i="62"/>
  <c r="K5" i="62"/>
  <c r="J5" i="62"/>
  <c r="Z114" i="62"/>
  <c r="Z88" i="62"/>
  <c r="Z55" i="62"/>
  <c r="Z20" i="62"/>
  <c r="Y25" i="62" l="1"/>
  <c r="Z70" i="62"/>
  <c r="Z71" i="62" s="1"/>
  <c r="X333" i="38"/>
  <c r="X42" i="38"/>
  <c r="X298" i="38"/>
  <c r="X286" i="38"/>
  <c r="X21" i="38"/>
  <c r="X254" i="38"/>
  <c r="X343" i="38"/>
  <c r="X113" i="38"/>
  <c r="X324" i="38"/>
  <c r="X264" i="38"/>
  <c r="X244" i="38"/>
  <c r="X275" i="38"/>
  <c r="X77" i="38"/>
  <c r="X53" i="38"/>
  <c r="X65" i="38"/>
  <c r="X11" i="38"/>
  <c r="X312" i="38"/>
  <c r="X137" i="38"/>
  <c r="X172" i="38"/>
  <c r="X126" i="38"/>
  <c r="X160" i="38"/>
  <c r="X219" i="38"/>
  <c r="X233" i="38"/>
  <c r="Z28" i="62"/>
  <c r="Z43" i="62"/>
  <c r="Z59" i="62"/>
  <c r="Z12" i="62"/>
  <c r="Z76" i="62"/>
  <c r="Y111" i="62"/>
  <c r="Z111" i="62" s="1"/>
  <c r="Z25" i="62"/>
  <c r="Y121" i="62"/>
  <c r="Z121" i="62" s="1"/>
  <c r="X17" i="62"/>
  <c r="Y94" i="62"/>
  <c r="Z94" i="62" s="1"/>
  <c r="Y107" i="62"/>
  <c r="Z107" i="62" s="1"/>
  <c r="Z81" i="62"/>
  <c r="Y98" i="62"/>
  <c r="Z98" i="62" s="1"/>
  <c r="Y125" i="62"/>
  <c r="Z125" i="62" s="1"/>
  <c r="J32" i="62"/>
  <c r="X9" i="62"/>
  <c r="Y129" i="62"/>
  <c r="Z129" i="62" s="1"/>
  <c r="Y133" i="62"/>
  <c r="Z133" i="62" s="1"/>
  <c r="Y30" i="62"/>
  <c r="Z30" i="62" s="1"/>
  <c r="Y40" i="62"/>
  <c r="Z40" i="62" s="1"/>
  <c r="Y44" i="62"/>
  <c r="Z44" i="62" s="1"/>
  <c r="Y48" i="62"/>
  <c r="Z48" i="62" s="1"/>
  <c r="Y52" i="62"/>
  <c r="Z52" i="62" s="1"/>
  <c r="Y56" i="62"/>
  <c r="Z56" i="62" s="1"/>
  <c r="X61" i="62"/>
  <c r="X85" i="62"/>
  <c r="X89" i="62"/>
  <c r="Y103" i="62"/>
  <c r="Z103" i="62" s="1"/>
  <c r="X5" i="62"/>
  <c r="Y61" i="62"/>
  <c r="Z61" i="62" s="1"/>
  <c r="Y66" i="62"/>
  <c r="Z66" i="62" s="1"/>
  <c r="Y77" i="62"/>
  <c r="Z77" i="62" s="1"/>
  <c r="Y85" i="62"/>
  <c r="Z85" i="62" s="1"/>
  <c r="Y89" i="62"/>
  <c r="Z89" i="62" s="1"/>
  <c r="X94" i="62"/>
  <c r="X103" i="62"/>
  <c r="X98" i="62"/>
  <c r="X107" i="62"/>
  <c r="X111" i="62"/>
  <c r="X115" i="62"/>
  <c r="X121" i="62"/>
  <c r="X125" i="62"/>
  <c r="X129" i="62"/>
  <c r="X133" i="62"/>
  <c r="X36" i="62"/>
  <c r="Y5" i="62"/>
  <c r="Z5" i="62" s="1"/>
  <c r="X21" i="62"/>
  <c r="Y115" i="62"/>
  <c r="Z115" i="62" s="1"/>
  <c r="Y36" i="62"/>
  <c r="Z36" i="62" s="1"/>
  <c r="Y9" i="62"/>
  <c r="Z9" i="62" s="1"/>
  <c r="Y13" i="62"/>
  <c r="Z13" i="62" s="1"/>
  <c r="Y17" i="62"/>
  <c r="Z17" i="62" s="1"/>
  <c r="Y21" i="62"/>
  <c r="Z21" i="62" s="1"/>
  <c r="X44" i="62"/>
  <c r="X56" i="62"/>
  <c r="M32" i="62"/>
  <c r="M135" i="62"/>
  <c r="R135" i="62"/>
  <c r="V135" i="62"/>
  <c r="T117" i="62"/>
  <c r="J73" i="62"/>
  <c r="L73" i="62"/>
  <c r="L135" i="62"/>
  <c r="V32" i="62"/>
  <c r="U73" i="62"/>
  <c r="M73" i="62"/>
  <c r="M117" i="62"/>
  <c r="R117" i="62"/>
  <c r="V117" i="62"/>
  <c r="R32" i="62"/>
  <c r="Q73" i="62"/>
  <c r="S32" i="62"/>
  <c r="N73" i="62"/>
  <c r="S73" i="62"/>
  <c r="W73" i="62"/>
  <c r="N117" i="62"/>
  <c r="K135" i="62"/>
  <c r="T135" i="62"/>
  <c r="N32" i="62"/>
  <c r="W32" i="62"/>
  <c r="V73" i="62"/>
  <c r="T32" i="62"/>
  <c r="K32" i="62"/>
  <c r="L32" i="62"/>
  <c r="Q32" i="62"/>
  <c r="U32" i="62"/>
  <c r="K73" i="62"/>
  <c r="R73" i="62"/>
  <c r="S117" i="62"/>
  <c r="W117" i="62"/>
  <c r="T73" i="62"/>
  <c r="K117" i="62"/>
  <c r="J117" i="62"/>
  <c r="L117" i="62"/>
  <c r="Q117" i="62"/>
  <c r="U117" i="62"/>
  <c r="Q135" i="62"/>
  <c r="J135" i="62"/>
  <c r="N135" i="62"/>
  <c r="S135" i="62"/>
  <c r="W135" i="62"/>
  <c r="U135" i="62"/>
  <c r="V137" i="62" l="1"/>
  <c r="W137" i="62"/>
  <c r="R137" i="62"/>
  <c r="T137" i="62"/>
  <c r="M137" i="62"/>
  <c r="S137" i="62"/>
  <c r="X135" i="62"/>
  <c r="K137" i="62"/>
  <c r="U137" i="62"/>
  <c r="J137" i="62"/>
  <c r="Y11" i="64" s="1"/>
  <c r="L137" i="62"/>
  <c r="X73" i="62"/>
  <c r="X117" i="62"/>
  <c r="X32" i="62"/>
  <c r="Q137" i="62"/>
  <c r="Z135" i="62"/>
  <c r="N137" i="62"/>
  <c r="Y135" i="62"/>
  <c r="AB422" i="14"/>
  <c r="Y12" i="64" l="1"/>
  <c r="AB11" i="64"/>
  <c r="Y73" i="62"/>
  <c r="Y117" i="62"/>
  <c r="X137" i="62"/>
  <c r="Y32" i="62"/>
  <c r="Z73" i="62"/>
  <c r="Z117" i="62"/>
  <c r="Z32" i="62"/>
  <c r="AB12" i="64" l="1"/>
  <c r="AB29" i="64" s="1"/>
  <c r="AB55" i="64" s="1"/>
  <c r="AD11" i="64"/>
  <c r="Y29" i="64"/>
  <c r="Y137" i="62"/>
  <c r="Z137" i="62"/>
  <c r="AB621" i="14"/>
  <c r="AB67" i="14"/>
  <c r="AB70" i="14" s="1"/>
  <c r="AB112" i="14"/>
  <c r="AB594" i="14"/>
  <c r="AB424" i="14"/>
  <c r="AB484" i="14"/>
  <c r="AB696" i="14"/>
  <c r="C49" i="20"/>
  <c r="D41" i="19"/>
  <c r="AC903" i="14"/>
  <c r="AC898" i="14"/>
  <c r="AC897" i="14"/>
  <c r="AC896" i="14"/>
  <c r="AC895" i="14"/>
  <c r="AC894" i="14"/>
  <c r="AC893" i="14"/>
  <c r="AC892" i="14"/>
  <c r="AC891" i="14"/>
  <c r="AC890" i="14"/>
  <c r="AC888" i="14"/>
  <c r="AC887" i="14"/>
  <c r="AC886" i="14"/>
  <c r="AC885" i="14"/>
  <c r="AC884" i="14"/>
  <c r="AC883" i="14"/>
  <c r="AC882" i="14"/>
  <c r="AC881" i="14"/>
  <c r="AC875" i="14"/>
  <c r="AC874" i="14"/>
  <c r="AC873" i="14"/>
  <c r="AC872" i="14"/>
  <c r="AC871" i="14"/>
  <c r="AC870" i="14"/>
  <c r="AC869" i="14"/>
  <c r="AC868" i="14"/>
  <c r="AC867" i="14"/>
  <c r="AC866" i="14"/>
  <c r="AC865" i="14"/>
  <c r="AC864" i="14"/>
  <c r="AC863" i="14"/>
  <c r="AC862" i="14"/>
  <c r="AC861" i="14"/>
  <c r="AC860" i="14"/>
  <c r="AC859" i="14"/>
  <c r="AC858" i="14"/>
  <c r="AC857" i="14"/>
  <c r="AC856" i="14"/>
  <c r="AC855" i="14"/>
  <c r="AC854" i="14"/>
  <c r="AC853" i="14"/>
  <c r="AC852" i="14"/>
  <c r="AC851" i="14"/>
  <c r="AC850" i="14"/>
  <c r="AC849" i="14"/>
  <c r="AC848" i="14"/>
  <c r="AC847" i="14"/>
  <c r="AC846" i="14"/>
  <c r="AC845" i="14"/>
  <c r="AC844" i="14"/>
  <c r="AC843" i="14"/>
  <c r="AC842" i="14"/>
  <c r="AC841" i="14"/>
  <c r="AC840" i="14"/>
  <c r="AC839" i="14"/>
  <c r="AC838" i="14"/>
  <c r="AC837" i="14"/>
  <c r="AC836" i="14"/>
  <c r="AC835" i="14"/>
  <c r="AC834" i="14"/>
  <c r="AC833" i="14"/>
  <c r="AC832" i="14"/>
  <c r="AC831" i="14"/>
  <c r="AC830" i="14"/>
  <c r="AC829" i="14"/>
  <c r="AC828" i="14"/>
  <c r="AC827" i="14"/>
  <c r="AC826" i="14"/>
  <c r="AC825" i="14"/>
  <c r="AC824" i="14"/>
  <c r="AC823" i="14"/>
  <c r="AC822" i="14"/>
  <c r="AC821" i="14"/>
  <c r="AC820" i="14"/>
  <c r="AC819" i="14"/>
  <c r="AC818" i="14"/>
  <c r="AC817" i="14"/>
  <c r="AC816" i="14"/>
  <c r="AC815" i="14"/>
  <c r="AC814" i="14"/>
  <c r="AC813" i="14"/>
  <c r="AC812" i="14"/>
  <c r="AC811" i="14"/>
  <c r="AC810" i="14"/>
  <c r="AC809" i="14"/>
  <c r="AC808" i="14"/>
  <c r="AC807" i="14"/>
  <c r="AC806" i="14"/>
  <c r="AC805" i="14"/>
  <c r="AC804" i="14"/>
  <c r="AC803" i="14"/>
  <c r="AC802" i="14"/>
  <c r="AC801" i="14"/>
  <c r="AC800" i="14"/>
  <c r="AC799" i="14"/>
  <c r="AC798" i="14"/>
  <c r="AC797" i="14"/>
  <c r="AC796" i="14"/>
  <c r="AC795" i="14"/>
  <c r="AC794" i="14"/>
  <c r="AC793" i="14"/>
  <c r="AC792" i="14"/>
  <c r="AC791" i="14"/>
  <c r="AC790" i="14"/>
  <c r="AC789" i="14"/>
  <c r="AC788" i="14"/>
  <c r="AC787" i="14"/>
  <c r="AC786" i="14"/>
  <c r="AC785" i="14"/>
  <c r="AC784" i="14"/>
  <c r="AC783" i="14"/>
  <c r="AC782" i="14"/>
  <c r="AC781" i="14"/>
  <c r="AC780" i="14"/>
  <c r="AC779" i="14"/>
  <c r="AC778" i="14"/>
  <c r="AC777" i="14"/>
  <c r="AC776" i="14"/>
  <c r="AC775" i="14"/>
  <c r="AC774" i="14"/>
  <c r="AC773" i="14"/>
  <c r="AC772" i="14"/>
  <c r="AC771" i="14"/>
  <c r="AC770" i="14"/>
  <c r="AC769" i="14"/>
  <c r="AC768" i="14"/>
  <c r="AC767" i="14"/>
  <c r="AC766" i="14"/>
  <c r="AC765" i="14"/>
  <c r="AC764" i="14"/>
  <c r="AC763" i="14"/>
  <c r="AC762" i="14"/>
  <c r="AC761" i="14"/>
  <c r="AC760" i="14"/>
  <c r="AC759" i="14"/>
  <c r="AC758" i="14"/>
  <c r="AC757" i="14"/>
  <c r="AC756" i="14"/>
  <c r="AC755" i="14"/>
  <c r="AC754" i="14"/>
  <c r="AC753" i="14"/>
  <c r="AC752" i="14"/>
  <c r="AC751" i="14"/>
  <c r="AC750" i="14"/>
  <c r="AC749" i="14"/>
  <c r="AC748" i="14"/>
  <c r="AC743" i="14"/>
  <c r="AC738" i="14"/>
  <c r="AC730" i="14"/>
  <c r="AC728" i="14"/>
  <c r="AC727" i="14"/>
  <c r="AC726" i="14"/>
  <c r="AC725" i="14"/>
  <c r="AC724" i="14"/>
  <c r="AC723" i="14"/>
  <c r="AC722" i="14"/>
  <c r="AC718" i="14"/>
  <c r="AC716" i="14"/>
  <c r="AC715" i="14"/>
  <c r="AC714" i="14"/>
  <c r="AC713" i="14"/>
  <c r="AC712" i="14"/>
  <c r="AC711" i="14"/>
  <c r="AC710" i="14"/>
  <c r="AC709" i="14"/>
  <c r="AC708" i="14"/>
  <c r="AC698" i="14"/>
  <c r="AC697" i="14"/>
  <c r="AC696" i="14"/>
  <c r="AC695" i="14"/>
  <c r="AC691" i="14"/>
  <c r="AC690" i="14"/>
  <c r="AC689" i="14"/>
  <c r="AC688" i="14"/>
  <c r="AC680" i="14"/>
  <c r="AC679" i="14"/>
  <c r="AC678" i="14"/>
  <c r="AC677" i="14"/>
  <c r="AC673" i="14"/>
  <c r="AC671" i="14"/>
  <c r="AC670" i="14"/>
  <c r="AC662" i="14"/>
  <c r="AC661" i="14"/>
  <c r="AC660" i="14"/>
  <c r="AC659" i="14"/>
  <c r="AC658" i="14"/>
  <c r="AC657" i="14"/>
  <c r="AC656" i="14"/>
  <c r="AC652" i="14"/>
  <c r="AC650" i="14"/>
  <c r="AC649" i="14"/>
  <c r="AC648" i="14"/>
  <c r="AC647" i="14"/>
  <c r="AC639" i="14"/>
  <c r="AC638" i="14"/>
  <c r="AC633" i="14"/>
  <c r="AC632" i="14"/>
  <c r="AC631" i="14"/>
  <c r="AC630" i="14"/>
  <c r="AC629" i="14"/>
  <c r="AC621" i="14"/>
  <c r="AC620" i="14"/>
  <c r="AC619" i="14"/>
  <c r="AC614" i="14"/>
  <c r="AC613" i="14"/>
  <c r="AC612" i="14"/>
  <c r="AC611" i="14"/>
  <c r="AC601" i="14"/>
  <c r="AC595" i="14"/>
  <c r="AC600" i="14"/>
  <c r="AC596" i="14"/>
  <c r="AC594" i="14"/>
  <c r="AC593" i="14"/>
  <c r="AC592" i="14"/>
  <c r="AC591" i="14"/>
  <c r="AC583" i="14"/>
  <c r="AC577" i="14"/>
  <c r="AC582" i="14"/>
  <c r="AC576" i="14"/>
  <c r="AC575" i="14"/>
  <c r="AC574" i="14"/>
  <c r="AC573" i="14"/>
  <c r="AC572" i="14"/>
  <c r="AC571" i="14"/>
  <c r="AC570" i="14"/>
  <c r="AC569" i="14"/>
  <c r="AC561" i="14"/>
  <c r="AC560" i="14"/>
  <c r="AC556" i="14"/>
  <c r="AC555" i="14"/>
  <c r="AC554" i="14"/>
  <c r="AC553" i="14"/>
  <c r="AC552" i="14"/>
  <c r="AC551" i="14"/>
  <c r="AC550" i="14"/>
  <c r="AC548" i="14"/>
  <c r="AC547" i="14"/>
  <c r="AC546" i="14"/>
  <c r="AC545" i="14"/>
  <c r="AC544" i="14"/>
  <c r="AC536" i="14"/>
  <c r="AC535" i="14"/>
  <c r="AC534" i="14"/>
  <c r="AC533" i="14"/>
  <c r="AC528" i="14"/>
  <c r="AC527" i="14"/>
  <c r="AC526" i="14"/>
  <c r="AC525" i="14"/>
  <c r="AC524" i="14"/>
  <c r="AC523" i="14"/>
  <c r="AC522" i="14"/>
  <c r="AC521" i="14"/>
  <c r="AC513" i="14"/>
  <c r="AC512" i="14"/>
  <c r="AC507" i="14"/>
  <c r="AC506" i="14"/>
  <c r="AC505" i="14"/>
  <c r="AC504" i="14"/>
  <c r="AC503" i="14"/>
  <c r="AC493" i="14"/>
  <c r="AC494" i="14"/>
  <c r="AC492" i="14"/>
  <c r="AC491" i="14"/>
  <c r="AC483" i="14"/>
  <c r="AC482" i="14"/>
  <c r="AC481" i="14"/>
  <c r="AC480" i="14"/>
  <c r="AC479" i="14"/>
  <c r="AC474" i="14"/>
  <c r="AC473" i="14"/>
  <c r="AC472" i="14"/>
  <c r="AC471" i="14"/>
  <c r="AC470" i="14"/>
  <c r="AC462" i="14"/>
  <c r="AC457" i="14"/>
  <c r="AC456" i="14"/>
  <c r="AC455" i="14"/>
  <c r="AC454" i="14"/>
  <c r="AC446" i="14"/>
  <c r="AC441" i="14"/>
  <c r="AC440" i="14"/>
  <c r="AC439" i="14"/>
  <c r="AC438" i="14"/>
  <c r="AC437" i="14"/>
  <c r="AC436" i="14"/>
  <c r="AC435" i="14"/>
  <c r="AC434" i="14"/>
  <c r="AC433" i="14"/>
  <c r="AC432" i="14"/>
  <c r="AC431" i="14"/>
  <c r="AC423" i="14"/>
  <c r="AC422" i="14"/>
  <c r="AC421" i="14"/>
  <c r="AC420" i="14"/>
  <c r="AC419" i="14"/>
  <c r="AC414" i="14"/>
  <c r="AC413" i="14"/>
  <c r="AC412" i="14"/>
  <c r="AC411" i="14"/>
  <c r="AC410" i="14"/>
  <c r="AC409" i="14"/>
  <c r="AC408" i="14"/>
  <c r="AC400" i="14"/>
  <c r="AC399" i="14"/>
  <c r="AC398" i="14"/>
  <c r="AC397" i="14"/>
  <c r="AC396" i="14"/>
  <c r="AC395" i="14"/>
  <c r="AC390" i="14"/>
  <c r="AC389" i="14"/>
  <c r="AC388" i="14"/>
  <c r="AC387" i="14"/>
  <c r="AC386" i="14"/>
  <c r="AC385" i="14"/>
  <c r="AC375" i="14"/>
  <c r="AC374" i="14"/>
  <c r="AC373" i="14"/>
  <c r="AC371" i="14"/>
  <c r="AC370" i="14"/>
  <c r="AC366" i="14"/>
  <c r="AC365" i="14"/>
  <c r="AC364" i="14"/>
  <c r="AC356" i="14"/>
  <c r="AC355" i="14"/>
  <c r="AC354" i="14"/>
  <c r="AC353" i="14"/>
  <c r="AC348" i="14"/>
  <c r="AC347" i="14"/>
  <c r="AC346" i="14"/>
  <c r="AC345" i="14"/>
  <c r="AC344" i="14"/>
  <c r="AC343" i="14"/>
  <c r="AC342" i="14"/>
  <c r="AC341" i="14"/>
  <c r="AC340" i="14"/>
  <c r="AC332" i="14"/>
  <c r="AC327" i="14"/>
  <c r="AC326" i="14"/>
  <c r="AC325" i="14"/>
  <c r="AC324" i="14"/>
  <c r="AC323" i="14"/>
  <c r="AC322" i="14"/>
  <c r="AC314" i="14"/>
  <c r="AC313" i="14"/>
  <c r="AC312" i="14"/>
  <c r="AC307" i="14"/>
  <c r="AC306" i="14"/>
  <c r="AC308" i="14"/>
  <c r="AC305" i="14"/>
  <c r="AC303" i="14"/>
  <c r="AC302" i="14"/>
  <c r="AC301" i="14"/>
  <c r="AC300" i="14"/>
  <c r="AC299" i="14"/>
  <c r="AC298" i="14"/>
  <c r="AC290" i="14"/>
  <c r="AC285" i="14"/>
  <c r="AC284" i="14"/>
  <c r="AC283" i="14"/>
  <c r="AC275" i="14"/>
  <c r="AC274" i="14"/>
  <c r="AC273" i="14"/>
  <c r="AC272" i="14"/>
  <c r="AC267" i="14"/>
  <c r="AC266" i="14"/>
  <c r="AC265" i="14"/>
  <c r="AC264" i="14"/>
  <c r="AC263" i="14"/>
  <c r="AC262" i="14"/>
  <c r="AC254" i="14"/>
  <c r="AC253" i="14"/>
  <c r="AC252" i="14"/>
  <c r="AC247" i="14"/>
  <c r="AC246" i="14"/>
  <c r="AC245" i="14"/>
  <c r="AC244" i="14"/>
  <c r="AC243" i="14"/>
  <c r="AC242" i="14"/>
  <c r="AC241" i="14"/>
  <c r="AC233" i="14"/>
  <c r="AC232" i="14"/>
  <c r="AC230" i="14"/>
  <c r="AC228" i="14"/>
  <c r="AC222" i="14"/>
  <c r="AC221" i="14"/>
  <c r="AC220" i="14"/>
  <c r="AC212" i="14"/>
  <c r="AC211" i="14"/>
  <c r="AC210" i="14"/>
  <c r="AC209" i="14"/>
  <c r="AC208" i="14"/>
  <c r="AC203" i="14"/>
  <c r="AC202" i="14"/>
  <c r="AC201" i="14"/>
  <c r="AC194" i="14"/>
  <c r="AC193" i="14"/>
  <c r="AC185" i="14"/>
  <c r="AC184" i="14"/>
  <c r="AC183" i="14"/>
  <c r="AC182" i="14"/>
  <c r="AC181" i="14"/>
  <c r="AC179" i="14"/>
  <c r="AC174" i="14"/>
  <c r="AC172" i="14"/>
  <c r="AC171" i="14"/>
  <c r="AC170" i="14"/>
  <c r="AC169" i="14"/>
  <c r="AC168" i="14"/>
  <c r="AC167" i="14"/>
  <c r="AC166" i="14"/>
  <c r="AC156" i="14"/>
  <c r="AC148" i="14"/>
  <c r="AC147" i="14"/>
  <c r="AC153" i="14"/>
  <c r="AC149" i="14"/>
  <c r="AC146" i="14"/>
  <c r="AD146" i="14" s="1"/>
  <c r="AC145" i="14"/>
  <c r="AC144" i="14"/>
  <c r="AC143" i="14"/>
  <c r="AC142" i="14"/>
  <c r="AC141" i="14"/>
  <c r="AC126" i="14"/>
  <c r="AC133" i="14"/>
  <c r="AC134" i="14" s="1"/>
  <c r="AC129" i="14"/>
  <c r="AC127" i="14"/>
  <c r="AC125" i="14"/>
  <c r="AC124" i="14"/>
  <c r="AC123" i="14"/>
  <c r="AC114" i="14"/>
  <c r="AC113" i="14"/>
  <c r="AC112" i="14"/>
  <c r="AC111" i="14"/>
  <c r="AC103" i="14"/>
  <c r="AC99" i="14"/>
  <c r="AC96" i="14"/>
  <c r="AC95" i="14"/>
  <c r="AC94" i="14"/>
  <c r="AC86" i="14"/>
  <c r="AC85" i="14"/>
  <c r="AC79" i="14"/>
  <c r="AC80" i="14"/>
  <c r="AC78" i="14"/>
  <c r="AC77" i="14"/>
  <c r="AC69" i="14"/>
  <c r="AC68" i="14"/>
  <c r="AC67" i="14"/>
  <c r="AC66" i="14"/>
  <c r="AC65" i="14"/>
  <c r="AC64" i="14"/>
  <c r="AC59" i="14"/>
  <c r="AC58" i="14"/>
  <c r="AC57" i="14"/>
  <c r="AC56" i="14"/>
  <c r="AC55" i="14"/>
  <c r="AC54" i="14"/>
  <c r="AC53" i="14"/>
  <c r="AC52" i="14"/>
  <c r="AC44" i="14"/>
  <c r="AC43" i="14"/>
  <c r="AC38" i="14"/>
  <c r="AC37" i="14"/>
  <c r="AC36" i="14"/>
  <c r="AC35" i="14"/>
  <c r="AC34" i="14"/>
  <c r="AC26" i="14"/>
  <c r="AC25" i="14"/>
  <c r="AC24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P276" i="14"/>
  <c r="AO276" i="14"/>
  <c r="AN276" i="14"/>
  <c r="AM276" i="14"/>
  <c r="AI276" i="14"/>
  <c r="AH276" i="14"/>
  <c r="AG276" i="14"/>
  <c r="AF276" i="14"/>
  <c r="AE276" i="14"/>
  <c r="Z276" i="14"/>
  <c r="Y276" i="14"/>
  <c r="AP562" i="14"/>
  <c r="AO562" i="14"/>
  <c r="AN562" i="14"/>
  <c r="AM562" i="14"/>
  <c r="AI562" i="14"/>
  <c r="AH562" i="14"/>
  <c r="AG562" i="14"/>
  <c r="AF562" i="14"/>
  <c r="AB562" i="14"/>
  <c r="Z562" i="14"/>
  <c r="Y562" i="14"/>
  <c r="AP557" i="14"/>
  <c r="AN557" i="14"/>
  <c r="AM557" i="14"/>
  <c r="AI557" i="14"/>
  <c r="AH557" i="14"/>
  <c r="AG557" i="14"/>
  <c r="AF557" i="14"/>
  <c r="AP269" i="14"/>
  <c r="AN269" i="14"/>
  <c r="AN278" i="14" s="1"/>
  <c r="AM269" i="14"/>
  <c r="AM278" i="14" s="1"/>
  <c r="AI269" i="14"/>
  <c r="AI278" i="14" s="1"/>
  <c r="AH269" i="14"/>
  <c r="AH278" i="14" s="1"/>
  <c r="AG269" i="14"/>
  <c r="AG278" i="14" s="1"/>
  <c r="AF269" i="14"/>
  <c r="AF278" i="14" s="1"/>
  <c r="AE269" i="14"/>
  <c r="AE278" i="14" s="1"/>
  <c r="Y269" i="14"/>
  <c r="Y116" i="14"/>
  <c r="Y118" i="14" s="1"/>
  <c r="Y55" i="64" l="1"/>
  <c r="AD12" i="64"/>
  <c r="AR11" i="64"/>
  <c r="AC731" i="14"/>
  <c r="AC315" i="14"/>
  <c r="AC597" i="14"/>
  <c r="AC584" i="14"/>
  <c r="AC602" i="14"/>
  <c r="AC150" i="14"/>
  <c r="AC157" i="14"/>
  <c r="AC87" i="14"/>
  <c r="AC367" i="14"/>
  <c r="AC719" i="14"/>
  <c r="AH564" i="14"/>
  <c r="AP278" i="14"/>
  <c r="AP564" i="14"/>
  <c r="AI564" i="14"/>
  <c r="AF564" i="14"/>
  <c r="AM564" i="14"/>
  <c r="AG564" i="14"/>
  <c r="AN564" i="14"/>
  <c r="AC45" i="14"/>
  <c r="AC424" i="14"/>
  <c r="AC484" i="14"/>
  <c r="Y278" i="14"/>
  <c r="AC904" i="14"/>
  <c r="AC537" i="14"/>
  <c r="AC357" i="14"/>
  <c r="AC401" i="14"/>
  <c r="AC213" i="14"/>
  <c r="AC70" i="14"/>
  <c r="AC562" i="14"/>
  <c r="AC276" i="14"/>
  <c r="AR146" i="14"/>
  <c r="AD29" i="64" l="1"/>
  <c r="AR12" i="64"/>
  <c r="W241" i="38"/>
  <c r="W147" i="38"/>
  <c r="W146" i="38"/>
  <c r="W145" i="38"/>
  <c r="W5" i="38"/>
  <c r="AD55" i="64" l="1"/>
  <c r="AR55" i="64" s="1"/>
  <c r="AR29" i="64"/>
  <c r="W143" i="38"/>
  <c r="H4" i="39" l="1"/>
  <c r="V345" i="38"/>
  <c r="U345" i="38"/>
  <c r="T345" i="38"/>
  <c r="S345" i="38"/>
  <c r="R345" i="38"/>
  <c r="M345" i="38"/>
  <c r="L345" i="38"/>
  <c r="AO672" i="14" s="1"/>
  <c r="AC672" i="14" s="1"/>
  <c r="K345" i="38"/>
  <c r="J345" i="38"/>
  <c r="I345" i="38"/>
  <c r="W341" i="38"/>
  <c r="Y341" i="38" s="1"/>
  <c r="W340" i="38"/>
  <c r="Y340" i="38" s="1"/>
  <c r="W339" i="38"/>
  <c r="V335" i="38"/>
  <c r="U335" i="38"/>
  <c r="T335" i="38"/>
  <c r="S335" i="38"/>
  <c r="R335" i="38"/>
  <c r="M335" i="38"/>
  <c r="L335" i="38"/>
  <c r="AO651" i="14" s="1"/>
  <c r="K335" i="38"/>
  <c r="J335" i="38"/>
  <c r="I335" i="38"/>
  <c r="W331" i="38"/>
  <c r="Y331" i="38" s="1"/>
  <c r="W330" i="38"/>
  <c r="V326" i="38"/>
  <c r="U326" i="38"/>
  <c r="T326" i="38"/>
  <c r="S326" i="38"/>
  <c r="R326" i="38"/>
  <c r="M326" i="38"/>
  <c r="L326" i="38"/>
  <c r="AO634" i="14" s="1"/>
  <c r="AC634" i="14" s="1"/>
  <c r="K326" i="38"/>
  <c r="J326" i="38"/>
  <c r="I326" i="38"/>
  <c r="W322" i="38"/>
  <c r="Y322" i="38" s="1"/>
  <c r="W321" i="38"/>
  <c r="Y321" i="38" s="1"/>
  <c r="W320" i="38"/>
  <c r="Y320" i="38" s="1"/>
  <c r="W319" i="38"/>
  <c r="Y319" i="38" s="1"/>
  <c r="W318" i="38"/>
  <c r="V314" i="38"/>
  <c r="U314" i="38"/>
  <c r="T314" i="38"/>
  <c r="S314" i="38"/>
  <c r="R314" i="38"/>
  <c r="M314" i="38"/>
  <c r="L314" i="38"/>
  <c r="AO615" i="14" s="1"/>
  <c r="K314" i="38"/>
  <c r="J314" i="38"/>
  <c r="I314" i="38"/>
  <c r="W308" i="38"/>
  <c r="Y308" i="38" s="1"/>
  <c r="W307" i="38"/>
  <c r="Y307" i="38" s="1"/>
  <c r="W306" i="38"/>
  <c r="V300" i="38"/>
  <c r="U300" i="38"/>
  <c r="T300" i="38"/>
  <c r="S300" i="38"/>
  <c r="R300" i="38"/>
  <c r="M300" i="38"/>
  <c r="L300" i="38"/>
  <c r="AO578" i="14" s="1"/>
  <c r="AO579" i="14" s="1"/>
  <c r="K300" i="38"/>
  <c r="J300" i="38"/>
  <c r="I300" i="38"/>
  <c r="W294" i="38"/>
  <c r="Y294" i="38" s="1"/>
  <c r="W293" i="38"/>
  <c r="Y293" i="38" s="1"/>
  <c r="W292" i="38"/>
  <c r="V288" i="38"/>
  <c r="U288" i="38"/>
  <c r="T288" i="38"/>
  <c r="S288" i="38"/>
  <c r="R288" i="38"/>
  <c r="M288" i="38"/>
  <c r="L288" i="38"/>
  <c r="AO549" i="14" s="1"/>
  <c r="K288" i="38"/>
  <c r="J288" i="38"/>
  <c r="Z172" i="14" s="1"/>
  <c r="I288" i="38"/>
  <c r="W284" i="38"/>
  <c r="Y284" i="38" s="1"/>
  <c r="W283" i="38"/>
  <c r="Y283" i="38" s="1"/>
  <c r="W282" i="38"/>
  <c r="Y282" i="38" s="1"/>
  <c r="W281" i="38"/>
  <c r="V277" i="38"/>
  <c r="U277" i="38"/>
  <c r="T277" i="38"/>
  <c r="S277" i="38"/>
  <c r="R277" i="38"/>
  <c r="M277" i="38"/>
  <c r="L277" i="38"/>
  <c r="AO529" i="14" s="1"/>
  <c r="AO530" i="14" s="1"/>
  <c r="AO539" i="14" s="1"/>
  <c r="K277" i="38"/>
  <c r="J277" i="38"/>
  <c r="I277" i="38"/>
  <c r="W272" i="38"/>
  <c r="Y272" i="38" s="1"/>
  <c r="W271" i="38"/>
  <c r="Y271" i="38" s="1"/>
  <c r="W270" i="38"/>
  <c r="V266" i="38"/>
  <c r="U266" i="38"/>
  <c r="T266" i="38"/>
  <c r="S266" i="38"/>
  <c r="R266" i="38"/>
  <c r="M266" i="38"/>
  <c r="L266" i="38"/>
  <c r="AO508" i="14" s="1"/>
  <c r="K266" i="38"/>
  <c r="J266" i="38"/>
  <c r="I266" i="38"/>
  <c r="W262" i="38"/>
  <c r="Y262" i="38" s="1"/>
  <c r="W261" i="38"/>
  <c r="Y261" i="38" s="1"/>
  <c r="W260" i="38"/>
  <c r="V256" i="38"/>
  <c r="U256" i="38"/>
  <c r="T256" i="38"/>
  <c r="S256" i="38"/>
  <c r="R256" i="38"/>
  <c r="M256" i="38"/>
  <c r="L256" i="38"/>
  <c r="AO495" i="14" s="1"/>
  <c r="AO496" i="14" s="1"/>
  <c r="AO498" i="14" s="1"/>
  <c r="K256" i="38"/>
  <c r="J256" i="38"/>
  <c r="I256" i="38"/>
  <c r="W251" i="38"/>
  <c r="Y251" i="38" s="1"/>
  <c r="W250" i="38"/>
  <c r="V246" i="38"/>
  <c r="U246" i="38"/>
  <c r="T246" i="38"/>
  <c r="S246" i="38"/>
  <c r="R246" i="38"/>
  <c r="M246" i="38"/>
  <c r="L246" i="38"/>
  <c r="AO475" i="14" s="1"/>
  <c r="K246" i="38"/>
  <c r="J246" i="38"/>
  <c r="I246" i="38"/>
  <c r="W240" i="38"/>
  <c r="Y240" i="38" s="1"/>
  <c r="Y241" i="38"/>
  <c r="W239" i="38"/>
  <c r="V233" i="38"/>
  <c r="V235" i="38" s="1"/>
  <c r="U233" i="38"/>
  <c r="U235" i="38" s="1"/>
  <c r="T233" i="38"/>
  <c r="T235" i="38" s="1"/>
  <c r="S233" i="38"/>
  <c r="S235" i="38" s="1"/>
  <c r="R233" i="38"/>
  <c r="R235" i="38" s="1"/>
  <c r="N233" i="38"/>
  <c r="M233" i="38"/>
  <c r="M235" i="38" s="1"/>
  <c r="L233" i="38"/>
  <c r="L235" i="38" s="1"/>
  <c r="AO458" i="14" s="1"/>
  <c r="AC458" i="14" s="1"/>
  <c r="K233" i="38"/>
  <c r="K235" i="38" s="1"/>
  <c r="J233" i="38"/>
  <c r="J235" i="38" s="1"/>
  <c r="I235" i="38"/>
  <c r="W232" i="38"/>
  <c r="Y232" i="38" s="1"/>
  <c r="W228" i="38"/>
  <c r="Y228" i="38" s="1"/>
  <c r="W227" i="38"/>
  <c r="Y227" i="38" s="1"/>
  <c r="W226" i="38"/>
  <c r="Y226" i="38" s="1"/>
  <c r="W225" i="38"/>
  <c r="V221" i="38"/>
  <c r="U221" i="38"/>
  <c r="T221" i="38"/>
  <c r="S221" i="38"/>
  <c r="R221" i="38"/>
  <c r="M221" i="38"/>
  <c r="L221" i="38"/>
  <c r="AO442" i="14" s="1"/>
  <c r="AO443" i="14" s="1"/>
  <c r="K221" i="38"/>
  <c r="J221" i="38"/>
  <c r="I221" i="38"/>
  <c r="W214" i="38"/>
  <c r="Y214" i="38" s="1"/>
  <c r="W213" i="38"/>
  <c r="Y213" i="38" s="1"/>
  <c r="W212" i="38"/>
  <c r="V206" i="38"/>
  <c r="V208" i="38" s="1"/>
  <c r="U206" i="38"/>
  <c r="U208" i="38" s="1"/>
  <c r="T206" i="38"/>
  <c r="T208" i="38" s="1"/>
  <c r="S206" i="38"/>
  <c r="S208" i="38" s="1"/>
  <c r="R206" i="38"/>
  <c r="R208" i="38" s="1"/>
  <c r="M206" i="38"/>
  <c r="M208" i="38" s="1"/>
  <c r="L206" i="38"/>
  <c r="L208" i="38" s="1"/>
  <c r="AO415" i="14" s="1"/>
  <c r="K206" i="38"/>
  <c r="K208" i="38" s="1"/>
  <c r="J206" i="38"/>
  <c r="J208" i="38" s="1"/>
  <c r="I206" i="38"/>
  <c r="I208" i="38" s="1"/>
  <c r="W205" i="38"/>
  <c r="Y205" i="38" s="1"/>
  <c r="W204" i="38"/>
  <c r="Y204" i="38" s="1"/>
  <c r="W203" i="38"/>
  <c r="V197" i="38"/>
  <c r="V199" i="38" s="1"/>
  <c r="U197" i="38"/>
  <c r="U199" i="38" s="1"/>
  <c r="T197" i="38"/>
  <c r="T199" i="38" s="1"/>
  <c r="S197" i="38"/>
  <c r="S199" i="38" s="1"/>
  <c r="R197" i="38"/>
  <c r="R199" i="38" s="1"/>
  <c r="N197" i="38"/>
  <c r="M197" i="38"/>
  <c r="M199" i="38" s="1"/>
  <c r="L197" i="38"/>
  <c r="L199" i="38" s="1"/>
  <c r="AO391" i="14" s="1"/>
  <c r="AC391" i="14" s="1"/>
  <c r="K197" i="38"/>
  <c r="K199" i="38" s="1"/>
  <c r="J197" i="38"/>
  <c r="J199" i="38" s="1"/>
  <c r="I197" i="38"/>
  <c r="I199" i="38" s="1"/>
  <c r="W196" i="38"/>
  <c r="Y195" i="38"/>
  <c r="Y194" i="38"/>
  <c r="Y193" i="38"/>
  <c r="Y192" i="38"/>
  <c r="W191" i="38"/>
  <c r="Y191" i="38" s="1"/>
  <c r="W190" i="38"/>
  <c r="Y190" i="38" s="1"/>
  <c r="V182" i="38"/>
  <c r="V184" i="38" s="1"/>
  <c r="U182" i="38"/>
  <c r="U184" i="38" s="1"/>
  <c r="T182" i="38"/>
  <c r="T184" i="38" s="1"/>
  <c r="S182" i="38"/>
  <c r="S184" i="38" s="1"/>
  <c r="R182" i="38"/>
  <c r="R184" i="38" s="1"/>
  <c r="M182" i="38"/>
  <c r="M184" i="38" s="1"/>
  <c r="L182" i="38"/>
  <c r="L184" i="38" s="1"/>
  <c r="AO349" i="14" s="1"/>
  <c r="K182" i="38"/>
  <c r="K184" i="38" s="1"/>
  <c r="J182" i="38"/>
  <c r="J184" i="38" s="1"/>
  <c r="I182" i="38"/>
  <c r="I184" i="38" s="1"/>
  <c r="W181" i="38"/>
  <c r="Y181" i="38" s="1"/>
  <c r="W180" i="38"/>
  <c r="Y180" i="38" s="1"/>
  <c r="W179" i="38"/>
  <c r="Y179" i="38" s="1"/>
  <c r="W178" i="38"/>
  <c r="Y178" i="38" s="1"/>
  <c r="V174" i="38"/>
  <c r="U174" i="38"/>
  <c r="T174" i="38"/>
  <c r="S174" i="38"/>
  <c r="R174" i="38"/>
  <c r="M174" i="38"/>
  <c r="L174" i="38"/>
  <c r="AO328" i="14" s="1"/>
  <c r="K174" i="38"/>
  <c r="J174" i="38"/>
  <c r="I174" i="38"/>
  <c r="W169" i="38"/>
  <c r="Y169" i="38" s="1"/>
  <c r="W168" i="38"/>
  <c r="Y168" i="38" s="1"/>
  <c r="W167" i="38"/>
  <c r="V162" i="38"/>
  <c r="U162" i="38"/>
  <c r="T162" i="38"/>
  <c r="S162" i="38"/>
  <c r="R162" i="38"/>
  <c r="M162" i="38"/>
  <c r="L162" i="38"/>
  <c r="AO304" i="14" s="1"/>
  <c r="AO309" i="14" s="1"/>
  <c r="K162" i="38"/>
  <c r="J162" i="38"/>
  <c r="I162" i="38"/>
  <c r="W156" i="38"/>
  <c r="Y156" i="38" s="1"/>
  <c r="W159" i="38"/>
  <c r="Y159" i="38" s="1"/>
  <c r="W155" i="38"/>
  <c r="W154" i="38"/>
  <c r="V148" i="38"/>
  <c r="V150" i="38" s="1"/>
  <c r="U148" i="38"/>
  <c r="U150" i="38" s="1"/>
  <c r="T148" i="38"/>
  <c r="T150" i="38" s="1"/>
  <c r="S148" i="38"/>
  <c r="S150" i="38" s="1"/>
  <c r="R148" i="38"/>
  <c r="R150" i="38" s="1"/>
  <c r="N148" i="38"/>
  <c r="M148" i="38"/>
  <c r="M150" i="38" s="1"/>
  <c r="L148" i="38"/>
  <c r="L150" i="38" s="1"/>
  <c r="AO286" i="14" s="1"/>
  <c r="AO287" i="14" s="1"/>
  <c r="AO293" i="14" s="1"/>
  <c r="K148" i="38"/>
  <c r="K150" i="38" s="1"/>
  <c r="J148" i="38"/>
  <c r="J150" i="38" s="1"/>
  <c r="I148" i="38"/>
  <c r="I150" i="38" s="1"/>
  <c r="Y147" i="38"/>
  <c r="Y146" i="38"/>
  <c r="Y145" i="38"/>
  <c r="W144" i="38"/>
  <c r="W148" i="38" s="1"/>
  <c r="W150" i="38" s="1"/>
  <c r="Y143" i="38"/>
  <c r="V139" i="38"/>
  <c r="U139" i="38"/>
  <c r="T139" i="38"/>
  <c r="S139" i="38"/>
  <c r="R139" i="38"/>
  <c r="M139" i="38"/>
  <c r="L139" i="38"/>
  <c r="AO268" i="14" s="1"/>
  <c r="AC268" i="14" s="1"/>
  <c r="K139" i="38"/>
  <c r="J139" i="38"/>
  <c r="I139" i="38"/>
  <c r="W134" i="38"/>
  <c r="Y134" i="38" s="1"/>
  <c r="W133" i="38"/>
  <c r="Y133" i="38" s="1"/>
  <c r="W132" i="38"/>
  <c r="V128" i="38"/>
  <c r="U128" i="38"/>
  <c r="T128" i="38"/>
  <c r="S128" i="38"/>
  <c r="R128" i="38"/>
  <c r="M128" i="38"/>
  <c r="L128" i="38"/>
  <c r="AO248" i="14" s="1"/>
  <c r="AC248" i="14" s="1"/>
  <c r="K128" i="38"/>
  <c r="J128" i="38"/>
  <c r="W122" i="38"/>
  <c r="Y122" i="38" s="1"/>
  <c r="W121" i="38"/>
  <c r="I121" i="38"/>
  <c r="I126" i="38" s="1"/>
  <c r="W120" i="38"/>
  <c r="Y120" i="38" s="1"/>
  <c r="W119" i="38"/>
  <c r="V115" i="38"/>
  <c r="U115" i="38"/>
  <c r="T115" i="38"/>
  <c r="S115" i="38"/>
  <c r="R115" i="38"/>
  <c r="M115" i="38"/>
  <c r="L115" i="38"/>
  <c r="AO223" i="14" s="1"/>
  <c r="AC223" i="14" s="1"/>
  <c r="K115" i="38"/>
  <c r="J115" i="38"/>
  <c r="I115" i="38"/>
  <c r="W109" i="38"/>
  <c r="Y109" i="38" s="1"/>
  <c r="W108" i="38"/>
  <c r="Y108" i="38" s="1"/>
  <c r="W107" i="38"/>
  <c r="V101" i="38"/>
  <c r="V103" i="38" s="1"/>
  <c r="U101" i="38"/>
  <c r="U103" i="38" s="1"/>
  <c r="T101" i="38"/>
  <c r="T103" i="38" s="1"/>
  <c r="S101" i="38"/>
  <c r="S103" i="38" s="1"/>
  <c r="R101" i="38"/>
  <c r="R103" i="38" s="1"/>
  <c r="N101" i="38"/>
  <c r="M101" i="38"/>
  <c r="M103" i="38" s="1"/>
  <c r="L101" i="38"/>
  <c r="L103" i="38" s="1"/>
  <c r="AO204" i="14" s="1"/>
  <c r="K101" i="38"/>
  <c r="K103" i="38" s="1"/>
  <c r="J101" i="38"/>
  <c r="J103" i="38" s="1"/>
  <c r="I101" i="38"/>
  <c r="I103" i="38" s="1"/>
  <c r="W100" i="38"/>
  <c r="Y100" i="38" s="1"/>
  <c r="W97" i="38"/>
  <c r="Y97" i="38" s="1"/>
  <c r="W96" i="38"/>
  <c r="Y96" i="38" s="1"/>
  <c r="W95" i="38"/>
  <c r="V89" i="38"/>
  <c r="V91" i="38" s="1"/>
  <c r="U89" i="38"/>
  <c r="U91" i="38" s="1"/>
  <c r="T89" i="38"/>
  <c r="T91" i="38" s="1"/>
  <c r="S89" i="38"/>
  <c r="S91" i="38" s="1"/>
  <c r="R89" i="38"/>
  <c r="R91" i="38" s="1"/>
  <c r="N89" i="38"/>
  <c r="M89" i="38"/>
  <c r="M91" i="38" s="1"/>
  <c r="L89" i="38"/>
  <c r="L91" i="38" s="1"/>
  <c r="K89" i="38"/>
  <c r="K91" i="38" s="1"/>
  <c r="J89" i="38"/>
  <c r="J91" i="38" s="1"/>
  <c r="I89" i="38"/>
  <c r="I91" i="38" s="1"/>
  <c r="W88" i="38"/>
  <c r="Y88" i="38" s="1"/>
  <c r="W87" i="38"/>
  <c r="Y87" i="38" s="1"/>
  <c r="W86" i="38"/>
  <c r="Y86" i="38" s="1"/>
  <c r="W85" i="38"/>
  <c r="V79" i="38"/>
  <c r="U79" i="38"/>
  <c r="T79" i="38"/>
  <c r="S79" i="38"/>
  <c r="R79" i="38"/>
  <c r="M79" i="38"/>
  <c r="L79" i="38"/>
  <c r="AO128" i="14" s="1"/>
  <c r="AO130" i="14" s="1"/>
  <c r="K79" i="38"/>
  <c r="J79" i="38"/>
  <c r="I79" i="38"/>
  <c r="W74" i="38"/>
  <c r="Y74" i="38" s="1"/>
  <c r="W73" i="38"/>
  <c r="Y73" i="38" s="1"/>
  <c r="W72" i="38"/>
  <c r="Y72" i="38" s="1"/>
  <c r="W71" i="38"/>
  <c r="V67" i="38"/>
  <c r="U67" i="38"/>
  <c r="T67" i="38"/>
  <c r="S67" i="38"/>
  <c r="R67" i="38"/>
  <c r="M67" i="38"/>
  <c r="L67" i="38"/>
  <c r="AO115" i="14" s="1"/>
  <c r="AO116" i="14" s="1"/>
  <c r="AO118" i="14" s="1"/>
  <c r="K67" i="38"/>
  <c r="J67" i="38"/>
  <c r="I67" i="38"/>
  <c r="W61" i="38"/>
  <c r="Y61" i="38" s="1"/>
  <c r="W60" i="38"/>
  <c r="Y60" i="38" s="1"/>
  <c r="W59" i="38"/>
  <c r="V55" i="38"/>
  <c r="U55" i="38"/>
  <c r="T55" i="38"/>
  <c r="S55" i="38"/>
  <c r="R55" i="38"/>
  <c r="M55" i="38"/>
  <c r="L55" i="38"/>
  <c r="AO97" i="14" s="1"/>
  <c r="AO100" i="14" s="1"/>
  <c r="AO106" i="14" s="1"/>
  <c r="K55" i="38"/>
  <c r="J55" i="38"/>
  <c r="I55" i="38"/>
  <c r="W51" i="38"/>
  <c r="Y51" i="38" s="1"/>
  <c r="W50" i="38"/>
  <c r="Y50" i="38" s="1"/>
  <c r="W49" i="38"/>
  <c r="W48" i="38"/>
  <c r="V44" i="38"/>
  <c r="U44" i="38"/>
  <c r="T44" i="38"/>
  <c r="S44" i="38"/>
  <c r="R44" i="38"/>
  <c r="M44" i="38"/>
  <c r="L44" i="38"/>
  <c r="AO81" i="14" s="1"/>
  <c r="AO82" i="14" s="1"/>
  <c r="K44" i="38"/>
  <c r="J44" i="38"/>
  <c r="I44" i="38"/>
  <c r="W40" i="38"/>
  <c r="Y40" i="38" s="1"/>
  <c r="W39" i="38"/>
  <c r="V33" i="38"/>
  <c r="V35" i="38" s="1"/>
  <c r="U33" i="38"/>
  <c r="U35" i="38" s="1"/>
  <c r="T33" i="38"/>
  <c r="T35" i="38" s="1"/>
  <c r="S33" i="38"/>
  <c r="S35" i="38" s="1"/>
  <c r="R33" i="38"/>
  <c r="R35" i="38" s="1"/>
  <c r="N33" i="38"/>
  <c r="M33" i="38"/>
  <c r="M35" i="38" s="1"/>
  <c r="L33" i="38"/>
  <c r="L35" i="38" s="1"/>
  <c r="AO60" i="14" s="1"/>
  <c r="AO61" i="14" s="1"/>
  <c r="AO72" i="14" s="1"/>
  <c r="K33" i="38"/>
  <c r="K35" i="38" s="1"/>
  <c r="J33" i="38"/>
  <c r="J35" i="38" s="1"/>
  <c r="I33" i="38"/>
  <c r="I35" i="38" s="1"/>
  <c r="W32" i="38"/>
  <c r="Y32" i="38" s="1"/>
  <c r="W31" i="38"/>
  <c r="Y31" i="38" s="1"/>
  <c r="W30" i="38"/>
  <c r="Y30" i="38" s="1"/>
  <c r="W29" i="38"/>
  <c r="Y29" i="38" s="1"/>
  <c r="W28" i="38"/>
  <c r="Y28" i="38" s="1"/>
  <c r="W27" i="38"/>
  <c r="V23" i="38"/>
  <c r="U23" i="38"/>
  <c r="T23" i="38"/>
  <c r="S23" i="38"/>
  <c r="R23" i="38"/>
  <c r="M23" i="38"/>
  <c r="L23" i="38"/>
  <c r="AO39" i="14" s="1"/>
  <c r="AO40" i="14" s="1"/>
  <c r="AO47" i="14" s="1"/>
  <c r="K23" i="38"/>
  <c r="J23" i="38"/>
  <c r="I23" i="38"/>
  <c r="W18" i="38"/>
  <c r="Y18" i="38" s="1"/>
  <c r="W17" i="38"/>
  <c r="V11" i="38"/>
  <c r="V13" i="38" s="1"/>
  <c r="U11" i="38"/>
  <c r="U13" i="38" s="1"/>
  <c r="T11" i="38"/>
  <c r="T13" i="38" s="1"/>
  <c r="S11" i="38"/>
  <c r="S13" i="38" s="1"/>
  <c r="R11" i="38"/>
  <c r="R13" i="38" s="1"/>
  <c r="N11" i="38"/>
  <c r="M11" i="38"/>
  <c r="M13" i="38" s="1"/>
  <c r="L11" i="38"/>
  <c r="L13" i="38" s="1"/>
  <c r="K11" i="38"/>
  <c r="K13" i="38" s="1"/>
  <c r="J11" i="38"/>
  <c r="J13" i="38" s="1"/>
  <c r="I11" i="38"/>
  <c r="I13" i="38" s="1"/>
  <c r="W10" i="38"/>
  <c r="Y10" i="38" s="1"/>
  <c r="W9" i="38"/>
  <c r="Y9" i="38" s="1"/>
  <c r="W6" i="38"/>
  <c r="AC910" i="14"/>
  <c r="AP904" i="14"/>
  <c r="AO904" i="14"/>
  <c r="AN904" i="14"/>
  <c r="AM904" i="14"/>
  <c r="AI904" i="14"/>
  <c r="AH904" i="14"/>
  <c r="AG904" i="14"/>
  <c r="AF904" i="14"/>
  <c r="AE904" i="14"/>
  <c r="AD903" i="14"/>
  <c r="AR903" i="14" s="1"/>
  <c r="AD898" i="14"/>
  <c r="AD896" i="14"/>
  <c r="AR896" i="14" s="1"/>
  <c r="AD894" i="14"/>
  <c r="AD892" i="14"/>
  <c r="AR892" i="14" s="1"/>
  <c r="AD891" i="14"/>
  <c r="AR891" i="14" s="1"/>
  <c r="AD890" i="14"/>
  <c r="AD887" i="14"/>
  <c r="AR887" i="14" s="1"/>
  <c r="AD886" i="14"/>
  <c r="AR886" i="14" s="1"/>
  <c r="AD885" i="14"/>
  <c r="AD883" i="14"/>
  <c r="AR883" i="14" s="1"/>
  <c r="AD882" i="14"/>
  <c r="AR882" i="14" s="1"/>
  <c r="AD881" i="14"/>
  <c r="AP876" i="14"/>
  <c r="AO876" i="14"/>
  <c r="AN876" i="14"/>
  <c r="AM876" i="14"/>
  <c r="AI876" i="14"/>
  <c r="AH876" i="14"/>
  <c r="AG876" i="14"/>
  <c r="AF876" i="14"/>
  <c r="AE876" i="14"/>
  <c r="Z876" i="14"/>
  <c r="Z906" i="14" s="1"/>
  <c r="AB875" i="14"/>
  <c r="AR874" i="14"/>
  <c r="AR873" i="14"/>
  <c r="AR872" i="14"/>
  <c r="AD870" i="14"/>
  <c r="AR870" i="14" s="1"/>
  <c r="AD869" i="14"/>
  <c r="AR869" i="14" s="1"/>
  <c r="AR868" i="14"/>
  <c r="AR867" i="14"/>
  <c r="AR866" i="14"/>
  <c r="AR865" i="14"/>
  <c r="AR863" i="14"/>
  <c r="AR862" i="14"/>
  <c r="AR861" i="14"/>
  <c r="AR860" i="14"/>
  <c r="AD859" i="14"/>
  <c r="AR858" i="14"/>
  <c r="AR857" i="14"/>
  <c r="AR856" i="14"/>
  <c r="AR855" i="14"/>
  <c r="AD854" i="14"/>
  <c r="AR854" i="14" s="1"/>
  <c r="AR853" i="14"/>
  <c r="AR852" i="14"/>
  <c r="AR851" i="14"/>
  <c r="AR850" i="14"/>
  <c r="AD849" i="14"/>
  <c r="AR849" i="14" s="1"/>
  <c r="Y848" i="14"/>
  <c r="Y876" i="14" s="1"/>
  <c r="Y906" i="14" s="1"/>
  <c r="AR847" i="14"/>
  <c r="AR846" i="14"/>
  <c r="AR845" i="14"/>
  <c r="AR844" i="14"/>
  <c r="AR842" i="14"/>
  <c r="AR841" i="14"/>
  <c r="AR840" i="14"/>
  <c r="AR839" i="14"/>
  <c r="AD838" i="14"/>
  <c r="AR837" i="14"/>
  <c r="AR836" i="14"/>
  <c r="AR835" i="14"/>
  <c r="AR834" i="14"/>
  <c r="AB833" i="14"/>
  <c r="AR832" i="14"/>
  <c r="AR831" i="14"/>
  <c r="AR830" i="14"/>
  <c r="AR829" i="14"/>
  <c r="AD828" i="14"/>
  <c r="AR828" i="14" s="1"/>
  <c r="AR827" i="14"/>
  <c r="AR826" i="14"/>
  <c r="AR825" i="14"/>
  <c r="AR824" i="14"/>
  <c r="AB823" i="14"/>
  <c r="AR822" i="14"/>
  <c r="AR821" i="14"/>
  <c r="AR820" i="14"/>
  <c r="AR819" i="14"/>
  <c r="AD818" i="14"/>
  <c r="AR818" i="14" s="1"/>
  <c r="AR817" i="14"/>
  <c r="AR816" i="14"/>
  <c r="AR815" i="14"/>
  <c r="AR814" i="14"/>
  <c r="AD813" i="14"/>
  <c r="AR812" i="14"/>
  <c r="AR811" i="14"/>
  <c r="AR810" i="14"/>
  <c r="AR809" i="14"/>
  <c r="AB808" i="14"/>
  <c r="AR807" i="14"/>
  <c r="AR806" i="14"/>
  <c r="AR805" i="14"/>
  <c r="AB804" i="14"/>
  <c r="AR803" i="14"/>
  <c r="AR802" i="14"/>
  <c r="AR801" i="14"/>
  <c r="AR799" i="14"/>
  <c r="AR798" i="14"/>
  <c r="AR797" i="14"/>
  <c r="AR796" i="14"/>
  <c r="AR794" i="14"/>
  <c r="AR793" i="14"/>
  <c r="AR792" i="14"/>
  <c r="AR791" i="14"/>
  <c r="AD790" i="14"/>
  <c r="AR790" i="14" s="1"/>
  <c r="AR789" i="14"/>
  <c r="AR788" i="14"/>
  <c r="AR787" i="14"/>
  <c r="AR786" i="14"/>
  <c r="AD785" i="14"/>
  <c r="AR785" i="14" s="1"/>
  <c r="AR784" i="14"/>
  <c r="AR783" i="14"/>
  <c r="AR782" i="14"/>
  <c r="AR781" i="14"/>
  <c r="AR779" i="14"/>
  <c r="AR778" i="14"/>
  <c r="AR777" i="14"/>
  <c r="AR776" i="14"/>
  <c r="AD775" i="14"/>
  <c r="AR774" i="14"/>
  <c r="AR773" i="14"/>
  <c r="AR772" i="14"/>
  <c r="AR771" i="14"/>
  <c r="AD770" i="14"/>
  <c r="AR770" i="14" s="1"/>
  <c r="AR769" i="14"/>
  <c r="AR768" i="14"/>
  <c r="AR767" i="14"/>
  <c r="AR766" i="14"/>
  <c r="AD765" i="14"/>
  <c r="AR765" i="14" s="1"/>
  <c r="AR764" i="14"/>
  <c r="AR763" i="14"/>
  <c r="AR762" i="14"/>
  <c r="AD761" i="14"/>
  <c r="AR760" i="14"/>
  <c r="AR759" i="14"/>
  <c r="AR758" i="14"/>
  <c r="AD757" i="14"/>
  <c r="AR757" i="14" s="1"/>
  <c r="AR756" i="14"/>
  <c r="AR755" i="14"/>
  <c r="AR754" i="14"/>
  <c r="AR752" i="14"/>
  <c r="AR751" i="14"/>
  <c r="AR750" i="14"/>
  <c r="AR749" i="14"/>
  <c r="AD748" i="14"/>
  <c r="AR748" i="14" s="1"/>
  <c r="AR747" i="14"/>
  <c r="AR746" i="14"/>
  <c r="AR745" i="14"/>
  <c r="AR744" i="14"/>
  <c r="AB743" i="14"/>
  <c r="AR742" i="14"/>
  <c r="AR741" i="14"/>
  <c r="AR740" i="14"/>
  <c r="AR739" i="14"/>
  <c r="AD730" i="14"/>
  <c r="AR730" i="14" s="1"/>
  <c r="AD727" i="14"/>
  <c r="AD725" i="14"/>
  <c r="AD724" i="14"/>
  <c r="AR724" i="14" s="1"/>
  <c r="AD722" i="14"/>
  <c r="Y715" i="14"/>
  <c r="Z714" i="14"/>
  <c r="AD712" i="14"/>
  <c r="AD709" i="14"/>
  <c r="Y709" i="14"/>
  <c r="Y719" i="14" s="1"/>
  <c r="AB708" i="14"/>
  <c r="AP699" i="14"/>
  <c r="AO699" i="14"/>
  <c r="AN699" i="14"/>
  <c r="AM699" i="14"/>
  <c r="AI699" i="14"/>
  <c r="AH699" i="14"/>
  <c r="AG699" i="14"/>
  <c r="AF699" i="14"/>
  <c r="AE699" i="14"/>
  <c r="AB699" i="14"/>
  <c r="Z699" i="14"/>
  <c r="Y699" i="14"/>
  <c r="AD697" i="14"/>
  <c r="AD696" i="14"/>
  <c r="AR696" i="14" s="1"/>
  <c r="AD695" i="14"/>
  <c r="AP692" i="14"/>
  <c r="AO692" i="14"/>
  <c r="AN692" i="14"/>
  <c r="AM692" i="14"/>
  <c r="AI692" i="14"/>
  <c r="AH692" i="14"/>
  <c r="AG692" i="14"/>
  <c r="AF692" i="14"/>
  <c r="AE692" i="14"/>
  <c r="Z692" i="14"/>
  <c r="Y692" i="14"/>
  <c r="AD691" i="14"/>
  <c r="AR691" i="14" s="1"/>
  <c r="AD690" i="14"/>
  <c r="AR690" i="14" s="1"/>
  <c r="AD689" i="14"/>
  <c r="AB692" i="14"/>
  <c r="AD677" i="14"/>
  <c r="AP674" i="14"/>
  <c r="AP683" i="14" s="1"/>
  <c r="AN674" i="14"/>
  <c r="AN683" i="14" s="1"/>
  <c r="AM674" i="14"/>
  <c r="AM683" i="14" s="1"/>
  <c r="AI674" i="14"/>
  <c r="AI683" i="14" s="1"/>
  <c r="AH674" i="14"/>
  <c r="AH683" i="14" s="1"/>
  <c r="AG674" i="14"/>
  <c r="AG683" i="14" s="1"/>
  <c r="AF674" i="14"/>
  <c r="AF683" i="14" s="1"/>
  <c r="AE674" i="14"/>
  <c r="AE683" i="14" s="1"/>
  <c r="Y674" i="14"/>
  <c r="Y683" i="14" s="1"/>
  <c r="AB673" i="14"/>
  <c r="AB674" i="14" s="1"/>
  <c r="AB683" i="14" s="1"/>
  <c r="Z672" i="14"/>
  <c r="AD671" i="14"/>
  <c r="Z671" i="14"/>
  <c r="AD670" i="14"/>
  <c r="AP663" i="14"/>
  <c r="AO663" i="14"/>
  <c r="AN663" i="14"/>
  <c r="AM663" i="14"/>
  <c r="AI663" i="14"/>
  <c r="AH663" i="14"/>
  <c r="AG663" i="14"/>
  <c r="AF663" i="14"/>
  <c r="AE663" i="14"/>
  <c r="AB663" i="14"/>
  <c r="Z663" i="14"/>
  <c r="AD660" i="14"/>
  <c r="AR660" i="14" s="1"/>
  <c r="AD659" i="14"/>
  <c r="AR659" i="14" s="1"/>
  <c r="AD656" i="14"/>
  <c r="AP653" i="14"/>
  <c r="AN653" i="14"/>
  <c r="AM653" i="14"/>
  <c r="AI653" i="14"/>
  <c r="AH653" i="14"/>
  <c r="AG653" i="14"/>
  <c r="AF653" i="14"/>
  <c r="AE653" i="14"/>
  <c r="Y653" i="14"/>
  <c r="Y665" i="14" s="1"/>
  <c r="Z651" i="14"/>
  <c r="AD650" i="14"/>
  <c r="Z650" i="14"/>
  <c r="AD648" i="14"/>
  <c r="AB647" i="14"/>
  <c r="AB653" i="14" s="1"/>
  <c r="AP640" i="14"/>
  <c r="AO640" i="14"/>
  <c r="AN640" i="14"/>
  <c r="AM640" i="14"/>
  <c r="AI640" i="14"/>
  <c r="AH640" i="14"/>
  <c r="AG640" i="14"/>
  <c r="AF640" i="14"/>
  <c r="AE640" i="14"/>
  <c r="AE642" i="14" s="1"/>
  <c r="AB640" i="14"/>
  <c r="Z640" i="14"/>
  <c r="AD639" i="14"/>
  <c r="AP635" i="14"/>
  <c r="AP642" i="14" s="1"/>
  <c r="AN635" i="14"/>
  <c r="AM635" i="14"/>
  <c r="AI635" i="14"/>
  <c r="AH635" i="14"/>
  <c r="AG635" i="14"/>
  <c r="AF635" i="14"/>
  <c r="Y635" i="14"/>
  <c r="Y642" i="14" s="1"/>
  <c r="Z634" i="14"/>
  <c r="AD633" i="14"/>
  <c r="Z633" i="14"/>
  <c r="AD631" i="14"/>
  <c r="AR631" i="14" s="1"/>
  <c r="AB630" i="14"/>
  <c r="AB635" i="14" s="1"/>
  <c r="AD629" i="14"/>
  <c r="AR629" i="14" s="1"/>
  <c r="AP622" i="14"/>
  <c r="AO622" i="14"/>
  <c r="AN622" i="14"/>
  <c r="AM622" i="14"/>
  <c r="AI622" i="14"/>
  <c r="AH622" i="14"/>
  <c r="AG622" i="14"/>
  <c r="AF622" i="14"/>
  <c r="AE622" i="14"/>
  <c r="Z622" i="14"/>
  <c r="AD620" i="14"/>
  <c r="AP616" i="14"/>
  <c r="AN616" i="14"/>
  <c r="AM616" i="14"/>
  <c r="AI616" i="14"/>
  <c r="AH616" i="14"/>
  <c r="AG616" i="14"/>
  <c r="AF616" i="14"/>
  <c r="AE616" i="14"/>
  <c r="Z615" i="14"/>
  <c r="Z614" i="14"/>
  <c r="Y612" i="14"/>
  <c r="AD595" i="14"/>
  <c r="AP604" i="14"/>
  <c r="AO604" i="14"/>
  <c r="AN604" i="14"/>
  <c r="AM604" i="14"/>
  <c r="AI604" i="14"/>
  <c r="AH604" i="14"/>
  <c r="AG604" i="14"/>
  <c r="AF604" i="14"/>
  <c r="AE604" i="14"/>
  <c r="Y604" i="14"/>
  <c r="AB596" i="14"/>
  <c r="AB597" i="14" s="1"/>
  <c r="AD577" i="14"/>
  <c r="AR577" i="14" s="1"/>
  <c r="Z578" i="14"/>
  <c r="AB576" i="14"/>
  <c r="AD576" i="14" s="1"/>
  <c r="Y575" i="14"/>
  <c r="Y574" i="14"/>
  <c r="AB573" i="14"/>
  <c r="AD573" i="14" s="1"/>
  <c r="AB572" i="14"/>
  <c r="AD572" i="14" s="1"/>
  <c r="Y571" i="14"/>
  <c r="Y570" i="14"/>
  <c r="AD569" i="14"/>
  <c r="Z569" i="14"/>
  <c r="AD561" i="14"/>
  <c r="AB556" i="14"/>
  <c r="AB555" i="14"/>
  <c r="AD554" i="14"/>
  <c r="AR554" i="14" s="1"/>
  <c r="AD552" i="14"/>
  <c r="AR552" i="14" s="1"/>
  <c r="AD550" i="14"/>
  <c r="Z549" i="14"/>
  <c r="AD548" i="14"/>
  <c r="Z548" i="14"/>
  <c r="Y547" i="14"/>
  <c r="Y557" i="14" s="1"/>
  <c r="Y564" i="14" s="1"/>
  <c r="AD535" i="14"/>
  <c r="AD534" i="14"/>
  <c r="AE530" i="14"/>
  <c r="AE539" i="14" s="1"/>
  <c r="Z529" i="14"/>
  <c r="AD528" i="14"/>
  <c r="Z528" i="14"/>
  <c r="AD527" i="14"/>
  <c r="Y526" i="14"/>
  <c r="Y525" i="14"/>
  <c r="Y524" i="14"/>
  <c r="AB521" i="14"/>
  <c r="AP514" i="14"/>
  <c r="AO514" i="14"/>
  <c r="AN514" i="14"/>
  <c r="AM514" i="14"/>
  <c r="AI514" i="14"/>
  <c r="AH514" i="14"/>
  <c r="AG514" i="14"/>
  <c r="AF514" i="14"/>
  <c r="AE514" i="14"/>
  <c r="AB514" i="14"/>
  <c r="Z514" i="14"/>
  <c r="Y514" i="14"/>
  <c r="AP509" i="14"/>
  <c r="AN509" i="14"/>
  <c r="AM509" i="14"/>
  <c r="AI509" i="14"/>
  <c r="AH509" i="14"/>
  <c r="AG509" i="14"/>
  <c r="AF509" i="14"/>
  <c r="AE509" i="14"/>
  <c r="Y509" i="14"/>
  <c r="Z508" i="14"/>
  <c r="AD507" i="14"/>
  <c r="Z507" i="14"/>
  <c r="AD506" i="14"/>
  <c r="AR506" i="14" s="1"/>
  <c r="AB505" i="14"/>
  <c r="AD504" i="14"/>
  <c r="AD493" i="14"/>
  <c r="Z495" i="14"/>
  <c r="Z494" i="14"/>
  <c r="AD492" i="14"/>
  <c r="AD482" i="14"/>
  <c r="AD481" i="14"/>
  <c r="AD480" i="14"/>
  <c r="AP476" i="14"/>
  <c r="AP486" i="14" s="1"/>
  <c r="AN476" i="14"/>
  <c r="AN486" i="14" s="1"/>
  <c r="AM476" i="14"/>
  <c r="AM486" i="14" s="1"/>
  <c r="AI476" i="14"/>
  <c r="AI486" i="14" s="1"/>
  <c r="AH476" i="14"/>
  <c r="AH486" i="14" s="1"/>
  <c r="AG476" i="14"/>
  <c r="AG486" i="14" s="1"/>
  <c r="AF476" i="14"/>
  <c r="AF486" i="14" s="1"/>
  <c r="Y476" i="14"/>
  <c r="Y486" i="14" s="1"/>
  <c r="Z475" i="14"/>
  <c r="AD474" i="14"/>
  <c r="Z474" i="14"/>
  <c r="AD472" i="14"/>
  <c r="AD471" i="14"/>
  <c r="AB470" i="14"/>
  <c r="AP463" i="14"/>
  <c r="AO463" i="14"/>
  <c r="AN463" i="14"/>
  <c r="AM463" i="14"/>
  <c r="AI463" i="14"/>
  <c r="AH463" i="14"/>
  <c r="AG463" i="14"/>
  <c r="AF463" i="14"/>
  <c r="AE463" i="14"/>
  <c r="AB463" i="14"/>
  <c r="Z463" i="14"/>
  <c r="Y463" i="14"/>
  <c r="AP459" i="14"/>
  <c r="AP465" i="14" s="1"/>
  <c r="AN459" i="14"/>
  <c r="AM459" i="14"/>
  <c r="AI459" i="14"/>
  <c r="AH459" i="14"/>
  <c r="AG459" i="14"/>
  <c r="AF459" i="14"/>
  <c r="AE459" i="14"/>
  <c r="Y459" i="14"/>
  <c r="Z458" i="14"/>
  <c r="AD457" i="14"/>
  <c r="Z457" i="14"/>
  <c r="AD456" i="14"/>
  <c r="AB455" i="14"/>
  <c r="AB459" i="14" s="1"/>
  <c r="AP447" i="14"/>
  <c r="AP449" i="14" s="1"/>
  <c r="AO447" i="14"/>
  <c r="AN447" i="14"/>
  <c r="AN449" i="14" s="1"/>
  <c r="AM447" i="14"/>
  <c r="AM449" i="14" s="1"/>
  <c r="AI447" i="14"/>
  <c r="AH447" i="14"/>
  <c r="AG447" i="14"/>
  <c r="AF447" i="14"/>
  <c r="AE447" i="14"/>
  <c r="Z447" i="14"/>
  <c r="Y447" i="14"/>
  <c r="AB447" i="14"/>
  <c r="Y443" i="14"/>
  <c r="Z442" i="14"/>
  <c r="AD441" i="14"/>
  <c r="Z441" i="14"/>
  <c r="AD439" i="14"/>
  <c r="AD438" i="14"/>
  <c r="AR438" i="14" s="1"/>
  <c r="AD437" i="14"/>
  <c r="AR437" i="14" s="1"/>
  <c r="AD432" i="14"/>
  <c r="AR432" i="14" s="1"/>
  <c r="AB431" i="14"/>
  <c r="AD419" i="14"/>
  <c r="AP426" i="14"/>
  <c r="AN426" i="14"/>
  <c r="AM426" i="14"/>
  <c r="AI416" i="14"/>
  <c r="AI426" i="14" s="1"/>
  <c r="AH416" i="14"/>
  <c r="AH426" i="14" s="1"/>
  <c r="AG416" i="14"/>
  <c r="AG426" i="14" s="1"/>
  <c r="AF416" i="14"/>
  <c r="AF426" i="14" s="1"/>
  <c r="AE416" i="14"/>
  <c r="AE426" i="14" s="1"/>
  <c r="Y416" i="14"/>
  <c r="Y426" i="14" s="1"/>
  <c r="Z415" i="14"/>
  <c r="AD414" i="14"/>
  <c r="Z414" i="14"/>
  <c r="AD413" i="14"/>
  <c r="AR413" i="14" s="1"/>
  <c r="AB412" i="14"/>
  <c r="AD411" i="14"/>
  <c r="AR411" i="14" s="1"/>
  <c r="AD410" i="14"/>
  <c r="AR410" i="14" s="1"/>
  <c r="AD409" i="14"/>
  <c r="AR409" i="14" s="1"/>
  <c r="AD408" i="14"/>
  <c r="AR408" i="14" s="1"/>
  <c r="AP401" i="14"/>
  <c r="AO401" i="14"/>
  <c r="AN401" i="14"/>
  <c r="AM401" i="14"/>
  <c r="AI401" i="14"/>
  <c r="AH401" i="14"/>
  <c r="AG401" i="14"/>
  <c r="AF401" i="14"/>
  <c r="AE401" i="14"/>
  <c r="AD400" i="14"/>
  <c r="AR400" i="14" s="1"/>
  <c r="AD397" i="14"/>
  <c r="AR397" i="14" s="1"/>
  <c r="AD396" i="14"/>
  <c r="AR396" i="14" s="1"/>
  <c r="AP392" i="14"/>
  <c r="AP403" i="14" s="1"/>
  <c r="AN392" i="14"/>
  <c r="AM392" i="14"/>
  <c r="AI392" i="14"/>
  <c r="AH392" i="14"/>
  <c r="AG392" i="14"/>
  <c r="AF392" i="14"/>
  <c r="AE392" i="14"/>
  <c r="Z391" i="14"/>
  <c r="AD390" i="14"/>
  <c r="Z390" i="14"/>
  <c r="AD388" i="14"/>
  <c r="Y388" i="14"/>
  <c r="Y392" i="14" s="1"/>
  <c r="Y403" i="14" s="1"/>
  <c r="AB387" i="14"/>
  <c r="AD386" i="14"/>
  <c r="AR386" i="14" s="1"/>
  <c r="AD385" i="14"/>
  <c r="AP376" i="14"/>
  <c r="AO376" i="14"/>
  <c r="AN376" i="14"/>
  <c r="AM376" i="14"/>
  <c r="AI376" i="14"/>
  <c r="AH376" i="14"/>
  <c r="AG376" i="14"/>
  <c r="AF376" i="14"/>
  <c r="AE376" i="14"/>
  <c r="AB376" i="14"/>
  <c r="Z376" i="14"/>
  <c r="Y376" i="14"/>
  <c r="AD375" i="14"/>
  <c r="AR375" i="14" s="1"/>
  <c r="AD371" i="14"/>
  <c r="AR371" i="14" s="1"/>
  <c r="AD370" i="14"/>
  <c r="AD365" i="14"/>
  <c r="AP357" i="14"/>
  <c r="AO357" i="14"/>
  <c r="AN357" i="14"/>
  <c r="AM357" i="14"/>
  <c r="AI357" i="14"/>
  <c r="AH357" i="14"/>
  <c r="AG357" i="14"/>
  <c r="AF357" i="14"/>
  <c r="AE357" i="14"/>
  <c r="AD354" i="14"/>
  <c r="AD353" i="14"/>
  <c r="AP350" i="14"/>
  <c r="AN350" i="14"/>
  <c r="AM350" i="14"/>
  <c r="AI350" i="14"/>
  <c r="AH350" i="14"/>
  <c r="AG350" i="14"/>
  <c r="AF350" i="14"/>
  <c r="AE350" i="14"/>
  <c r="Y350" i="14"/>
  <c r="Y359" i="14" s="1"/>
  <c r="Z349" i="14"/>
  <c r="AD348" i="14"/>
  <c r="Z348" i="14"/>
  <c r="AD346" i="14"/>
  <c r="AD345" i="14"/>
  <c r="AR345" i="14" s="1"/>
  <c r="AB343" i="14"/>
  <c r="AD341" i="14"/>
  <c r="AB340" i="14"/>
  <c r="AE333" i="14"/>
  <c r="AB333" i="14"/>
  <c r="Z333" i="14"/>
  <c r="Y333" i="14"/>
  <c r="AP329" i="14"/>
  <c r="AP335" i="14" s="1"/>
  <c r="AN329" i="14"/>
  <c r="AN335" i="14" s="1"/>
  <c r="AM329" i="14"/>
  <c r="AM335" i="14" s="1"/>
  <c r="AI329" i="14"/>
  <c r="AI335" i="14" s="1"/>
  <c r="AH329" i="14"/>
  <c r="AH335" i="14" s="1"/>
  <c r="AG329" i="14"/>
  <c r="AG335" i="14" s="1"/>
  <c r="AF329" i="14"/>
  <c r="AF335" i="14" s="1"/>
  <c r="AE329" i="14"/>
  <c r="Y329" i="14"/>
  <c r="Z328" i="14"/>
  <c r="AD327" i="14"/>
  <c r="Z327" i="14"/>
  <c r="AD324" i="14"/>
  <c r="AR324" i="14" s="1"/>
  <c r="AB323" i="14"/>
  <c r="AB322" i="14"/>
  <c r="AD313" i="14"/>
  <c r="AR313" i="14" s="1"/>
  <c r="AD306" i="14"/>
  <c r="AB305" i="14"/>
  <c r="Z304" i="14"/>
  <c r="AD303" i="14"/>
  <c r="Z303" i="14"/>
  <c r="AB299" i="14"/>
  <c r="AB298" i="14"/>
  <c r="AB291" i="14"/>
  <c r="Z291" i="14"/>
  <c r="Y291" i="14"/>
  <c r="Z286" i="14"/>
  <c r="AD285" i="14"/>
  <c r="Z285" i="14"/>
  <c r="AD284" i="14"/>
  <c r="AR284" i="14" s="1"/>
  <c r="Y283" i="14"/>
  <c r="Y287" i="14" s="1"/>
  <c r="AD275" i="14"/>
  <c r="AR275" i="14" s="1"/>
  <c r="AB274" i="14"/>
  <c r="AB276" i="14" s="1"/>
  <c r="AD273" i="14"/>
  <c r="AR273" i="14" s="1"/>
  <c r="Z268" i="14"/>
  <c r="AD267" i="14"/>
  <c r="Z267" i="14"/>
  <c r="AD265" i="14"/>
  <c r="AR265" i="14" s="1"/>
  <c r="AB264" i="14"/>
  <c r="AB263" i="14"/>
  <c r="AB262" i="14"/>
  <c r="AP255" i="14"/>
  <c r="AO255" i="14"/>
  <c r="AN255" i="14"/>
  <c r="AM255" i="14"/>
  <c r="AI255" i="14"/>
  <c r="AH255" i="14"/>
  <c r="AG255" i="14"/>
  <c r="AF255" i="14"/>
  <c r="AE255" i="14"/>
  <c r="AB255" i="14"/>
  <c r="Z255" i="14"/>
  <c r="AD254" i="14"/>
  <c r="AR254" i="14" s="1"/>
  <c r="AD253" i="14"/>
  <c r="AR253" i="14" s="1"/>
  <c r="AP249" i="14"/>
  <c r="AN249" i="14"/>
  <c r="AN257" i="14" s="1"/>
  <c r="AM249" i="14"/>
  <c r="AM257" i="14" s="1"/>
  <c r="AI249" i="14"/>
  <c r="AI257" i="14" s="1"/>
  <c r="AH249" i="14"/>
  <c r="AH257" i="14" s="1"/>
  <c r="AG249" i="14"/>
  <c r="AG257" i="14" s="1"/>
  <c r="AF249" i="14"/>
  <c r="AF257" i="14" s="1"/>
  <c r="AE249" i="14"/>
  <c r="AE257" i="14" s="1"/>
  <c r="Y249" i="14"/>
  <c r="Y257" i="14" s="1"/>
  <c r="Z248" i="14"/>
  <c r="AD247" i="14"/>
  <c r="Z247" i="14"/>
  <c r="AD246" i="14"/>
  <c r="AR246" i="14" s="1"/>
  <c r="AD245" i="14"/>
  <c r="AR245" i="14" s="1"/>
  <c r="AB244" i="14"/>
  <c r="AB243" i="14"/>
  <c r="AB242" i="14"/>
  <c r="AB241" i="14"/>
  <c r="AD233" i="14"/>
  <c r="AD232" i="14"/>
  <c r="AR232" i="14" s="1"/>
  <c r="AD231" i="14"/>
  <c r="AB229" i="14"/>
  <c r="AB234" i="14" s="1"/>
  <c r="AD228" i="14"/>
  <c r="AP224" i="14"/>
  <c r="AP236" i="14" s="1"/>
  <c r="AN224" i="14"/>
  <c r="AN236" i="14" s="1"/>
  <c r="AM224" i="14"/>
  <c r="AM236" i="14" s="1"/>
  <c r="AI224" i="14"/>
  <c r="AI236" i="14" s="1"/>
  <c r="AH224" i="14"/>
  <c r="AH236" i="14" s="1"/>
  <c r="AG224" i="14"/>
  <c r="AG236" i="14" s="1"/>
  <c r="AF224" i="14"/>
  <c r="AF236" i="14" s="1"/>
  <c r="AE224" i="14"/>
  <c r="AB224" i="14"/>
  <c r="Y224" i="14"/>
  <c r="Y236" i="14" s="1"/>
  <c r="Z223" i="14"/>
  <c r="AD222" i="14"/>
  <c r="Z222" i="14"/>
  <c r="AD220" i="14"/>
  <c r="AD212" i="14"/>
  <c r="AR212" i="14" s="1"/>
  <c r="AD211" i="14"/>
  <c r="AR211" i="14" s="1"/>
  <c r="AD210" i="14"/>
  <c r="AR210" i="14" s="1"/>
  <c r="Z205" i="14"/>
  <c r="Z215" i="14" s="1"/>
  <c r="Y205" i="14"/>
  <c r="Y215" i="14" s="1"/>
  <c r="AD203" i="14"/>
  <c r="AB201" i="14"/>
  <c r="AR200" i="14"/>
  <c r="AR199" i="14"/>
  <c r="AR198" i="14"/>
  <c r="AR197" i="14"/>
  <c r="AR196" i="14"/>
  <c r="AR195" i="14"/>
  <c r="AD194" i="14"/>
  <c r="AD185" i="14"/>
  <c r="AR185" i="14" s="1"/>
  <c r="AD181" i="14"/>
  <c r="AR181" i="14" s="1"/>
  <c r="AD180" i="14"/>
  <c r="AR180" i="14" s="1"/>
  <c r="AD179" i="14"/>
  <c r="AP175" i="14"/>
  <c r="AP188" i="14" s="1"/>
  <c r="AN175" i="14"/>
  <c r="AN188" i="14" s="1"/>
  <c r="AM175" i="14"/>
  <c r="AM188" i="14" s="1"/>
  <c r="AI175" i="14"/>
  <c r="AI188" i="14" s="1"/>
  <c r="AH175" i="14"/>
  <c r="AH188" i="14" s="1"/>
  <c r="AG175" i="14"/>
  <c r="AG188" i="14" s="1"/>
  <c r="AF175" i="14"/>
  <c r="AF188" i="14" s="1"/>
  <c r="AE175" i="14"/>
  <c r="AE188" i="14" s="1"/>
  <c r="Y175" i="14"/>
  <c r="Y188" i="14" s="1"/>
  <c r="AB174" i="14"/>
  <c r="Z173" i="14"/>
  <c r="AD172" i="14"/>
  <c r="AD171" i="14"/>
  <c r="AR171" i="14" s="1"/>
  <c r="AB166" i="14"/>
  <c r="Z159" i="14"/>
  <c r="Y159" i="14"/>
  <c r="AB156" i="14"/>
  <c r="AB157" i="14" s="1"/>
  <c r="AD148" i="14"/>
  <c r="AR148" i="14" s="1"/>
  <c r="AD147" i="14"/>
  <c r="AD143" i="14"/>
  <c r="AR143" i="14" s="1"/>
  <c r="AD142" i="14"/>
  <c r="AR142" i="14" s="1"/>
  <c r="Z136" i="14"/>
  <c r="Y136" i="14"/>
  <c r="AD126" i="14"/>
  <c r="AD133" i="14"/>
  <c r="AB129" i="14"/>
  <c r="AB130" i="14" s="1"/>
  <c r="Z115" i="14"/>
  <c r="Z114" i="14"/>
  <c r="AB104" i="14"/>
  <c r="Z104" i="14"/>
  <c r="Y104" i="14"/>
  <c r="AD99" i="14"/>
  <c r="Z97" i="14"/>
  <c r="AD96" i="14"/>
  <c r="AB94" i="14"/>
  <c r="AB100" i="14" s="1"/>
  <c r="AD86" i="14"/>
  <c r="AR86" i="14" s="1"/>
  <c r="AD85" i="14"/>
  <c r="AD79" i="14"/>
  <c r="Z81" i="14"/>
  <c r="AD80" i="14"/>
  <c r="Z80" i="14"/>
  <c r="AD78" i="14"/>
  <c r="Y78" i="14"/>
  <c r="Y82" i="14" s="1"/>
  <c r="AD77" i="14"/>
  <c r="AD69" i="14"/>
  <c r="AD68" i="14"/>
  <c r="AR68" i="14" s="1"/>
  <c r="AD67" i="14"/>
  <c r="AD65" i="14"/>
  <c r="AR65" i="14" s="1"/>
  <c r="AD57" i="14"/>
  <c r="AR57" i="14" s="1"/>
  <c r="AD59" i="14"/>
  <c r="AR59" i="14" s="1"/>
  <c r="AB58" i="14"/>
  <c r="AB55" i="14"/>
  <c r="AD54" i="14"/>
  <c r="AR54" i="14" s="1"/>
  <c r="AD53" i="14"/>
  <c r="AB52" i="14"/>
  <c r="Z52" i="14"/>
  <c r="Z61" i="14" s="1"/>
  <c r="Z72" i="14" s="1"/>
  <c r="Y52" i="14"/>
  <c r="Y61" i="14" s="1"/>
  <c r="Y72" i="14" s="1"/>
  <c r="AD44" i="14"/>
  <c r="AR44" i="14" s="1"/>
  <c r="Y40" i="14"/>
  <c r="Y47" i="14" s="1"/>
  <c r="Z39" i="14"/>
  <c r="Z40" i="14" s="1"/>
  <c r="Z47" i="14" s="1"/>
  <c r="AD38" i="14"/>
  <c r="AR38" i="14" s="1"/>
  <c r="AD37" i="14"/>
  <c r="AD36" i="14"/>
  <c r="AB40" i="14"/>
  <c r="AB47" i="14" s="1"/>
  <c r="AB27" i="14"/>
  <c r="Z27" i="14"/>
  <c r="Y27" i="14"/>
  <c r="AD26" i="14"/>
  <c r="AD19" i="14"/>
  <c r="Z19" i="14"/>
  <c r="AD18" i="14"/>
  <c r="Y18" i="14"/>
  <c r="AD17" i="14"/>
  <c r="Y17" i="14"/>
  <c r="AD16" i="14"/>
  <c r="Y16" i="14"/>
  <c r="AD15" i="14"/>
  <c r="AD14" i="14"/>
  <c r="Y14" i="14"/>
  <c r="AD13" i="14"/>
  <c r="AD12" i="14"/>
  <c r="AR12" i="14" s="1"/>
  <c r="AD11" i="14"/>
  <c r="AD10" i="14"/>
  <c r="AB9" i="14"/>
  <c r="F16" i="23"/>
  <c r="D7" i="21" s="1"/>
  <c r="D18" i="21" s="1"/>
  <c r="E15" i="23"/>
  <c r="C15" i="23"/>
  <c r="B15" i="23"/>
  <c r="K15" i="23" s="1"/>
  <c r="E14" i="23"/>
  <c r="C14" i="23"/>
  <c r="B14" i="23"/>
  <c r="J14" i="23" s="1"/>
  <c r="E13" i="23"/>
  <c r="C13" i="23"/>
  <c r="B13" i="23"/>
  <c r="K13" i="23" s="1"/>
  <c r="E12" i="23"/>
  <c r="C12" i="23"/>
  <c r="B12" i="23"/>
  <c r="J12" i="23" s="1"/>
  <c r="E11" i="23"/>
  <c r="C11" i="23"/>
  <c r="B11" i="23"/>
  <c r="K11" i="23" s="1"/>
  <c r="B20" i="22"/>
  <c r="H20" i="22" s="1"/>
  <c r="B19" i="22"/>
  <c r="J19" i="22" s="1"/>
  <c r="B18" i="22"/>
  <c r="F18" i="22" s="1"/>
  <c r="B17" i="22"/>
  <c r="J17" i="22" s="1"/>
  <c r="B16" i="22"/>
  <c r="F16" i="22" s="1"/>
  <c r="B15" i="22"/>
  <c r="J15" i="22" s="1"/>
  <c r="B14" i="22"/>
  <c r="F14" i="22" s="1"/>
  <c r="B13" i="22"/>
  <c r="J13" i="22" s="1"/>
  <c r="B12" i="22"/>
  <c r="H12" i="22" s="1"/>
  <c r="B11" i="22"/>
  <c r="J11" i="22" s="1"/>
  <c r="B10" i="22"/>
  <c r="H10" i="22" s="1"/>
  <c r="L17" i="21"/>
  <c r="G17" i="21"/>
  <c r="P16" i="21"/>
  <c r="L16" i="21"/>
  <c r="J16" i="21"/>
  <c r="I16" i="21"/>
  <c r="E16" i="21"/>
  <c r="L15" i="21"/>
  <c r="I15" i="21"/>
  <c r="E15" i="21"/>
  <c r="G15" i="21" s="1"/>
  <c r="P14" i="21"/>
  <c r="L14" i="21"/>
  <c r="J14" i="21"/>
  <c r="I14" i="21"/>
  <c r="E14" i="21"/>
  <c r="P13" i="21"/>
  <c r="L13" i="21"/>
  <c r="J13" i="21"/>
  <c r="I13" i="21"/>
  <c r="E13" i="21"/>
  <c r="G13" i="21" s="1"/>
  <c r="P12" i="21"/>
  <c r="L12" i="21"/>
  <c r="J12" i="21"/>
  <c r="I12" i="21"/>
  <c r="E12" i="21"/>
  <c r="P11" i="21"/>
  <c r="L11" i="21"/>
  <c r="J11" i="21"/>
  <c r="I11" i="21"/>
  <c r="E11" i="21"/>
  <c r="G11" i="21" s="1"/>
  <c r="P10" i="21"/>
  <c r="L10" i="21"/>
  <c r="J10" i="21"/>
  <c r="I10" i="21"/>
  <c r="E10" i="21"/>
  <c r="P9" i="21"/>
  <c r="L9" i="21"/>
  <c r="J9" i="21"/>
  <c r="I9" i="21"/>
  <c r="E9" i="21"/>
  <c r="G9" i="21" s="1"/>
  <c r="P8" i="21"/>
  <c r="L8" i="21"/>
  <c r="J8" i="21"/>
  <c r="I8" i="21"/>
  <c r="E8" i="21"/>
  <c r="P7" i="21"/>
  <c r="L7" i="21"/>
  <c r="J7" i="21"/>
  <c r="I7" i="21"/>
  <c r="E7" i="21"/>
  <c r="M10" i="51"/>
  <c r="K10" i="51"/>
  <c r="I10" i="51"/>
  <c r="G10" i="51"/>
  <c r="P10" i="51" s="1"/>
  <c r="F10" i="51"/>
  <c r="D10" i="51"/>
  <c r="C10" i="51"/>
  <c r="M9" i="51"/>
  <c r="K9" i="51"/>
  <c r="I9" i="51"/>
  <c r="G9" i="51"/>
  <c r="P9" i="51" s="1"/>
  <c r="F9" i="51"/>
  <c r="D9" i="51"/>
  <c r="C9" i="51"/>
  <c r="M8" i="51"/>
  <c r="K8" i="51"/>
  <c r="I8" i="51"/>
  <c r="G8" i="51"/>
  <c r="P8" i="51" s="1"/>
  <c r="F8" i="51"/>
  <c r="D8" i="51"/>
  <c r="C8" i="51"/>
  <c r="M7" i="51"/>
  <c r="K7" i="51"/>
  <c r="I7" i="51"/>
  <c r="G7" i="51"/>
  <c r="P7" i="51" s="1"/>
  <c r="F7" i="51"/>
  <c r="D7" i="51"/>
  <c r="C7" i="51"/>
  <c r="M6" i="51"/>
  <c r="K6" i="51"/>
  <c r="I6" i="51"/>
  <c r="G6" i="51"/>
  <c r="P6" i="51" s="1"/>
  <c r="F6" i="51"/>
  <c r="D6" i="51"/>
  <c r="C6" i="51"/>
  <c r="M15" i="50"/>
  <c r="K15" i="50"/>
  <c r="I15" i="50"/>
  <c r="G15" i="50"/>
  <c r="P15" i="50" s="1"/>
  <c r="F15" i="50"/>
  <c r="D15" i="50"/>
  <c r="C15" i="50"/>
  <c r="M14" i="50"/>
  <c r="K14" i="50"/>
  <c r="I14" i="50"/>
  <c r="G14" i="50"/>
  <c r="P14" i="50" s="1"/>
  <c r="F14" i="50"/>
  <c r="D14" i="50"/>
  <c r="C14" i="50"/>
  <c r="M13" i="50"/>
  <c r="K13" i="50"/>
  <c r="I13" i="50"/>
  <c r="G13" i="50"/>
  <c r="P13" i="50" s="1"/>
  <c r="F13" i="50"/>
  <c r="D13" i="50"/>
  <c r="C13" i="50"/>
  <c r="M12" i="50"/>
  <c r="K12" i="50"/>
  <c r="I12" i="50"/>
  <c r="G12" i="50"/>
  <c r="P12" i="50" s="1"/>
  <c r="F12" i="50"/>
  <c r="D12" i="50"/>
  <c r="C12" i="50"/>
  <c r="M11" i="50"/>
  <c r="K11" i="50"/>
  <c r="I11" i="50"/>
  <c r="G11" i="50"/>
  <c r="P11" i="50" s="1"/>
  <c r="F11" i="50"/>
  <c r="D11" i="50"/>
  <c r="C11" i="50"/>
  <c r="M10" i="50"/>
  <c r="K10" i="50"/>
  <c r="I10" i="50"/>
  <c r="G10" i="50"/>
  <c r="P10" i="50" s="1"/>
  <c r="F10" i="50"/>
  <c r="D10" i="50"/>
  <c r="C10" i="50"/>
  <c r="M9" i="50"/>
  <c r="K9" i="50"/>
  <c r="I9" i="50"/>
  <c r="G9" i="50"/>
  <c r="P9" i="50" s="1"/>
  <c r="F9" i="50"/>
  <c r="D9" i="50"/>
  <c r="C9" i="50"/>
  <c r="M8" i="50"/>
  <c r="K8" i="50"/>
  <c r="I8" i="50"/>
  <c r="G8" i="50"/>
  <c r="P8" i="50" s="1"/>
  <c r="F8" i="50"/>
  <c r="D8" i="50"/>
  <c r="C8" i="50"/>
  <c r="M7" i="50"/>
  <c r="K7" i="50"/>
  <c r="I7" i="50"/>
  <c r="G7" i="50"/>
  <c r="P7" i="50" s="1"/>
  <c r="F7" i="50"/>
  <c r="D7" i="50"/>
  <c r="C7" i="50"/>
  <c r="M6" i="50"/>
  <c r="K6" i="50"/>
  <c r="I6" i="50"/>
  <c r="G6" i="50"/>
  <c r="P6" i="50" s="1"/>
  <c r="F6" i="50"/>
  <c r="D6" i="50"/>
  <c r="C6" i="50"/>
  <c r="M5" i="50"/>
  <c r="K5" i="50"/>
  <c r="I5" i="50"/>
  <c r="G5" i="50"/>
  <c r="P5" i="50" s="1"/>
  <c r="F5" i="50"/>
  <c r="D5" i="50"/>
  <c r="C5" i="50"/>
  <c r="M14" i="49"/>
  <c r="K14" i="49"/>
  <c r="I14" i="49"/>
  <c r="G14" i="49"/>
  <c r="P14" i="49" s="1"/>
  <c r="F14" i="49"/>
  <c r="D14" i="49"/>
  <c r="C14" i="49"/>
  <c r="M13" i="49"/>
  <c r="K13" i="49"/>
  <c r="I13" i="49"/>
  <c r="G13" i="49"/>
  <c r="P13" i="49" s="1"/>
  <c r="F13" i="49"/>
  <c r="D13" i="49"/>
  <c r="C13" i="49"/>
  <c r="M12" i="49"/>
  <c r="K12" i="49"/>
  <c r="I12" i="49"/>
  <c r="G12" i="49"/>
  <c r="P12" i="49" s="1"/>
  <c r="F12" i="49"/>
  <c r="D12" i="49"/>
  <c r="C12" i="49"/>
  <c r="M11" i="49"/>
  <c r="K11" i="49"/>
  <c r="I11" i="49"/>
  <c r="G11" i="49"/>
  <c r="P11" i="49" s="1"/>
  <c r="F11" i="49"/>
  <c r="D11" i="49"/>
  <c r="C11" i="49"/>
  <c r="M10" i="49"/>
  <c r="K10" i="49"/>
  <c r="I10" i="49"/>
  <c r="G10" i="49"/>
  <c r="P10" i="49" s="1"/>
  <c r="F10" i="49"/>
  <c r="D10" i="49"/>
  <c r="C10" i="49"/>
  <c r="M9" i="49"/>
  <c r="K9" i="49"/>
  <c r="I9" i="49"/>
  <c r="G9" i="49"/>
  <c r="P9" i="49" s="1"/>
  <c r="F9" i="49"/>
  <c r="D9" i="49"/>
  <c r="C9" i="49"/>
  <c r="M8" i="49"/>
  <c r="K8" i="49"/>
  <c r="I8" i="49"/>
  <c r="G8" i="49"/>
  <c r="P8" i="49" s="1"/>
  <c r="F8" i="49"/>
  <c r="D8" i="49"/>
  <c r="C8" i="49"/>
  <c r="M7" i="49"/>
  <c r="K7" i="49"/>
  <c r="I7" i="49"/>
  <c r="G7" i="49"/>
  <c r="P7" i="49" s="1"/>
  <c r="F7" i="49"/>
  <c r="D7" i="49"/>
  <c r="C7" i="49"/>
  <c r="M6" i="49"/>
  <c r="K6" i="49"/>
  <c r="I6" i="49"/>
  <c r="G6" i="49"/>
  <c r="P6" i="49" s="1"/>
  <c r="F6" i="49"/>
  <c r="D6" i="49"/>
  <c r="C6" i="49"/>
  <c r="M5" i="49"/>
  <c r="K5" i="49"/>
  <c r="I5" i="49"/>
  <c r="G5" i="49"/>
  <c r="P5" i="49" s="1"/>
  <c r="F5" i="49"/>
  <c r="D5" i="49"/>
  <c r="C5" i="49"/>
  <c r="M12" i="47"/>
  <c r="K12" i="47"/>
  <c r="I12" i="47"/>
  <c r="G12" i="47"/>
  <c r="P12" i="47" s="1"/>
  <c r="F12" i="47"/>
  <c r="D12" i="47"/>
  <c r="C12" i="47"/>
  <c r="M11" i="47"/>
  <c r="K11" i="47"/>
  <c r="I11" i="47"/>
  <c r="G11" i="47"/>
  <c r="P11" i="47" s="1"/>
  <c r="F11" i="47"/>
  <c r="D11" i="47"/>
  <c r="C11" i="47"/>
  <c r="M10" i="47"/>
  <c r="K10" i="47"/>
  <c r="I10" i="47"/>
  <c r="G10" i="47"/>
  <c r="P10" i="47" s="1"/>
  <c r="F10" i="47"/>
  <c r="D10" i="47"/>
  <c r="C10" i="47"/>
  <c r="M9" i="47"/>
  <c r="K9" i="47"/>
  <c r="I9" i="47"/>
  <c r="G9" i="47"/>
  <c r="P9" i="47" s="1"/>
  <c r="F9" i="47"/>
  <c r="D9" i="47"/>
  <c r="C9" i="47"/>
  <c r="M8" i="47"/>
  <c r="K8" i="47"/>
  <c r="I8" i="47"/>
  <c r="G8" i="47"/>
  <c r="P8" i="47" s="1"/>
  <c r="F8" i="47"/>
  <c r="D8" i="47"/>
  <c r="C8" i="47"/>
  <c r="M7" i="47"/>
  <c r="K7" i="47"/>
  <c r="I7" i="47"/>
  <c r="G7" i="47"/>
  <c r="P7" i="47" s="1"/>
  <c r="F7" i="47"/>
  <c r="D7" i="47"/>
  <c r="C7" i="47"/>
  <c r="M6" i="47"/>
  <c r="K6" i="47"/>
  <c r="I6" i="47"/>
  <c r="G6" i="47"/>
  <c r="P6" i="47" s="1"/>
  <c r="F6" i="47"/>
  <c r="D6" i="47"/>
  <c r="C6" i="47"/>
  <c r="M5" i="47"/>
  <c r="K5" i="47"/>
  <c r="I5" i="47"/>
  <c r="G5" i="47"/>
  <c r="P5" i="47" s="1"/>
  <c r="F5" i="47"/>
  <c r="D5" i="47"/>
  <c r="C5" i="47"/>
  <c r="L12" i="18"/>
  <c r="J12" i="18"/>
  <c r="H12" i="18"/>
  <c r="F12" i="18"/>
  <c r="O12" i="18" s="1"/>
  <c r="E12" i="18"/>
  <c r="C12" i="18"/>
  <c r="L11" i="18"/>
  <c r="J11" i="18"/>
  <c r="H11" i="18"/>
  <c r="F11" i="18"/>
  <c r="O11" i="18" s="1"/>
  <c r="E11" i="18"/>
  <c r="C11" i="18"/>
  <c r="L10" i="18"/>
  <c r="J10" i="18"/>
  <c r="H10" i="18"/>
  <c r="F10" i="18"/>
  <c r="O10" i="18" s="1"/>
  <c r="E10" i="18"/>
  <c r="C10" i="18"/>
  <c r="L9" i="18"/>
  <c r="J9" i="18"/>
  <c r="H9" i="18"/>
  <c r="F9" i="18"/>
  <c r="O9" i="18" s="1"/>
  <c r="E9" i="18"/>
  <c r="C9" i="18"/>
  <c r="L8" i="18"/>
  <c r="J8" i="18"/>
  <c r="H8" i="18"/>
  <c r="F8" i="18"/>
  <c r="O8" i="18" s="1"/>
  <c r="E8" i="18"/>
  <c r="C8" i="18"/>
  <c r="L7" i="18"/>
  <c r="J7" i="18"/>
  <c r="H7" i="18"/>
  <c r="F7" i="18"/>
  <c r="O7" i="18" s="1"/>
  <c r="E7" i="18"/>
  <c r="C7" i="18"/>
  <c r="C48" i="20"/>
  <c r="C47" i="20"/>
  <c r="C46" i="20"/>
  <c r="D45" i="20"/>
  <c r="C45" i="20"/>
  <c r="D40" i="19"/>
  <c r="E37" i="19"/>
  <c r="E38" i="19" s="1"/>
  <c r="F4" i="39"/>
  <c r="Z309" i="14" l="1"/>
  <c r="Z82" i="14"/>
  <c r="Z579" i="14"/>
  <c r="Z586" i="14" s="1"/>
  <c r="Z719" i="14"/>
  <c r="Z733" i="14" s="1"/>
  <c r="Z496" i="14"/>
  <c r="Z498" i="14" s="1"/>
  <c r="AB309" i="14"/>
  <c r="AF317" i="14"/>
  <c r="AM317" i="14"/>
  <c r="AG317" i="14"/>
  <c r="AN317" i="14"/>
  <c r="Y317" i="14"/>
  <c r="AH317" i="14"/>
  <c r="AP317" i="14"/>
  <c r="AE317" i="14"/>
  <c r="AI317" i="14"/>
  <c r="AR133" i="14"/>
  <c r="AD134" i="14"/>
  <c r="AR126" i="14"/>
  <c r="AR85" i="14"/>
  <c r="AD87" i="14"/>
  <c r="W333" i="38"/>
  <c r="Y281" i="38"/>
  <c r="Y286" i="38" s="1"/>
  <c r="W286" i="38"/>
  <c r="W288" i="38" s="1"/>
  <c r="W42" i="38"/>
  <c r="W44" i="38" s="1"/>
  <c r="W298" i="38"/>
  <c r="W300" i="38" s="1"/>
  <c r="W343" i="38"/>
  <c r="W264" i="38"/>
  <c r="W266" i="38" s="1"/>
  <c r="W113" i="38"/>
  <c r="W324" i="38"/>
  <c r="W326" i="38" s="1"/>
  <c r="W244" i="38"/>
  <c r="W246" i="38" s="1"/>
  <c r="W21" i="38"/>
  <c r="W23" i="38" s="1"/>
  <c r="W275" i="38"/>
  <c r="W277" i="38" s="1"/>
  <c r="Y48" i="38"/>
  <c r="W53" i="38"/>
  <c r="W77" i="38"/>
  <c r="W79" i="38" s="1"/>
  <c r="Y59" i="38"/>
  <c r="Y65" i="38" s="1"/>
  <c r="W65" i="38"/>
  <c r="W67" i="38" s="1"/>
  <c r="AC415" i="14"/>
  <c r="AO416" i="14"/>
  <c r="AO426" i="14" s="1"/>
  <c r="P16" i="50"/>
  <c r="P15" i="49"/>
  <c r="AM906" i="14"/>
  <c r="AG906" i="14"/>
  <c r="AN906" i="14"/>
  <c r="AE359" i="14"/>
  <c r="AP586" i="14"/>
  <c r="AG624" i="14"/>
  <c r="AN624" i="14"/>
  <c r="AP665" i="14"/>
  <c r="P13" i="47"/>
  <c r="AF642" i="14"/>
  <c r="AM642" i="14"/>
  <c r="AE586" i="14"/>
  <c r="AI586" i="14"/>
  <c r="AE665" i="14"/>
  <c r="AI665" i="14"/>
  <c r="AO449" i="14"/>
  <c r="AG378" i="14"/>
  <c r="AF359" i="14"/>
  <c r="AM359" i="14"/>
  <c r="AH624" i="14"/>
  <c r="AN378" i="14"/>
  <c r="AF465" i="14"/>
  <c r="AM465" i="14"/>
  <c r="AC128" i="14"/>
  <c r="AO136" i="14"/>
  <c r="AP257" i="14"/>
  <c r="AF586" i="14"/>
  <c r="AM586" i="14"/>
  <c r="AF665" i="14"/>
  <c r="AM665" i="14"/>
  <c r="AC204" i="14"/>
  <c r="AD204" i="14" s="1"/>
  <c r="AR204" i="14" s="1"/>
  <c r="AO205" i="14"/>
  <c r="AD910" i="14"/>
  <c r="AI359" i="14"/>
  <c r="AF403" i="14"/>
  <c r="AM403" i="14"/>
  <c r="AH586" i="14"/>
  <c r="AH665" i="14"/>
  <c r="AH403" i="14"/>
  <c r="AE378" i="14"/>
  <c r="AI378" i="14"/>
  <c r="AH642" i="14"/>
  <c r="AP378" i="14"/>
  <c r="AH378" i="14"/>
  <c r="AO378" i="14"/>
  <c r="AG403" i="14"/>
  <c r="AG465" i="14"/>
  <c r="AN465" i="14"/>
  <c r="AP624" i="14"/>
  <c r="AG642" i="14"/>
  <c r="AN642" i="14"/>
  <c r="AE624" i="14"/>
  <c r="AI624" i="14"/>
  <c r="AN403" i="14"/>
  <c r="AG359" i="14"/>
  <c r="AN359" i="14"/>
  <c r="AH465" i="14"/>
  <c r="AE335" i="14"/>
  <c r="AH359" i="14"/>
  <c r="AP359" i="14"/>
  <c r="AF378" i="14"/>
  <c r="AM378" i="14"/>
  <c r="AE403" i="14"/>
  <c r="AI403" i="14"/>
  <c r="AE465" i="14"/>
  <c r="AI465" i="14"/>
  <c r="AG586" i="14"/>
  <c r="AN586" i="14"/>
  <c r="AF624" i="14"/>
  <c r="AM624" i="14"/>
  <c r="AI642" i="14"/>
  <c r="AG665" i="14"/>
  <c r="AN665" i="14"/>
  <c r="AE236" i="14"/>
  <c r="AH906" i="14"/>
  <c r="AR231" i="14"/>
  <c r="AB465" i="14"/>
  <c r="AB665" i="14"/>
  <c r="AF906" i="14"/>
  <c r="AP906" i="14"/>
  <c r="AE906" i="14"/>
  <c r="AI906" i="14"/>
  <c r="AO906" i="14"/>
  <c r="AR881" i="14"/>
  <c r="AB642" i="14"/>
  <c r="Z378" i="14"/>
  <c r="Z604" i="14"/>
  <c r="Y335" i="14"/>
  <c r="Y465" i="14"/>
  <c r="Y449" i="14"/>
  <c r="Y378" i="14"/>
  <c r="AR353" i="14"/>
  <c r="Y293" i="14"/>
  <c r="AB136" i="14"/>
  <c r="AB236" i="14"/>
  <c r="AB159" i="14"/>
  <c r="Y106" i="14"/>
  <c r="AB89" i="14"/>
  <c r="W254" i="38"/>
  <c r="W256" i="38" s="1"/>
  <c r="W126" i="38"/>
  <c r="W128" i="38" s="1"/>
  <c r="W137" i="38"/>
  <c r="W139" i="38" s="1"/>
  <c r="I128" i="38"/>
  <c r="I186" i="38" s="1"/>
  <c r="W115" i="38"/>
  <c r="W172" i="38"/>
  <c r="W174" i="38" s="1"/>
  <c r="W160" i="38"/>
  <c r="W162" i="38" s="1"/>
  <c r="W219" i="38"/>
  <c r="W221" i="38" s="1"/>
  <c r="Y306" i="38"/>
  <c r="Y312" i="38" s="1"/>
  <c r="Y314" i="38" s="1"/>
  <c r="W312" i="38"/>
  <c r="W314" i="38" s="1"/>
  <c r="AC876" i="14"/>
  <c r="AC906" i="14" s="1"/>
  <c r="AB350" i="14"/>
  <c r="AB359" i="14" s="1"/>
  <c r="Z557" i="14"/>
  <c r="Z564" i="14" s="1"/>
  <c r="AB392" i="14"/>
  <c r="AB403" i="14" s="1"/>
  <c r="H13" i="18"/>
  <c r="E3" i="39" s="1"/>
  <c r="AC27" i="14"/>
  <c r="Z616" i="14"/>
  <c r="Z624" i="14" s="1"/>
  <c r="AC61" i="14"/>
  <c r="AC72" i="14" s="1"/>
  <c r="AC60" i="14"/>
  <c r="AC81" i="14"/>
  <c r="AC508" i="14"/>
  <c r="AD508" i="14" s="1"/>
  <c r="AC578" i="14"/>
  <c r="AO653" i="14"/>
  <c r="AC651" i="14"/>
  <c r="AD651" i="14" s="1"/>
  <c r="AO350" i="14"/>
  <c r="AC349" i="14"/>
  <c r="AD349" i="14" s="1"/>
  <c r="AC443" i="14"/>
  <c r="AC442" i="14"/>
  <c r="AD442" i="14" s="1"/>
  <c r="AR442" i="14" s="1"/>
  <c r="AC530" i="14"/>
  <c r="AC539" i="14" s="1"/>
  <c r="AC529" i="14"/>
  <c r="AD529" i="14" s="1"/>
  <c r="AO616" i="14"/>
  <c r="AC615" i="14"/>
  <c r="AD615" i="14" s="1"/>
  <c r="AC304" i="14"/>
  <c r="AC475" i="14"/>
  <c r="AD475" i="14" s="1"/>
  <c r="AR475" i="14" s="1"/>
  <c r="AC495" i="14"/>
  <c r="AC39" i="14"/>
  <c r="AD39" i="14" s="1"/>
  <c r="AR39" i="14" s="1"/>
  <c r="AC97" i="14"/>
  <c r="AC116" i="14"/>
  <c r="AC118" i="14" s="1"/>
  <c r="AC115" i="14"/>
  <c r="AD115" i="14" s="1"/>
  <c r="AC286" i="14"/>
  <c r="AD286" i="14" s="1"/>
  <c r="AO329" i="14"/>
  <c r="AC328" i="14"/>
  <c r="AD328" i="14" s="1"/>
  <c r="AO557" i="14"/>
  <c r="AC549" i="14"/>
  <c r="AD549" i="14" s="1"/>
  <c r="AC733" i="14"/>
  <c r="AC699" i="14"/>
  <c r="AC255" i="14"/>
  <c r="AC376" i="14"/>
  <c r="L15" i="50"/>
  <c r="AC291" i="14"/>
  <c r="AC447" i="14"/>
  <c r="AC622" i="14"/>
  <c r="AC640" i="14"/>
  <c r="AC104" i="14"/>
  <c r="AC514" i="14"/>
  <c r="AC663" i="14"/>
  <c r="AC333" i="14"/>
  <c r="AC463" i="14"/>
  <c r="AC692" i="14"/>
  <c r="AB269" i="14"/>
  <c r="AB278" i="14" s="1"/>
  <c r="AD560" i="14"/>
  <c r="AD268" i="14"/>
  <c r="AR268" i="14" s="1"/>
  <c r="AO269" i="14"/>
  <c r="AB116" i="14"/>
  <c r="AB118" i="14" s="1"/>
  <c r="Z269" i="14"/>
  <c r="Z278" i="14" s="1"/>
  <c r="AD123" i="14"/>
  <c r="Z116" i="14"/>
  <c r="Z118" i="14" s="1"/>
  <c r="AD340" i="14"/>
  <c r="AR340" i="14" s="1"/>
  <c r="AB61" i="14"/>
  <c r="AB72" i="14" s="1"/>
  <c r="AD169" i="14"/>
  <c r="AR169" i="14" s="1"/>
  <c r="AD52" i="14"/>
  <c r="AR52" i="14" s="1"/>
  <c r="AB106" i="14"/>
  <c r="Z249" i="14"/>
  <c r="Z257" i="14" s="1"/>
  <c r="AR267" i="14"/>
  <c r="AD274" i="14"/>
  <c r="AR274" i="14" s="1"/>
  <c r="AB378" i="14"/>
  <c r="AD156" i="14"/>
  <c r="AR156" i="14" s="1"/>
  <c r="Z392" i="14"/>
  <c r="Z403" i="14" s="1"/>
  <c r="Z674" i="14"/>
  <c r="Z683" i="14" s="1"/>
  <c r="AD823" i="14"/>
  <c r="AR823" i="14" s="1"/>
  <c r="AD141" i="14"/>
  <c r="AR507" i="14"/>
  <c r="Y6" i="38"/>
  <c r="W11" i="38"/>
  <c r="W13" i="38" s="1"/>
  <c r="Z175" i="14"/>
  <c r="Z188" i="14" s="1"/>
  <c r="Y67" i="38"/>
  <c r="W33" i="38"/>
  <c r="W35" i="38" s="1"/>
  <c r="I347" i="38"/>
  <c r="M347" i="38"/>
  <c r="R81" i="38"/>
  <c r="V186" i="38"/>
  <c r="Z96" i="14"/>
  <c r="Y144" i="38"/>
  <c r="Y148" i="38" s="1"/>
  <c r="Y150" i="38" s="1"/>
  <c r="V81" i="38"/>
  <c r="K302" i="38"/>
  <c r="X277" i="38"/>
  <c r="M302" i="38"/>
  <c r="AO224" i="14"/>
  <c r="AO236" i="14" s="1"/>
  <c r="AD223" i="14"/>
  <c r="AO459" i="14"/>
  <c r="AO465" i="14" s="1"/>
  <c r="AD458" i="14"/>
  <c r="AO635" i="14"/>
  <c r="AO642" i="14" s="1"/>
  <c r="AD634" i="14"/>
  <c r="K81" i="38"/>
  <c r="L81" i="38"/>
  <c r="AO20" i="14"/>
  <c r="AO476" i="14"/>
  <c r="AO486" i="14" s="1"/>
  <c r="AB604" i="14"/>
  <c r="J81" i="38"/>
  <c r="J186" i="38"/>
  <c r="R186" i="38"/>
  <c r="I302" i="38"/>
  <c r="U302" i="38"/>
  <c r="G7" i="21"/>
  <c r="AO173" i="14"/>
  <c r="AR247" i="14"/>
  <c r="AB287" i="14"/>
  <c r="AB293" i="14" s="1"/>
  <c r="AR390" i="14"/>
  <c r="AD431" i="14"/>
  <c r="AR431" i="14" s="1"/>
  <c r="Z509" i="14"/>
  <c r="Z516" i="14" s="1"/>
  <c r="AD523" i="14"/>
  <c r="AR523" i="14" s="1"/>
  <c r="AD619" i="14"/>
  <c r="AR619" i="14" s="1"/>
  <c r="AD804" i="14"/>
  <c r="AR804" i="14" s="1"/>
  <c r="S81" i="38"/>
  <c r="Y27" i="38"/>
  <c r="Y33" i="38" s="1"/>
  <c r="Y35" i="38" s="1"/>
  <c r="X79" i="38"/>
  <c r="K186" i="38"/>
  <c r="Y155" i="38"/>
  <c r="R302" i="38"/>
  <c r="V302" i="38"/>
  <c r="Y270" i="38"/>
  <c r="R347" i="38"/>
  <c r="V347" i="38"/>
  <c r="J13" i="18"/>
  <c r="F3" i="39" s="1"/>
  <c r="AB21" i="14"/>
  <c r="AB29" i="14" s="1"/>
  <c r="Z530" i="14"/>
  <c r="Z539" i="14" s="1"/>
  <c r="T81" i="38"/>
  <c r="T186" i="38"/>
  <c r="X115" i="38"/>
  <c r="Y121" i="38"/>
  <c r="X206" i="38"/>
  <c r="X208" i="38" s="1"/>
  <c r="Y288" i="38"/>
  <c r="K347" i="38"/>
  <c r="S347" i="38"/>
  <c r="J347" i="38"/>
  <c r="J7" i="47"/>
  <c r="L7" i="51"/>
  <c r="L8" i="51"/>
  <c r="Z20" i="14"/>
  <c r="Z21" i="14" s="1"/>
  <c r="Z29" i="14" s="1"/>
  <c r="AR172" i="14"/>
  <c r="AD522" i="14"/>
  <c r="AR522" i="14" s="1"/>
  <c r="AD743" i="14"/>
  <c r="AR743" i="14" s="1"/>
  <c r="W89" i="38"/>
  <c r="W91" i="38" s="1"/>
  <c r="W182" i="38"/>
  <c r="W184" i="38" s="1"/>
  <c r="L302" i="38"/>
  <c r="T302" i="38"/>
  <c r="Y203" i="38"/>
  <c r="Y206" i="38" s="1"/>
  <c r="Y208" i="38" s="1"/>
  <c r="Y212" i="38"/>
  <c r="L347" i="38"/>
  <c r="T347" i="38"/>
  <c r="C13" i="22"/>
  <c r="E15" i="22"/>
  <c r="H13" i="22"/>
  <c r="I11" i="22"/>
  <c r="I13" i="22"/>
  <c r="C15" i="22"/>
  <c r="H17" i="22"/>
  <c r="H18" i="22"/>
  <c r="I19" i="22"/>
  <c r="I17" i="22"/>
  <c r="C11" i="22"/>
  <c r="F12" i="22"/>
  <c r="E13" i="22"/>
  <c r="H14" i="22"/>
  <c r="I15" i="22"/>
  <c r="C17" i="22"/>
  <c r="C19" i="22"/>
  <c r="E11" i="22"/>
  <c r="E17" i="22"/>
  <c r="E19" i="22"/>
  <c r="L6" i="49"/>
  <c r="J5" i="50"/>
  <c r="J13" i="50"/>
  <c r="F11" i="51"/>
  <c r="J9" i="47"/>
  <c r="L9" i="49"/>
  <c r="L14" i="49"/>
  <c r="L7" i="47"/>
  <c r="L11" i="47"/>
  <c r="J10" i="49"/>
  <c r="J14" i="49"/>
  <c r="D16" i="50"/>
  <c r="E13" i="50" s="1"/>
  <c r="J7" i="50"/>
  <c r="C13" i="47"/>
  <c r="C15" i="49"/>
  <c r="I15" i="49"/>
  <c r="K11" i="51"/>
  <c r="J8" i="51"/>
  <c r="L5" i="47"/>
  <c r="L6" i="50"/>
  <c r="J12" i="50"/>
  <c r="L10" i="49"/>
  <c r="L10" i="50"/>
  <c r="L11" i="50"/>
  <c r="J15" i="50"/>
  <c r="J6" i="51"/>
  <c r="J11" i="47"/>
  <c r="J8" i="49"/>
  <c r="L7" i="50"/>
  <c r="J9" i="50"/>
  <c r="L14" i="50"/>
  <c r="L10" i="47"/>
  <c r="J6" i="49"/>
  <c r="L12" i="49"/>
  <c r="J11" i="49"/>
  <c r="K16" i="50"/>
  <c r="M16" i="50"/>
  <c r="J9" i="51"/>
  <c r="M13" i="47"/>
  <c r="L6" i="47"/>
  <c r="J8" i="47"/>
  <c r="G15" i="49"/>
  <c r="H14" i="49" s="1"/>
  <c r="J7" i="49"/>
  <c r="L13" i="49"/>
  <c r="C16" i="50"/>
  <c r="L5" i="50"/>
  <c r="J11" i="50"/>
  <c r="L13" i="50"/>
  <c r="L10" i="51"/>
  <c r="J10" i="51"/>
  <c r="D13" i="47"/>
  <c r="E13" i="47" s="1"/>
  <c r="J5" i="47"/>
  <c r="J12" i="47"/>
  <c r="K15" i="49"/>
  <c r="J12" i="49"/>
  <c r="F16" i="50"/>
  <c r="L9" i="50"/>
  <c r="G11" i="51"/>
  <c r="H8" i="51" s="1"/>
  <c r="M11" i="51"/>
  <c r="F13" i="47"/>
  <c r="K13" i="47"/>
  <c r="L9" i="47"/>
  <c r="F15" i="49"/>
  <c r="M15" i="49"/>
  <c r="L8" i="49"/>
  <c r="G16" i="50"/>
  <c r="H15" i="50" s="1"/>
  <c r="I16" i="50"/>
  <c r="J8" i="50"/>
  <c r="C11" i="51"/>
  <c r="L6" i="51"/>
  <c r="L13" i="18"/>
  <c r="I3" i="39" s="1"/>
  <c r="I4" i="39" s="1"/>
  <c r="L18" i="21"/>
  <c r="P18" i="21"/>
  <c r="C16" i="23"/>
  <c r="D14" i="23" s="1"/>
  <c r="I11" i="23"/>
  <c r="I18" i="21"/>
  <c r="K8" i="18"/>
  <c r="I12" i="18"/>
  <c r="K10" i="18"/>
  <c r="E13" i="18"/>
  <c r="D3" i="39" s="1"/>
  <c r="D4" i="39" s="1"/>
  <c r="E16" i="23"/>
  <c r="D5" i="39" s="1"/>
  <c r="K12" i="23"/>
  <c r="J13" i="23"/>
  <c r="K9" i="18"/>
  <c r="K11" i="18"/>
  <c r="I14" i="23"/>
  <c r="J11" i="23"/>
  <c r="K14" i="23"/>
  <c r="I15" i="23"/>
  <c r="I12" i="23"/>
  <c r="J15" i="23"/>
  <c r="AD129" i="14"/>
  <c r="AR129" i="14" s="1"/>
  <c r="AD505" i="14"/>
  <c r="AR505" i="14" s="1"/>
  <c r="AE516" i="14"/>
  <c r="AH516" i="14"/>
  <c r="AB612" i="14"/>
  <c r="AB616" i="14" s="1"/>
  <c r="Z701" i="14"/>
  <c r="AG701" i="14"/>
  <c r="AO701" i="14"/>
  <c r="AD174" i="14"/>
  <c r="AR174" i="14" s="1"/>
  <c r="AB249" i="14"/>
  <c r="AB257" i="14" s="1"/>
  <c r="AH449" i="14"/>
  <c r="AB876" i="14"/>
  <c r="AB906" i="14" s="1"/>
  <c r="AB443" i="14"/>
  <c r="AB449" i="14" s="1"/>
  <c r="AP701" i="14"/>
  <c r="AD94" i="14"/>
  <c r="AD462" i="14"/>
  <c r="AD463" i="14" s="1"/>
  <c r="AD630" i="14"/>
  <c r="AR630" i="14" s="1"/>
  <c r="AE701" i="14"/>
  <c r="AI701" i="14"/>
  <c r="AH701" i="14"/>
  <c r="AD9" i="14"/>
  <c r="AR9" i="14" s="1"/>
  <c r="AD299" i="14"/>
  <c r="AR299" i="14" s="1"/>
  <c r="AG449" i="14"/>
  <c r="AG516" i="14"/>
  <c r="AB701" i="14"/>
  <c r="AR67" i="14"/>
  <c r="AD323" i="14"/>
  <c r="AR323" i="14" s="1"/>
  <c r="AB525" i="14"/>
  <c r="AD525" i="14" s="1"/>
  <c r="AR525" i="14" s="1"/>
  <c r="AD555" i="14"/>
  <c r="AR555" i="14" s="1"/>
  <c r="AB571" i="14"/>
  <c r="AD571" i="14" s="1"/>
  <c r="AR571" i="14" s="1"/>
  <c r="AD808" i="14"/>
  <c r="AR808" i="14" s="1"/>
  <c r="AB547" i="14"/>
  <c r="AR233" i="14"/>
  <c r="AD473" i="14"/>
  <c r="AR473" i="14" s="1"/>
  <c r="AB526" i="14"/>
  <c r="AD526" i="14" s="1"/>
  <c r="AR526" i="14" s="1"/>
  <c r="Y576" i="14"/>
  <c r="AR576" i="14" s="1"/>
  <c r="AD201" i="14"/>
  <c r="AR201" i="14" s="1"/>
  <c r="AD301" i="14"/>
  <c r="AR301" i="14" s="1"/>
  <c r="AD305" i="14"/>
  <c r="AR305" i="14" s="1"/>
  <c r="AD621" i="14"/>
  <c r="AR621" i="14" s="1"/>
  <c r="AD470" i="14"/>
  <c r="AR470" i="14" s="1"/>
  <c r="AR709" i="14"/>
  <c r="AR19" i="14"/>
  <c r="AD55" i="14"/>
  <c r="AR55" i="14" s="1"/>
  <c r="AD290" i="14"/>
  <c r="AD291" i="14" s="1"/>
  <c r="AB329" i="14"/>
  <c r="AB335" i="14" s="1"/>
  <c r="AD364" i="14"/>
  <c r="AR419" i="14"/>
  <c r="AR569" i="14"/>
  <c r="AD343" i="14"/>
  <c r="AR343" i="14" s="1"/>
  <c r="AR414" i="14"/>
  <c r="Y516" i="14"/>
  <c r="AD521" i="14"/>
  <c r="AR521" i="14" s="1"/>
  <c r="AD638" i="14"/>
  <c r="AR898" i="14"/>
  <c r="AR26" i="14"/>
  <c r="AR36" i="14"/>
  <c r="AR179" i="14"/>
  <c r="AR203" i="14"/>
  <c r="AD127" i="14"/>
  <c r="AR127" i="14" s="1"/>
  <c r="AD170" i="14"/>
  <c r="AR170" i="14" s="1"/>
  <c r="AR306" i="14"/>
  <c r="AD24" i="14"/>
  <c r="AR24" i="14" s="1"/>
  <c r="AD43" i="14"/>
  <c r="AD45" i="14" s="1"/>
  <c r="AD149" i="14"/>
  <c r="AR149" i="14" s="1"/>
  <c r="AD209" i="14"/>
  <c r="AR209" i="14" s="1"/>
  <c r="AD227" i="14"/>
  <c r="AD322" i="14"/>
  <c r="AR322" i="14" s="1"/>
  <c r="AD8" i="14"/>
  <c r="AR8" i="14" s="1"/>
  <c r="AR37" i="14"/>
  <c r="AR53" i="14"/>
  <c r="AD66" i="14"/>
  <c r="AR66" i="14" s="1"/>
  <c r="AR69" i="14"/>
  <c r="AR77" i="14"/>
  <c r="AD95" i="14"/>
  <c r="AR95" i="14" s="1"/>
  <c r="AD112" i="14"/>
  <c r="AD145" i="14"/>
  <c r="AR145" i="14" s="1"/>
  <c r="AR147" i="14"/>
  <c r="AD166" i="14"/>
  <c r="AD168" i="14"/>
  <c r="AR168" i="14" s="1"/>
  <c r="AD183" i="14"/>
  <c r="AR183" i="14" s="1"/>
  <c r="AD184" i="14"/>
  <c r="AR184" i="14" s="1"/>
  <c r="AD298" i="14"/>
  <c r="AD300" i="14"/>
  <c r="AR300" i="14" s="1"/>
  <c r="AD389" i="14"/>
  <c r="AR389" i="14" s="1"/>
  <c r="AD440" i="14"/>
  <c r="AR440" i="14" s="1"/>
  <c r="AE449" i="14"/>
  <c r="AI449" i="14"/>
  <c r="AD446" i="14"/>
  <c r="AR446" i="14" s="1"/>
  <c r="AR471" i="14"/>
  <c r="AR481" i="14"/>
  <c r="AR482" i="14"/>
  <c r="AF516" i="14"/>
  <c r="AD556" i="14"/>
  <c r="AR556" i="14" s="1"/>
  <c r="Y572" i="14"/>
  <c r="AR572" i="14" s="1"/>
  <c r="AR689" i="14"/>
  <c r="AF701" i="14"/>
  <c r="AD708" i="14"/>
  <c r="AD710" i="14"/>
  <c r="AR710" i="14" s="1"/>
  <c r="AR712" i="14"/>
  <c r="AR725" i="14"/>
  <c r="AD738" i="14"/>
  <c r="AR738" i="14" s="1"/>
  <c r="AR838" i="14"/>
  <c r="AR859" i="14"/>
  <c r="AR648" i="14"/>
  <c r="AR365" i="14"/>
  <c r="AD454" i="14"/>
  <c r="AR454" i="14" s="1"/>
  <c r="AB509" i="14"/>
  <c r="AB516" i="14" s="1"/>
  <c r="AD513" i="14"/>
  <c r="AR513" i="14" s="1"/>
  <c r="AD533" i="14"/>
  <c r="Y573" i="14"/>
  <c r="AR573" i="14" s="1"/>
  <c r="AR639" i="14"/>
  <c r="AR671" i="14"/>
  <c r="AR697" i="14"/>
  <c r="Y733" i="14"/>
  <c r="AD711" i="14"/>
  <c r="AR711" i="14" s="1"/>
  <c r="AR727" i="14"/>
  <c r="AD753" i="14"/>
  <c r="AR753" i="14" s="1"/>
  <c r="AD795" i="14"/>
  <c r="AR795" i="14" s="1"/>
  <c r="AD833" i="14"/>
  <c r="AR833" i="14" s="1"/>
  <c r="AD895" i="14"/>
  <c r="AR895" i="14" s="1"/>
  <c r="AD325" i="14"/>
  <c r="AR325" i="14" s="1"/>
  <c r="AD332" i="14"/>
  <c r="AD333" i="14" s="1"/>
  <c r="AR341" i="14"/>
  <c r="AR346" i="14"/>
  <c r="AD355" i="14"/>
  <c r="AR355" i="14" s="1"/>
  <c r="AD366" i="14"/>
  <c r="AR366" i="14" s="1"/>
  <c r="AD387" i="14"/>
  <c r="AR387" i="14" s="1"/>
  <c r="AR388" i="14"/>
  <c r="AD494" i="14"/>
  <c r="AR494" i="14" s="1"/>
  <c r="AR504" i="14"/>
  <c r="AI516" i="14"/>
  <c r="AP516" i="14"/>
  <c r="AD553" i="14"/>
  <c r="AR553" i="14" s="1"/>
  <c r="AB575" i="14"/>
  <c r="AD575" i="14" s="1"/>
  <c r="AR575" i="14" s="1"/>
  <c r="AD647" i="14"/>
  <c r="AR647" i="14" s="1"/>
  <c r="AR677" i="14"/>
  <c r="AR722" i="14"/>
  <c r="AR761" i="14"/>
  <c r="AR775" i="14"/>
  <c r="AR813" i="14"/>
  <c r="AD871" i="14"/>
  <c r="AR871" i="14" s="1"/>
  <c r="AR894" i="14"/>
  <c r="E39" i="19"/>
  <c r="D46" i="20"/>
  <c r="K7" i="18"/>
  <c r="I8" i="18"/>
  <c r="I10" i="18"/>
  <c r="C13" i="18"/>
  <c r="D7" i="18" s="1"/>
  <c r="I7" i="18"/>
  <c r="I9" i="18"/>
  <c r="I11" i="18"/>
  <c r="K12" i="18"/>
  <c r="J6" i="47"/>
  <c r="L8" i="47"/>
  <c r="J10" i="47"/>
  <c r="L12" i="47"/>
  <c r="I13" i="47"/>
  <c r="J5" i="49"/>
  <c r="L7" i="49"/>
  <c r="J9" i="49"/>
  <c r="L11" i="49"/>
  <c r="J13" i="49"/>
  <c r="D15" i="49"/>
  <c r="E14" i="49" s="1"/>
  <c r="J6" i="50"/>
  <c r="L8" i="50"/>
  <c r="J10" i="50"/>
  <c r="L12" i="50"/>
  <c r="J14" i="50"/>
  <c r="J7" i="51"/>
  <c r="L9" i="51"/>
  <c r="I11" i="51"/>
  <c r="E18" i="21"/>
  <c r="F11" i="21" s="1"/>
  <c r="I16" i="22"/>
  <c r="E16" i="22"/>
  <c r="C16" i="22"/>
  <c r="J16" i="22"/>
  <c r="G12" i="23"/>
  <c r="G14" i="23"/>
  <c r="AR10" i="14"/>
  <c r="AR17" i="14"/>
  <c r="AD64" i="14"/>
  <c r="AR80" i="14"/>
  <c r="C10" i="22"/>
  <c r="I10" i="22"/>
  <c r="E10" i="22"/>
  <c r="J10" i="22"/>
  <c r="I20" i="22"/>
  <c r="E20" i="22"/>
  <c r="C20" i="22"/>
  <c r="J20" i="22"/>
  <c r="Y21" i="14"/>
  <c r="Y29" i="14" s="1"/>
  <c r="AR16" i="14"/>
  <c r="AD25" i="14"/>
  <c r="AR78" i="14"/>
  <c r="G13" i="47"/>
  <c r="H9" i="47" s="1"/>
  <c r="L5" i="49"/>
  <c r="G16" i="21"/>
  <c r="C14" i="22"/>
  <c r="I14" i="22"/>
  <c r="E14" i="22"/>
  <c r="J14" i="22"/>
  <c r="AR14" i="14"/>
  <c r="AD56" i="14"/>
  <c r="AR56" i="14" s="1"/>
  <c r="AR99" i="14"/>
  <c r="F13" i="18"/>
  <c r="D11" i="51"/>
  <c r="G8" i="21"/>
  <c r="G10" i="21"/>
  <c r="G12" i="21"/>
  <c r="G14" i="21"/>
  <c r="J18" i="21"/>
  <c r="F10" i="22"/>
  <c r="I12" i="22"/>
  <c r="E12" i="22"/>
  <c r="C12" i="22"/>
  <c r="J12" i="22"/>
  <c r="H16" i="22"/>
  <c r="C18" i="22"/>
  <c r="I18" i="22"/>
  <c r="E18" i="22"/>
  <c r="J18" i="22"/>
  <c r="F20" i="22"/>
  <c r="AR11" i="14"/>
  <c r="AR13" i="14"/>
  <c r="AR15" i="14"/>
  <c r="AR18" i="14"/>
  <c r="AD34" i="14"/>
  <c r="AR34" i="14" s="1"/>
  <c r="AD58" i="14"/>
  <c r="AR58" i="14" s="1"/>
  <c r="AB175" i="14"/>
  <c r="AB188" i="14" s="1"/>
  <c r="AB205" i="14"/>
  <c r="AB215" i="14" s="1"/>
  <c r="AR222" i="14"/>
  <c r="AD241" i="14"/>
  <c r="AR241" i="14" s="1"/>
  <c r="AD243" i="14"/>
  <c r="AR243" i="14" s="1"/>
  <c r="AR303" i="14"/>
  <c r="AD314" i="14"/>
  <c r="AR314" i="14" s="1"/>
  <c r="AD344" i="14"/>
  <c r="AR344" i="14" s="1"/>
  <c r="AR385" i="14"/>
  <c r="AO392" i="14"/>
  <c r="AO403" i="14" s="1"/>
  <c r="AD422" i="14"/>
  <c r="AR422" i="14" s="1"/>
  <c r="AD434" i="14"/>
  <c r="AR434" i="14" s="1"/>
  <c r="H11" i="22"/>
  <c r="F13" i="22"/>
  <c r="H15" i="22"/>
  <c r="F17" i="22"/>
  <c r="H19" i="22"/>
  <c r="G11" i="23"/>
  <c r="I13" i="23"/>
  <c r="G15" i="23"/>
  <c r="AD7" i="14"/>
  <c r="AD35" i="14"/>
  <c r="AR35" i="14" s="1"/>
  <c r="AR79" i="14"/>
  <c r="AD103" i="14"/>
  <c r="AD104" i="14" s="1"/>
  <c r="AD113" i="14"/>
  <c r="AR113" i="14" s="1"/>
  <c r="AD114" i="14"/>
  <c r="AR114" i="14" s="1"/>
  <c r="AD124" i="14"/>
  <c r="AR124" i="14" s="1"/>
  <c r="AD144" i="14"/>
  <c r="AD153" i="14"/>
  <c r="AD157" i="14" s="1"/>
  <c r="AD167" i="14"/>
  <c r="AR167" i="14" s="1"/>
  <c r="AD178" i="14"/>
  <c r="AD182" i="14"/>
  <c r="AR182" i="14" s="1"/>
  <c r="AD193" i="14"/>
  <c r="AR193" i="14" s="1"/>
  <c r="AR194" i="14"/>
  <c r="AD202" i="14"/>
  <c r="AD208" i="14"/>
  <c r="AR220" i="14"/>
  <c r="Z224" i="14"/>
  <c r="Z236" i="14" s="1"/>
  <c r="AD252" i="14"/>
  <c r="AD255" i="14" s="1"/>
  <c r="AD262" i="14"/>
  <c r="AD264" i="14"/>
  <c r="AR264" i="14" s="1"/>
  <c r="AR285" i="14"/>
  <c r="Z287" i="14"/>
  <c r="Z293" i="14" s="1"/>
  <c r="AD395" i="14"/>
  <c r="AB416" i="14"/>
  <c r="AB426" i="14" s="1"/>
  <c r="AD412" i="14"/>
  <c r="AR412" i="14" s="1"/>
  <c r="AD491" i="14"/>
  <c r="AD111" i="14"/>
  <c r="AR228" i="14"/>
  <c r="AD230" i="14"/>
  <c r="AR230" i="14" s="1"/>
  <c r="AD242" i="14"/>
  <c r="AR242" i="14" s="1"/>
  <c r="AD244" i="14"/>
  <c r="AR244" i="14" s="1"/>
  <c r="AD272" i="14"/>
  <c r="AD312" i="14"/>
  <c r="AR327" i="14"/>
  <c r="Z329" i="14"/>
  <c r="Z335" i="14" s="1"/>
  <c r="AR348" i="14"/>
  <c r="Z350" i="14"/>
  <c r="Z359" i="14" s="1"/>
  <c r="AD421" i="14"/>
  <c r="AR421" i="14" s="1"/>
  <c r="F11" i="22"/>
  <c r="F15" i="22"/>
  <c r="F19" i="22"/>
  <c r="G13" i="23"/>
  <c r="AD125" i="14"/>
  <c r="AR125" i="14" s="1"/>
  <c r="AD221" i="14"/>
  <c r="AD229" i="14"/>
  <c r="AR229" i="14" s="1"/>
  <c r="AD248" i="14"/>
  <c r="AO249" i="14"/>
  <c r="AO257" i="14" s="1"/>
  <c r="AD263" i="14"/>
  <c r="AR263" i="14" s="1"/>
  <c r="AR370" i="14"/>
  <c r="AD374" i="14"/>
  <c r="AR374" i="14" s="1"/>
  <c r="AD399" i="14"/>
  <c r="AR399" i="14" s="1"/>
  <c r="Z476" i="14"/>
  <c r="Z486" i="14" s="1"/>
  <c r="AR474" i="14"/>
  <c r="Z416" i="14"/>
  <c r="Z426" i="14" s="1"/>
  <c r="AD436" i="14"/>
  <c r="AR436" i="14" s="1"/>
  <c r="Z443" i="14"/>
  <c r="Z449" i="14" s="1"/>
  <c r="AR441" i="14"/>
  <c r="AR480" i="14"/>
  <c r="AR492" i="14"/>
  <c r="Y530" i="14"/>
  <c r="Y539" i="14" s="1"/>
  <c r="AD266" i="14"/>
  <c r="AD302" i="14"/>
  <c r="AR302" i="14" s="1"/>
  <c r="AD308" i="14"/>
  <c r="AR308" i="14" s="1"/>
  <c r="AD307" i="14"/>
  <c r="AR307" i="14" s="1"/>
  <c r="AD326" i="14"/>
  <c r="AD342" i="14"/>
  <c r="AD347" i="14"/>
  <c r="AR347" i="14" s="1"/>
  <c r="AR354" i="14"/>
  <c r="AD356" i="14"/>
  <c r="AR356" i="14" s="1"/>
  <c r="AD373" i="14"/>
  <c r="AD398" i="14"/>
  <c r="AR398" i="14" s="1"/>
  <c r="AD420" i="14"/>
  <c r="AD423" i="14"/>
  <c r="AF449" i="14"/>
  <c r="AD483" i="14"/>
  <c r="AR483" i="14" s="1"/>
  <c r="Y616" i="14"/>
  <c r="Y624" i="14" s="1"/>
  <c r="AD283" i="14"/>
  <c r="AD433" i="14"/>
  <c r="AD435" i="14"/>
  <c r="AR435" i="14" s="1"/>
  <c r="Z459" i="14"/>
  <c r="Z465" i="14" s="1"/>
  <c r="AR457" i="14"/>
  <c r="AB476" i="14"/>
  <c r="AB486" i="14" s="1"/>
  <c r="AD479" i="14"/>
  <c r="AD484" i="14" s="1"/>
  <c r="AR534" i="14"/>
  <c r="AR439" i="14"/>
  <c r="AD455" i="14"/>
  <c r="AR455" i="14" s="1"/>
  <c r="AR456" i="14"/>
  <c r="AR472" i="14"/>
  <c r="AR493" i="14"/>
  <c r="AB524" i="14"/>
  <c r="AD524" i="14" s="1"/>
  <c r="AR524" i="14" s="1"/>
  <c r="AR527" i="14"/>
  <c r="AR528" i="14"/>
  <c r="AR548" i="14"/>
  <c r="AR550" i="14"/>
  <c r="AR561" i="14"/>
  <c r="AB570" i="14"/>
  <c r="AB574" i="14"/>
  <c r="AD574" i="14" s="1"/>
  <c r="AR574" i="14" s="1"/>
  <c r="AD600" i="14"/>
  <c r="AR595" i="14"/>
  <c r="AR620" i="14"/>
  <c r="AR633" i="14"/>
  <c r="Z635" i="14"/>
  <c r="Z642" i="14" s="1"/>
  <c r="AR656" i="14"/>
  <c r="AD503" i="14"/>
  <c r="AO509" i="14"/>
  <c r="AO516" i="14" s="1"/>
  <c r="AD512" i="14"/>
  <c r="AR535" i="14"/>
  <c r="AD536" i="14"/>
  <c r="AR536" i="14" s="1"/>
  <c r="AD544" i="14"/>
  <c r="AD545" i="14"/>
  <c r="AR545" i="14" s="1"/>
  <c r="AD546" i="14"/>
  <c r="AR546" i="14" s="1"/>
  <c r="AD551" i="14"/>
  <c r="AR551" i="14" s="1"/>
  <c r="AO586" i="14"/>
  <c r="AD582" i="14"/>
  <c r="AD583" i="14"/>
  <c r="AR583" i="14" s="1"/>
  <c r="AD592" i="14"/>
  <c r="AR592" i="14" s="1"/>
  <c r="AD593" i="14"/>
  <c r="AR593" i="14" s="1"/>
  <c r="AD594" i="14"/>
  <c r="AR594" i="14" s="1"/>
  <c r="AD596" i="14"/>
  <c r="AR596" i="14" s="1"/>
  <c r="AD601" i="14"/>
  <c r="AR601" i="14" s="1"/>
  <c r="AD611" i="14"/>
  <c r="AR611" i="14" s="1"/>
  <c r="AD613" i="14"/>
  <c r="AR613" i="14" s="1"/>
  <c r="AD614" i="14"/>
  <c r="AR614" i="14" s="1"/>
  <c r="AD672" i="14"/>
  <c r="AD591" i="14"/>
  <c r="AB622" i="14"/>
  <c r="AD632" i="14"/>
  <c r="AR632" i="14" s="1"/>
  <c r="AR650" i="14"/>
  <c r="Z653" i="14"/>
  <c r="Z665" i="14" s="1"/>
  <c r="AD897" i="14"/>
  <c r="AR897" i="14" s="1"/>
  <c r="Y95" i="38"/>
  <c r="Y101" i="38" s="1"/>
  <c r="Y103" i="38" s="1"/>
  <c r="X101" i="38"/>
  <c r="X103" i="38" s="1"/>
  <c r="AD658" i="14"/>
  <c r="AR658" i="14" s="1"/>
  <c r="AD662" i="14"/>
  <c r="AR662" i="14" s="1"/>
  <c r="AR670" i="14"/>
  <c r="AD673" i="14"/>
  <c r="AR673" i="14" s="1"/>
  <c r="AD678" i="14"/>
  <c r="AR678" i="14" s="1"/>
  <c r="AD679" i="14"/>
  <c r="AR679" i="14" s="1"/>
  <c r="AD680" i="14"/>
  <c r="AR680" i="14" s="1"/>
  <c r="AR695" i="14"/>
  <c r="AD698" i="14"/>
  <c r="AD699" i="14" s="1"/>
  <c r="Y701" i="14"/>
  <c r="AD713" i="14"/>
  <c r="AR713" i="14" s="1"/>
  <c r="AD714" i="14"/>
  <c r="AR714" i="14" s="1"/>
  <c r="AD716" i="14"/>
  <c r="AR716" i="14" s="1"/>
  <c r="AD718" i="14"/>
  <c r="AR718" i="14" s="1"/>
  <c r="AD723" i="14"/>
  <c r="AR723" i="14" s="1"/>
  <c r="AD726" i="14"/>
  <c r="AR726" i="14" s="1"/>
  <c r="AD728" i="14"/>
  <c r="AR728" i="14" s="1"/>
  <c r="AD780" i="14"/>
  <c r="AD800" i="14"/>
  <c r="AR800" i="14" s="1"/>
  <c r="AD843" i="14"/>
  <c r="AR843" i="14" s="1"/>
  <c r="AD848" i="14"/>
  <c r="AR848" i="14" s="1"/>
  <c r="AD864" i="14"/>
  <c r="AR864" i="14" s="1"/>
  <c r="AD875" i="14"/>
  <c r="AR875" i="14" s="1"/>
  <c r="AD893" i="14"/>
  <c r="AR893" i="14" s="1"/>
  <c r="S186" i="38"/>
  <c r="AD649" i="14"/>
  <c r="AD652" i="14"/>
  <c r="AR652" i="14" s="1"/>
  <c r="AD657" i="14"/>
  <c r="AD661" i="14"/>
  <c r="AR661" i="14" s="1"/>
  <c r="AO674" i="14"/>
  <c r="AO683" i="14" s="1"/>
  <c r="AD884" i="14"/>
  <c r="AD888" i="14"/>
  <c r="AR888" i="14" s="1"/>
  <c r="Y39" i="38"/>
  <c r="X44" i="38"/>
  <c r="AD688" i="14"/>
  <c r="AR885" i="14"/>
  <c r="AR890" i="14"/>
  <c r="I81" i="38"/>
  <c r="M81" i="38"/>
  <c r="U81" i="38"/>
  <c r="X23" i="38"/>
  <c r="Y17" i="38"/>
  <c r="X55" i="38"/>
  <c r="Y49" i="38"/>
  <c r="X67" i="38"/>
  <c r="U186" i="38"/>
  <c r="W55" i="38"/>
  <c r="L186" i="38"/>
  <c r="W233" i="38"/>
  <c r="W235" i="38" s="1"/>
  <c r="M186" i="38"/>
  <c r="W101" i="38"/>
  <c r="W103" i="38" s="1"/>
  <c r="Y225" i="38"/>
  <c r="X235" i="38"/>
  <c r="Y107" i="38"/>
  <c r="Y113" i="38" s="1"/>
  <c r="Y182" i="38"/>
  <c r="Y184" i="38" s="1"/>
  <c r="Y196" i="38"/>
  <c r="Y197" i="38" s="1"/>
  <c r="Y199" i="38" s="1"/>
  <c r="W197" i="38"/>
  <c r="W199" i="38" s="1"/>
  <c r="Y154" i="38"/>
  <c r="X182" i="38"/>
  <c r="X184" i="38" s="1"/>
  <c r="S302" i="38"/>
  <c r="W206" i="38"/>
  <c r="W208" i="38" s="1"/>
  <c r="J302" i="38"/>
  <c r="X288" i="38"/>
  <c r="Y330" i="38"/>
  <c r="X335" i="38"/>
  <c r="X345" i="38"/>
  <c r="Y339" i="38"/>
  <c r="U347" i="38"/>
  <c r="X326" i="38"/>
  <c r="Y318" i="38"/>
  <c r="X256" i="38"/>
  <c r="W335" i="38"/>
  <c r="Y250" i="38"/>
  <c r="X314" i="38"/>
  <c r="W345" i="38"/>
  <c r="Z100" i="14" l="1"/>
  <c r="Z106" i="14" s="1"/>
  <c r="AD315" i="14"/>
  <c r="AD584" i="14"/>
  <c r="AR584" i="14" s="1"/>
  <c r="AD97" i="14"/>
  <c r="AD100" i="14" s="1"/>
  <c r="AD106" i="14" s="1"/>
  <c r="AC100" i="14"/>
  <c r="AC106" i="14" s="1"/>
  <c r="AD602" i="14"/>
  <c r="AR591" i="14"/>
  <c r="AD597" i="14"/>
  <c r="AR94" i="14"/>
  <c r="AB579" i="14"/>
  <c r="AB586" i="14" s="1"/>
  <c r="AD578" i="14"/>
  <c r="AC579" i="14"/>
  <c r="AC586" i="14" s="1"/>
  <c r="Y579" i="14"/>
  <c r="Y586" i="14" s="1"/>
  <c r="AD495" i="14"/>
  <c r="AD496" i="14" s="1"/>
  <c r="AD498" i="14" s="1"/>
  <c r="AC496" i="14"/>
  <c r="AC498" i="14" s="1"/>
  <c r="AR312" i="14"/>
  <c r="AR298" i="14"/>
  <c r="AD304" i="14"/>
  <c r="AR304" i="14" s="1"/>
  <c r="AC309" i="14"/>
  <c r="AC317" i="14" s="1"/>
  <c r="AB317" i="14"/>
  <c r="AB380" i="14" s="1"/>
  <c r="AD150" i="14"/>
  <c r="AR150" i="14" s="1"/>
  <c r="Z317" i="14"/>
  <c r="Z380" i="14" s="1"/>
  <c r="AD128" i="14"/>
  <c r="AR128" i="14" s="1"/>
  <c r="AC130" i="14"/>
  <c r="AC136" i="14" s="1"/>
  <c r="AD81" i="14"/>
  <c r="AD82" i="14" s="1"/>
  <c r="AC82" i="14"/>
  <c r="AC89" i="14" s="1"/>
  <c r="Y89" i="14"/>
  <c r="Z89" i="14"/>
  <c r="AO89" i="14"/>
  <c r="AR166" i="14"/>
  <c r="AF380" i="14"/>
  <c r="AD367" i="14"/>
  <c r="AR364" i="14"/>
  <c r="AR141" i="14"/>
  <c r="Y333" i="38"/>
  <c r="Y335" i="38" s="1"/>
  <c r="Y42" i="38"/>
  <c r="Y44" i="38" s="1"/>
  <c r="Y343" i="38"/>
  <c r="Y345" i="38" s="1"/>
  <c r="Y324" i="38"/>
  <c r="Y326" i="38" s="1"/>
  <c r="Y233" i="38"/>
  <c r="Y235" i="38" s="1"/>
  <c r="Y275" i="38"/>
  <c r="Y277" i="38" s="1"/>
  <c r="Y53" i="38"/>
  <c r="Y55" i="38" s="1"/>
  <c r="Y21" i="38"/>
  <c r="Y23" i="38" s="1"/>
  <c r="AM703" i="14"/>
  <c r="AN380" i="14"/>
  <c r="E8" i="50"/>
  <c r="G9" i="18"/>
  <c r="O13" i="18"/>
  <c r="AR708" i="14"/>
  <c r="AG380" i="14"/>
  <c r="AM380" i="14"/>
  <c r="AR638" i="14"/>
  <c r="AD640" i="14"/>
  <c r="AR640" i="14" s="1"/>
  <c r="AC449" i="14"/>
  <c r="AM606" i="14"/>
  <c r="AO215" i="14"/>
  <c r="AC205" i="14"/>
  <c r="AC215" i="14" s="1"/>
  <c r="AC20" i="14"/>
  <c r="AO21" i="14"/>
  <c r="AO29" i="14" s="1"/>
  <c r="AH380" i="14"/>
  <c r="AH703" i="14"/>
  <c r="AI380" i="14"/>
  <c r="AP380" i="14"/>
  <c r="AF606" i="14"/>
  <c r="AP703" i="14"/>
  <c r="AN703" i="14"/>
  <c r="AG606" i="14"/>
  <c r="AP606" i="14"/>
  <c r="AG703" i="14"/>
  <c r="AH606" i="14"/>
  <c r="AI703" i="14"/>
  <c r="AC269" i="14"/>
  <c r="AC278" i="14" s="1"/>
  <c r="AO278" i="14"/>
  <c r="AC557" i="14"/>
  <c r="AC564" i="14" s="1"/>
  <c r="AO564" i="14"/>
  <c r="AI606" i="14"/>
  <c r="AC616" i="14"/>
  <c r="AC624" i="14" s="1"/>
  <c r="AO624" i="14"/>
  <c r="AC653" i="14"/>
  <c r="AC665" i="14" s="1"/>
  <c r="AO665" i="14"/>
  <c r="AC329" i="14"/>
  <c r="AC335" i="14" s="1"/>
  <c r="AO335" i="14"/>
  <c r="AO317" i="14"/>
  <c r="AC350" i="14"/>
  <c r="AC359" i="14" s="1"/>
  <c r="AO359" i="14"/>
  <c r="AF703" i="14"/>
  <c r="AN606" i="14"/>
  <c r="AD234" i="14"/>
  <c r="AR234" i="14" s="1"/>
  <c r="AD186" i="14"/>
  <c r="AR186" i="14" s="1"/>
  <c r="AC224" i="14"/>
  <c r="AC236" i="14" s="1"/>
  <c r="D13" i="23"/>
  <c r="AD904" i="14"/>
  <c r="AD731" i="14"/>
  <c r="AR731" i="14" s="1"/>
  <c r="Z703" i="14"/>
  <c r="AD681" i="14"/>
  <c r="AR681" i="14" s="1"/>
  <c r="AB624" i="14"/>
  <c r="AB703" i="14" s="1"/>
  <c r="Z606" i="14"/>
  <c r="AC604" i="14"/>
  <c r="AD424" i="14"/>
  <c r="AR424" i="14" s="1"/>
  <c r="AD70" i="14"/>
  <c r="AR70" i="14" s="1"/>
  <c r="AR533" i="14"/>
  <c r="AD537" i="14"/>
  <c r="AR537" i="14" s="1"/>
  <c r="AC378" i="14"/>
  <c r="AD401" i="14"/>
  <c r="AR401" i="14" s="1"/>
  <c r="AD357" i="14"/>
  <c r="AD213" i="14"/>
  <c r="AR213" i="14" s="1"/>
  <c r="AR227" i="14"/>
  <c r="AB161" i="14"/>
  <c r="AC159" i="14"/>
  <c r="F17" i="21"/>
  <c r="D11" i="23"/>
  <c r="J16" i="23"/>
  <c r="F5" i="39" s="1"/>
  <c r="D15" i="23"/>
  <c r="E6" i="50"/>
  <c r="H8" i="50"/>
  <c r="F14" i="21"/>
  <c r="Y160" i="38"/>
  <c r="Y162" i="38" s="1"/>
  <c r="Y115" i="38"/>
  <c r="Y254" i="38"/>
  <c r="Y256" i="38" s="1"/>
  <c r="Y219" i="38"/>
  <c r="Y221" i="38" s="1"/>
  <c r="D12" i="23"/>
  <c r="B5" i="39"/>
  <c r="E10" i="50"/>
  <c r="E11" i="50"/>
  <c r="AR97" i="14"/>
  <c r="AR349" i="14"/>
  <c r="X33" i="38"/>
  <c r="X35" i="38" s="1"/>
  <c r="AC287" i="14"/>
  <c r="AC293" i="14" s="1"/>
  <c r="AR508" i="14"/>
  <c r="AC173" i="14"/>
  <c r="AD173" i="14" s="1"/>
  <c r="AD175" i="14" s="1"/>
  <c r="H9" i="49"/>
  <c r="H11" i="49"/>
  <c r="AR291" i="14"/>
  <c r="AC674" i="14"/>
  <c r="AC683" i="14" s="1"/>
  <c r="AC476" i="14"/>
  <c r="AC486" i="14" s="1"/>
  <c r="AC701" i="14"/>
  <c r="AR463" i="14"/>
  <c r="AC635" i="14"/>
  <c r="AC642" i="14" s="1"/>
  <c r="AC509" i="14"/>
  <c r="AC416" i="14"/>
  <c r="AC426" i="14" s="1"/>
  <c r="AC459" i="14"/>
  <c r="AC465" i="14" s="1"/>
  <c r="AC392" i="14"/>
  <c r="AC403" i="14" s="1"/>
  <c r="AR333" i="14"/>
  <c r="AC40" i="14"/>
  <c r="AC47" i="14" s="1"/>
  <c r="AC516" i="14"/>
  <c r="AC249" i="14"/>
  <c r="AC257" i="14" s="1"/>
  <c r="AR560" i="14"/>
  <c r="AD562" i="14"/>
  <c r="AD547" i="14"/>
  <c r="AR547" i="14" s="1"/>
  <c r="AB557" i="14"/>
  <c r="AB564" i="14" s="1"/>
  <c r="AR544" i="14"/>
  <c r="AR272" i="14"/>
  <c r="AD276" i="14"/>
  <c r="AR262" i="14"/>
  <c r="AD269" i="14"/>
  <c r="AR615" i="14"/>
  <c r="AD116" i="14"/>
  <c r="AD118" i="14" s="1"/>
  <c r="AR123" i="14"/>
  <c r="AR157" i="14"/>
  <c r="AD415" i="14"/>
  <c r="AR415" i="14" s="1"/>
  <c r="T349" i="38"/>
  <c r="W81" i="38"/>
  <c r="L349" i="38"/>
  <c r="S349" i="38"/>
  <c r="J349" i="38"/>
  <c r="X162" i="38"/>
  <c r="AO175" i="14"/>
  <c r="AO188" i="14" s="1"/>
  <c r="R349" i="38"/>
  <c r="V349" i="38"/>
  <c r="I349" i="38"/>
  <c r="X221" i="38"/>
  <c r="K349" i="38"/>
  <c r="X148" i="38"/>
  <c r="X150" i="38" s="1"/>
  <c r="W186" i="38"/>
  <c r="AR96" i="14"/>
  <c r="AR651" i="14"/>
  <c r="AR549" i="14"/>
  <c r="AD27" i="14"/>
  <c r="AR27" i="14" s="1"/>
  <c r="AR328" i="14"/>
  <c r="AD224" i="14"/>
  <c r="AR223" i="14"/>
  <c r="AR115" i="14"/>
  <c r="AR634" i="14"/>
  <c r="AR286" i="14"/>
  <c r="AD287" i="14"/>
  <c r="AD293" i="14" s="1"/>
  <c r="X197" i="38"/>
  <c r="X199" i="38" s="1"/>
  <c r="Y71" i="38"/>
  <c r="H10" i="51"/>
  <c r="F8" i="21"/>
  <c r="U349" i="38"/>
  <c r="M349" i="38"/>
  <c r="I16" i="23"/>
  <c r="E5" i="39" s="1"/>
  <c r="E6" i="47"/>
  <c r="AR458" i="14"/>
  <c r="AR529" i="14"/>
  <c r="AR530" i="14" s="1"/>
  <c r="H21" i="22"/>
  <c r="E2" i="39" s="1"/>
  <c r="J11" i="51"/>
  <c r="E5" i="50"/>
  <c r="E12" i="50"/>
  <c r="E7" i="50"/>
  <c r="E9" i="50"/>
  <c r="E15" i="50"/>
  <c r="E14" i="50"/>
  <c r="H14" i="50"/>
  <c r="L11" i="51"/>
  <c r="E11" i="47"/>
  <c r="E8" i="47"/>
  <c r="H9" i="51"/>
  <c r="H6" i="51"/>
  <c r="H10" i="50"/>
  <c r="H7" i="50"/>
  <c r="E5" i="47"/>
  <c r="E12" i="47"/>
  <c r="H6" i="49"/>
  <c r="L15" i="49"/>
  <c r="H12" i="50"/>
  <c r="E10" i="47"/>
  <c r="H6" i="50"/>
  <c r="H5" i="49"/>
  <c r="H11" i="50"/>
  <c r="E9" i="47"/>
  <c r="H12" i="49"/>
  <c r="H10" i="49"/>
  <c r="H9" i="50"/>
  <c r="E7" i="47"/>
  <c r="H5" i="50"/>
  <c r="H7" i="51"/>
  <c r="H13" i="49"/>
  <c r="H13" i="50"/>
  <c r="H8" i="49"/>
  <c r="H7" i="49"/>
  <c r="L16" i="50"/>
  <c r="H6" i="47"/>
  <c r="E10" i="49"/>
  <c r="H10" i="47"/>
  <c r="J16" i="50"/>
  <c r="J13" i="47"/>
  <c r="F16" i="21"/>
  <c r="F12" i="21"/>
  <c r="K16" i="23"/>
  <c r="I5" i="39" s="1"/>
  <c r="F10" i="21"/>
  <c r="F13" i="21"/>
  <c r="F9" i="21"/>
  <c r="F15" i="21"/>
  <c r="F7" i="21"/>
  <c r="G18" i="21"/>
  <c r="AD476" i="14"/>
  <c r="AD486" i="14" s="1"/>
  <c r="AE606" i="14"/>
  <c r="AR332" i="14"/>
  <c r="AR103" i="14"/>
  <c r="AR104" i="14" s="1"/>
  <c r="AD376" i="14"/>
  <c r="AR376" i="14" s="1"/>
  <c r="AD509" i="14"/>
  <c r="AD612" i="14"/>
  <c r="AR612" i="14" s="1"/>
  <c r="AD329" i="14"/>
  <c r="AD335" i="14" s="1"/>
  <c r="AD447" i="14"/>
  <c r="AR447" i="14" s="1"/>
  <c r="AR462" i="14"/>
  <c r="AR112" i="14"/>
  <c r="AR43" i="14"/>
  <c r="AE703" i="14"/>
  <c r="AR153" i="14"/>
  <c r="AD514" i="14"/>
  <c r="AR514" i="14" s="1"/>
  <c r="AD622" i="14"/>
  <c r="AR622" i="14" s="1"/>
  <c r="AE380" i="14"/>
  <c r="AR290" i="14"/>
  <c r="AR255" i="14"/>
  <c r="AD205" i="14"/>
  <c r="AR45" i="14"/>
  <c r="AR208" i="14"/>
  <c r="AR491" i="14"/>
  <c r="AD443" i="14"/>
  <c r="AR64" i="14"/>
  <c r="AD653" i="14"/>
  <c r="AD876" i="14"/>
  <c r="AD674" i="14"/>
  <c r="AD350" i="14"/>
  <c r="AD663" i="14"/>
  <c r="AR663" i="14" s="1"/>
  <c r="AD635" i="14"/>
  <c r="AR433" i="14"/>
  <c r="Y260" i="38"/>
  <c r="X266" i="38"/>
  <c r="AR904" i="14"/>
  <c r="AD692" i="14"/>
  <c r="AR688" i="14"/>
  <c r="AR699" i="14"/>
  <c r="AD570" i="14"/>
  <c r="AD530" i="14"/>
  <c r="AR484" i="14"/>
  <c r="AR221" i="14"/>
  <c r="AB530" i="14"/>
  <c r="AB539" i="14" s="1"/>
  <c r="AR40" i="14"/>
  <c r="E4" i="39"/>
  <c r="K15" i="21"/>
  <c r="E9" i="51"/>
  <c r="E10" i="51"/>
  <c r="AR202" i="14"/>
  <c r="I21" i="22"/>
  <c r="F2" i="39" s="1"/>
  <c r="K12" i="21"/>
  <c r="K16" i="21"/>
  <c r="J15" i="49"/>
  <c r="E6" i="51"/>
  <c r="W347" i="38"/>
  <c r="W302" i="38"/>
  <c r="X174" i="38"/>
  <c r="Y167" i="38"/>
  <c r="X89" i="38"/>
  <c r="X91" i="38" s="1"/>
  <c r="Y85" i="38"/>
  <c r="Y89" i="38" s="1"/>
  <c r="Y91" i="38" s="1"/>
  <c r="AR884" i="14"/>
  <c r="AR657" i="14"/>
  <c r="AR698" i="14"/>
  <c r="AR512" i="14"/>
  <c r="AR283" i="14"/>
  <c r="AR373" i="14"/>
  <c r="AR423" i="14"/>
  <c r="AR395" i="14"/>
  <c r="AR342" i="14"/>
  <c r="G16" i="23"/>
  <c r="G5" i="39" s="1"/>
  <c r="K11" i="21"/>
  <c r="K7" i="21"/>
  <c r="K17" i="21"/>
  <c r="AR25" i="14"/>
  <c r="C21" i="22"/>
  <c r="D12" i="22" s="1"/>
  <c r="K10" i="21"/>
  <c r="AR144" i="14"/>
  <c r="L13" i="47"/>
  <c r="D47" i="20"/>
  <c r="E40" i="19"/>
  <c r="E13" i="49"/>
  <c r="X246" i="38"/>
  <c r="Y239" i="38"/>
  <c r="X139" i="38"/>
  <c r="Y132" i="38"/>
  <c r="AR649" i="14"/>
  <c r="AR780" i="14"/>
  <c r="AR672" i="14"/>
  <c r="AR503" i="14"/>
  <c r="AR479" i="14"/>
  <c r="AR248" i="14"/>
  <c r="AR111" i="14"/>
  <c r="AR420" i="14"/>
  <c r="AR326" i="14"/>
  <c r="AR266" i="14"/>
  <c r="AR7" i="14"/>
  <c r="AD391" i="14"/>
  <c r="AD249" i="14"/>
  <c r="AD257" i="14" s="1"/>
  <c r="AR134" i="14"/>
  <c r="AD60" i="14"/>
  <c r="AD61" i="14" s="1"/>
  <c r="G3" i="39"/>
  <c r="G4" i="39" s="1"/>
  <c r="G12" i="18"/>
  <c r="G10" i="18"/>
  <c r="G8" i="18"/>
  <c r="J21" i="22"/>
  <c r="I2" i="39" s="1"/>
  <c r="K8" i="21"/>
  <c r="B3" i="39"/>
  <c r="D13" i="18"/>
  <c r="C3" i="39" s="1"/>
  <c r="C4" i="39" s="1"/>
  <c r="D12" i="18"/>
  <c r="D10" i="18"/>
  <c r="D8" i="18"/>
  <c r="E8" i="51"/>
  <c r="E9" i="49"/>
  <c r="D11" i="18"/>
  <c r="E7" i="51"/>
  <c r="X300" i="38"/>
  <c r="Y292" i="38"/>
  <c r="X347" i="38"/>
  <c r="X13" i="38"/>
  <c r="Y5" i="38"/>
  <c r="X128" i="38"/>
  <c r="Y119" i="38"/>
  <c r="AR600" i="14"/>
  <c r="AR602" i="14" s="1"/>
  <c r="AD459" i="14"/>
  <c r="AD465" i="14" s="1"/>
  <c r="AB715" i="14"/>
  <c r="AB719" i="14" s="1"/>
  <c r="AR252" i="14"/>
  <c r="AR582" i="14"/>
  <c r="Y380" i="14"/>
  <c r="AD40" i="14"/>
  <c r="AD47" i="14" s="1"/>
  <c r="F21" i="22"/>
  <c r="G13" i="22" s="1"/>
  <c r="K13" i="21"/>
  <c r="K9" i="21"/>
  <c r="AR178" i="14"/>
  <c r="H11" i="47"/>
  <c r="H7" i="47"/>
  <c r="H12" i="47"/>
  <c r="H8" i="47"/>
  <c r="E21" i="22"/>
  <c r="D2" i="39" s="1"/>
  <c r="K14" i="21"/>
  <c r="E11" i="49"/>
  <c r="E7" i="49"/>
  <c r="E12" i="49"/>
  <c r="E8" i="49"/>
  <c r="G11" i="18"/>
  <c r="G7" i="18"/>
  <c r="E5" i="49"/>
  <c r="E6" i="49"/>
  <c r="D9" i="18"/>
  <c r="H5" i="47"/>
  <c r="AR495" i="14" l="1"/>
  <c r="Z161" i="14"/>
  <c r="Z908" i="14" s="1"/>
  <c r="Z910" i="14" s="1"/>
  <c r="AR81" i="14"/>
  <c r="AR578" i="14"/>
  <c r="AD579" i="14"/>
  <c r="AR579" i="14" s="1"/>
  <c r="AD309" i="14"/>
  <c r="AR309" i="14" s="1"/>
  <c r="AR315" i="14"/>
  <c r="AD130" i="14"/>
  <c r="AD136" i="14" s="1"/>
  <c r="AO161" i="14"/>
  <c r="AR87" i="14"/>
  <c r="Y347" i="38"/>
  <c r="Y298" i="38"/>
  <c r="Y300" i="38" s="1"/>
  <c r="Y264" i="38"/>
  <c r="Y266" i="38" s="1"/>
  <c r="Y244" i="38"/>
  <c r="Y246" i="38" s="1"/>
  <c r="Y77" i="38"/>
  <c r="Y79" i="38" s="1"/>
  <c r="AF908" i="14"/>
  <c r="AM908" i="14"/>
  <c r="AH908" i="14"/>
  <c r="AD449" i="14"/>
  <c r="AR449" i="14" s="1"/>
  <c r="AN908" i="14"/>
  <c r="AG908" i="14"/>
  <c r="AI908" i="14"/>
  <c r="AP908" i="14"/>
  <c r="AO380" i="14"/>
  <c r="AO606" i="14"/>
  <c r="AO703" i="14"/>
  <c r="AD906" i="14"/>
  <c r="AR906" i="14" s="1"/>
  <c r="AB606" i="14"/>
  <c r="AD683" i="14"/>
  <c r="AR683" i="14" s="1"/>
  <c r="AD72" i="14"/>
  <c r="AR72" i="14" s="1"/>
  <c r="AR876" i="14"/>
  <c r="AC703" i="14"/>
  <c r="AD642" i="14"/>
  <c r="AR642" i="14" s="1"/>
  <c r="AD604" i="14"/>
  <c r="AR604" i="14" s="1"/>
  <c r="AD665" i="14"/>
  <c r="AR665" i="14" s="1"/>
  <c r="AD215" i="14"/>
  <c r="AR215" i="14" s="1"/>
  <c r="AC606" i="14"/>
  <c r="AD539" i="14"/>
  <c r="AR539" i="14" s="1"/>
  <c r="AR367" i="14"/>
  <c r="AD378" i="14"/>
  <c r="AR378" i="14" s="1"/>
  <c r="AR350" i="14"/>
  <c r="AD359" i="14"/>
  <c r="AR359" i="14" s="1"/>
  <c r="AD236" i="14"/>
  <c r="AR236" i="14" s="1"/>
  <c r="AR269" i="14"/>
  <c r="AD278" i="14"/>
  <c r="AR278" i="14" s="1"/>
  <c r="AD188" i="14"/>
  <c r="AD159" i="14"/>
  <c r="AR159" i="14" s="1"/>
  <c r="D16" i="23"/>
  <c r="C5" i="39" s="1"/>
  <c r="Y11" i="38"/>
  <c r="Y13" i="38" s="1"/>
  <c r="D20" i="22"/>
  <c r="J5" i="39"/>
  <c r="Y126" i="38"/>
  <c r="Y128" i="38" s="1"/>
  <c r="Y137" i="38"/>
  <c r="Y139" i="38" s="1"/>
  <c r="Y172" i="38"/>
  <c r="Y174" i="38" s="1"/>
  <c r="X81" i="38"/>
  <c r="AR100" i="14"/>
  <c r="AR205" i="14"/>
  <c r="AR82" i="14"/>
  <c r="AR173" i="14"/>
  <c r="AR476" i="14"/>
  <c r="AR509" i="14"/>
  <c r="AR674" i="14"/>
  <c r="D48" i="20"/>
  <c r="E41" i="19"/>
  <c r="AC175" i="14"/>
  <c r="AD557" i="14"/>
  <c r="AR562" i="14"/>
  <c r="AR276" i="14"/>
  <c r="AR118" i="14"/>
  <c r="AD416" i="14"/>
  <c r="AR496" i="14"/>
  <c r="AR443" i="14"/>
  <c r="AR224" i="14"/>
  <c r="AR287" i="14"/>
  <c r="AR653" i="14"/>
  <c r="AR635" i="14"/>
  <c r="AR329" i="14"/>
  <c r="G17" i="22"/>
  <c r="W349" i="38"/>
  <c r="H11" i="51"/>
  <c r="E16" i="50"/>
  <c r="H12" i="23"/>
  <c r="AD20" i="14"/>
  <c r="AD21" i="14" s="1"/>
  <c r="X302" i="38"/>
  <c r="G10" i="22"/>
  <c r="H15" i="49"/>
  <c r="H16" i="50"/>
  <c r="E15" i="49"/>
  <c r="H13" i="47"/>
  <c r="H15" i="23"/>
  <c r="G13" i="18"/>
  <c r="H3" i="39" s="1"/>
  <c r="H11" i="23"/>
  <c r="AR47" i="14"/>
  <c r="AR486" i="14"/>
  <c r="AD616" i="14"/>
  <c r="AR106" i="14"/>
  <c r="AR498" i="14"/>
  <c r="AD516" i="14"/>
  <c r="AR516" i="14" s="1"/>
  <c r="AR335" i="14"/>
  <c r="Y606" i="14"/>
  <c r="AR465" i="14"/>
  <c r="AR459" i="14"/>
  <c r="B2" i="39"/>
  <c r="J2" i="39" s="1"/>
  <c r="D15" i="22"/>
  <c r="D17" i="22"/>
  <c r="D19" i="22"/>
  <c r="D11" i="22"/>
  <c r="D13" i="22"/>
  <c r="G19" i="22"/>
  <c r="D16" i="22"/>
  <c r="AR249" i="14"/>
  <c r="AR597" i="14"/>
  <c r="B4" i="39"/>
  <c r="J4" i="39" s="1"/>
  <c r="J3" i="39"/>
  <c r="AR391" i="14"/>
  <c r="AD392" i="14"/>
  <c r="AD403" i="14" s="1"/>
  <c r="AR116" i="14"/>
  <c r="G15" i="22"/>
  <c r="E11" i="51"/>
  <c r="H14" i="23"/>
  <c r="H13" i="23"/>
  <c r="AR570" i="14"/>
  <c r="AD701" i="14"/>
  <c r="AR701" i="14" s="1"/>
  <c r="AR692" i="14"/>
  <c r="AR293" i="14"/>
  <c r="G2" i="39"/>
  <c r="G18" i="22"/>
  <c r="G12" i="22"/>
  <c r="G14" i="22"/>
  <c r="G16" i="22"/>
  <c r="AR61" i="14"/>
  <c r="K18" i="21"/>
  <c r="Y161" i="14"/>
  <c r="D14" i="22"/>
  <c r="D18" i="22"/>
  <c r="AR357" i="14"/>
  <c r="AD715" i="14"/>
  <c r="AD719" i="14" s="1"/>
  <c r="AB733" i="14"/>
  <c r="G11" i="22"/>
  <c r="AR60" i="14"/>
  <c r="D10" i="22"/>
  <c r="Y703" i="14"/>
  <c r="X186" i="38"/>
  <c r="G20" i="22"/>
  <c r="AD586" i="14" l="1"/>
  <c r="AR586" i="14" s="1"/>
  <c r="AD317" i="14"/>
  <c r="AR317" i="14" s="1"/>
  <c r="AR130" i="14"/>
  <c r="AD89" i="14"/>
  <c r="AR89" i="14" s="1"/>
  <c r="Y302" i="38"/>
  <c r="Y81" i="38"/>
  <c r="AO908" i="14"/>
  <c r="AB908" i="14"/>
  <c r="AR616" i="14"/>
  <c r="AD624" i="14"/>
  <c r="AD703" i="14" s="1"/>
  <c r="AR557" i="14"/>
  <c r="AD564" i="14"/>
  <c r="AR564" i="14" s="1"/>
  <c r="AR416" i="14"/>
  <c r="AD426" i="14"/>
  <c r="AR426" i="14" s="1"/>
  <c r="AR175" i="14"/>
  <c r="AC188" i="14"/>
  <c r="D49" i="20"/>
  <c r="E42" i="19"/>
  <c r="E43" i="19" s="1"/>
  <c r="D51" i="20" s="1"/>
  <c r="Y186" i="38"/>
  <c r="X349" i="38"/>
  <c r="AR20" i="14"/>
  <c r="G21" i="22"/>
  <c r="H2" i="39" s="1"/>
  <c r="D21" i="22"/>
  <c r="C2" i="39" s="1"/>
  <c r="H16" i="23"/>
  <c r="H5" i="39" s="1"/>
  <c r="AR257" i="14"/>
  <c r="AR136" i="14"/>
  <c r="AR715" i="14"/>
  <c r="AD733" i="14"/>
  <c r="AR392" i="14"/>
  <c r="Y908" i="14"/>
  <c r="Y910" i="14" s="1"/>
  <c r="AR910" i="14" s="1"/>
  <c r="AR403" i="14"/>
  <c r="AD380" i="14" l="1"/>
  <c r="Y349" i="38"/>
  <c r="AR624" i="14"/>
  <c r="AD606" i="14"/>
  <c r="AR188" i="14"/>
  <c r="AC380" i="14"/>
  <c r="D50" i="20"/>
  <c r="AR703" i="14"/>
  <c r="AR733" i="14"/>
  <c r="AR719" i="14"/>
  <c r="AR380" i="14" l="1"/>
  <c r="AR606" i="14"/>
  <c r="AD29" i="14"/>
  <c r="AD161" i="14" s="1"/>
  <c r="AD908" i="14" s="1"/>
  <c r="AE908" i="14"/>
  <c r="AC21" i="14"/>
  <c r="AC29" i="14" s="1"/>
  <c r="AC161" i="14" l="1"/>
  <c r="AR29" i="14"/>
  <c r="AR21" i="14"/>
  <c r="AC908" i="14" l="1"/>
  <c r="AR161" i="14"/>
  <c r="AR908" i="14" s="1"/>
  <c r="AR24" i="63"/>
  <c r="AR30" i="63"/>
</calcChain>
</file>

<file path=xl/comments1.xml><?xml version="1.0" encoding="utf-8"?>
<comments xmlns="http://schemas.openxmlformats.org/spreadsheetml/2006/main">
  <authors>
    <author>Segundo Alarcón Segovia</author>
  </authors>
  <commentList>
    <comment ref="J504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FIE</t>
        </r>
      </text>
    </comment>
    <comment ref="V738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61 01-08-2017</t>
        </r>
      </text>
    </comment>
    <comment ref="V743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3864 18.12.2015</t>
        </r>
      </text>
    </comment>
    <comment ref="V748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190 24/12/2015</t>
        </r>
      </text>
    </comment>
    <comment ref="V753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71 28/08/17</t>
        </r>
      </text>
    </comment>
    <comment ref="V757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 4235 11/12/2017</t>
        </r>
      </text>
    </comment>
    <comment ref="V761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4234 24/12/2015</t>
        </r>
      </text>
    </comment>
    <comment ref="V765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62 01/08/2017</t>
        </r>
      </text>
    </comment>
    <comment ref="V770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63 01/08/2017</t>
        </r>
      </text>
    </comment>
    <comment ref="V775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Resol. Nro. 179 04/12/2015</t>
        </r>
      </text>
    </comment>
    <comment ref="V849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6"/>
            <rFont val="Tahoma"/>
            <family val="2"/>
          </rPr>
          <t>ORE_1386_2019.pdf</t>
        </r>
      </text>
    </comment>
    <comment ref="V854" authorId="0">
      <text>
        <r>
          <rPr>
            <b/>
            <sz val="9"/>
            <rFont val="Tahoma"/>
            <family val="2"/>
          </rPr>
          <t>Segundo Alarcón Segovia:</t>
        </r>
        <r>
          <rPr>
            <sz val="9"/>
            <rFont val="Tahoma"/>
            <family val="2"/>
          </rPr>
          <t xml:space="preserve">
</t>
        </r>
        <r>
          <rPr>
            <sz val="12"/>
            <rFont val="Tahoma"/>
            <family val="2"/>
          </rPr>
          <t>ORE_2212_2018.pdf</t>
        </r>
      </text>
    </comment>
  </commentList>
</comments>
</file>

<file path=xl/sharedStrings.xml><?xml version="1.0" encoding="utf-8"?>
<sst xmlns="http://schemas.openxmlformats.org/spreadsheetml/2006/main" count="10329" uniqueCount="1713">
  <si>
    <t>MARCO</t>
  </si>
  <si>
    <t xml:space="preserve">PAGADO </t>
  </si>
  <si>
    <t xml:space="preserve">ACUMULADO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</si>
  <si>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</si>
  <si>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</si>
  <si>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</si>
  <si>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</si>
  <si>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</si>
  <si>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</si>
  <si>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</si>
  <si>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</si>
  <si>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</si>
  <si>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</si>
  <si>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</si>
  <si>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</si>
  <si>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MESES</t>
  </si>
  <si>
    <t>DECRETADO</t>
  </si>
  <si>
    <t>EFICIENCIA REGION DE LOS LAGOS</t>
  </si>
  <si>
    <t>EFICIENCIA PROMEDIO NACIONAL</t>
  </si>
  <si>
    <t>COSTO TOTAL</t>
  </si>
  <si>
    <t>FNDR 2020</t>
  </si>
  <si>
    <t>PROVINCIA</t>
  </si>
  <si>
    <t xml:space="preserve"> COSTO</t>
  </si>
  <si>
    <t>%</t>
  </si>
  <si>
    <t>PAGOS AÑOS ANTERIORES</t>
  </si>
  <si>
    <t xml:space="preserve"> COMPROMISO 2020</t>
  </si>
  <si>
    <t>% DIST. DEL COMPROMISO</t>
  </si>
  <si>
    <t xml:space="preserve"> TOTAL PAGADO  2020</t>
  </si>
  <si>
    <t>COMPROMISO 2019</t>
  </si>
  <si>
    <t>SALDO A DICIEMBRE</t>
  </si>
  <si>
    <t>% EFICIENCIA DE PAGOS</t>
  </si>
  <si>
    <t>SALDO AÑOS FUTURO</t>
  </si>
  <si>
    <t>OSORNO</t>
  </si>
  <si>
    <t>LLANQUIHUE</t>
  </si>
  <si>
    <t>CHILOE</t>
  </si>
  <si>
    <t>PALENA</t>
  </si>
  <si>
    <t>REGIONAL</t>
  </si>
  <si>
    <t>FOMENTO</t>
  </si>
  <si>
    <t>TOTAL</t>
  </si>
  <si>
    <t>INICIATIVAS</t>
  </si>
  <si>
    <t>PROV. OSORNO</t>
  </si>
  <si>
    <t>PTO. OCTAY</t>
  </si>
  <si>
    <t>PURRANQUE</t>
  </si>
  <si>
    <t>PUYEHUE</t>
  </si>
  <si>
    <t>RIO NEGRO</t>
  </si>
  <si>
    <t>SAN JUAN DE LA COSTA</t>
  </si>
  <si>
    <t>SAN PABLO</t>
  </si>
  <si>
    <t>PROV.LLANQUIHUE</t>
  </si>
  <si>
    <t>CALBUCO</t>
  </si>
  <si>
    <t>COCHAMO</t>
  </si>
  <si>
    <t>FRESIA</t>
  </si>
  <si>
    <t>FRUTILLAR</t>
  </si>
  <si>
    <t>LOS MUERMOS</t>
  </si>
  <si>
    <t>MAULLIN</t>
  </si>
  <si>
    <t>P. MONTT</t>
  </si>
  <si>
    <t>P.VARAS</t>
  </si>
  <si>
    <t>PROV. CHILOE</t>
  </si>
  <si>
    <t>ANCUD</t>
  </si>
  <si>
    <t>CASTRO</t>
  </si>
  <si>
    <t>CHONCHI</t>
  </si>
  <si>
    <t>CURACO DE VÉLEZ</t>
  </si>
  <si>
    <t>DALCAHUE</t>
  </si>
  <si>
    <t>PUQUELDON</t>
  </si>
  <si>
    <t>QUEILEN</t>
  </si>
  <si>
    <t>QUELLON</t>
  </si>
  <si>
    <t>QUEMCHI</t>
  </si>
  <si>
    <t>QUINCHAO</t>
  </si>
  <si>
    <t>PROV. PALENA</t>
  </si>
  <si>
    <t>CHAITEN</t>
  </si>
  <si>
    <t>FUTALEUFU</t>
  </si>
  <si>
    <t>HUALAIHUE</t>
  </si>
  <si>
    <t>MARCO DECRETADO V/S COMPROMISO 2020</t>
  </si>
  <si>
    <t>COMPROMISO V/S PAGOS 2020</t>
  </si>
  <si>
    <t>PROVISIÓN</t>
  </si>
  <si>
    <t xml:space="preserve">MARCO DECRETADO </t>
  </si>
  <si>
    <t>COMPROMISO 2020</t>
  </si>
  <si>
    <t>DIFERENCIA</t>
  </si>
  <si>
    <t>PAGOS 2020</t>
  </si>
  <si>
    <t>% DIST. DE LOS PAGOS</t>
  </si>
  <si>
    <t>SALDO</t>
  </si>
  <si>
    <t>LIBRE</t>
  </si>
  <si>
    <t>FAR</t>
  </si>
  <si>
    <t>PV</t>
  </si>
  <si>
    <t>FRIL</t>
  </si>
  <si>
    <t>ENERGIZACION</t>
  </si>
  <si>
    <t>FIE</t>
  </si>
  <si>
    <t>RSD</t>
  </si>
  <si>
    <t>FIC</t>
  </si>
  <si>
    <t>PIR</t>
  </si>
  <si>
    <t>PVP</t>
  </si>
  <si>
    <t xml:space="preserve">  </t>
  </si>
  <si>
    <t>SECTOR</t>
  </si>
  <si>
    <t>SALDO AÑOS FUTUROS</t>
  </si>
  <si>
    <t>SUBTITULO</t>
  </si>
  <si>
    <t xml:space="preserve"> TOTAL GASTO AÑOS ANTERIORES</t>
  </si>
  <si>
    <t xml:space="preserve"> COMPROMISO  2020</t>
  </si>
  <si>
    <t xml:space="preserve"> TOTAL PAGADO 2020</t>
  </si>
  <si>
    <t>SALDO PROXIMOS AÑOS</t>
  </si>
  <si>
    <t>COSTO</t>
  </si>
  <si>
    <t>P R E S U P U E S T O     2 0 2 0</t>
  </si>
  <si>
    <t>IMPRIMIR</t>
  </si>
  <si>
    <t>SUBT.</t>
  </si>
  <si>
    <t>ESTADO</t>
  </si>
  <si>
    <t>TIPO CALIDAD</t>
  </si>
  <si>
    <t>AREA DE INVERSION</t>
  </si>
  <si>
    <t>COMUNA</t>
  </si>
  <si>
    <t>cod</t>
  </si>
  <si>
    <t>PROV.</t>
  </si>
  <si>
    <t>ETAPA</t>
  </si>
  <si>
    <t>BIP</t>
  </si>
  <si>
    <t>SECTORIALISTA</t>
  </si>
  <si>
    <t>CONCATENAR BIP + ETAPA</t>
  </si>
  <si>
    <t>ID LICITACION</t>
  </si>
  <si>
    <t>NOMBRE DEL PROYECTO</t>
  </si>
  <si>
    <t>OBS.</t>
  </si>
  <si>
    <t>COSTO SEGÚN FICHA IDI / CERTIFICADO GORE</t>
  </si>
  <si>
    <t>N° RES. EX / AFECTA</t>
  </si>
  <si>
    <t>COSTO SEGÚN CONVENIO</t>
  </si>
  <si>
    <t>CONTRATO</t>
  </si>
  <si>
    <t>SALDO COMPROMISO</t>
  </si>
  <si>
    <t>PAGOS DE DICIEMBRE</t>
  </si>
  <si>
    <t>PAGOS DE NOVIEMBRE</t>
  </si>
  <si>
    <t>ARRASTRE</t>
  </si>
  <si>
    <t>RATE 2020</t>
  </si>
  <si>
    <t>SITUACION ACTUAL</t>
  </si>
  <si>
    <t>SI</t>
  </si>
  <si>
    <t>COMUNA DE OSORNO</t>
  </si>
  <si>
    <t>INICIATIVAS EN EJECUCION / LIQUIDACION / TERMINADA</t>
  </si>
  <si>
    <t>A</t>
  </si>
  <si>
    <t>TRANSPORTE Y VIVIENDA</t>
  </si>
  <si>
    <t>URBANO</t>
  </si>
  <si>
    <t>CONECTIVIDAD</t>
  </si>
  <si>
    <t>EJECUCION</t>
  </si>
  <si>
    <t>Ignacio Ortiz Martin</t>
  </si>
  <si>
    <t>30043744EJECUCION</t>
  </si>
  <si>
    <t>MEJORAMIENTO AVENIDA REPUBLICA</t>
  </si>
  <si>
    <t>* CERT. CORE 71 06.04.17, APRUEBA AUMENTO DE PPTO.</t>
  </si>
  <si>
    <t>RS</t>
  </si>
  <si>
    <t xml:space="preserve">En Ejecución </t>
  </si>
  <si>
    <t>EDUCACIÓN Y CULTURA</t>
  </si>
  <si>
    <t>SOCIAL</t>
  </si>
  <si>
    <t>30070862EJECUCION</t>
  </si>
  <si>
    <t>REPOSICION LICEO CARMELA CARVAJAL DE PRAT, OSORNO.</t>
  </si>
  <si>
    <t>* CERT. 246 22.08.19 - APRUEBA AUMENTO PPTO</t>
  </si>
  <si>
    <t>DEFENSA Y SEGURIDAD</t>
  </si>
  <si>
    <t>GLORIA DEL CARMEN QUEZADA VELASQUEZ</t>
  </si>
  <si>
    <t>30165522EJECUCION</t>
  </si>
  <si>
    <t>CONSERVACION Y EQUIP. EDIFI. CIAS. BOMBEROS 4TA;5TA Y CUARTEL GENERAL (C33)</t>
  </si>
  <si>
    <t>RS*</t>
  </si>
  <si>
    <t>MULTISECTORIAL</t>
  </si>
  <si>
    <t>30135711EJECUCION</t>
  </si>
  <si>
    <t>REPOSICION CASA DE ACOGIDA DE LA DISCAPACIDAD</t>
  </si>
  <si>
    <t>40003069EJECUCION</t>
  </si>
  <si>
    <t>2308-91-LE19</t>
  </si>
  <si>
    <t>CONSERVACION VEREDAS CERVANTES COMUNA DE OSORNO (C33)</t>
  </si>
  <si>
    <t>30134836EJECUCION</t>
  </si>
  <si>
    <t>2308-97-LR19</t>
  </si>
  <si>
    <t>REPOSICION ESCUELA RURAL WALTERIO MEYER RUSCA, AGUA BUENA, OSORNO</t>
  </si>
  <si>
    <t>Licitación Adjudicada</t>
  </si>
  <si>
    <t>DEPORTE</t>
  </si>
  <si>
    <t>40004690EJECUCION</t>
  </si>
  <si>
    <t>2308-108-LR19</t>
  </si>
  <si>
    <t>MEJORAMIENTO INSTALACIONES ATLÉTICAS VILLA OLÍMPICA, OSORNO</t>
  </si>
  <si>
    <t>* CERT. CORE 245 22.08.19 - APRUEBA INCORPORAR CON CARGO AL FNDR.</t>
  </si>
  <si>
    <t>SALUD</t>
  </si>
  <si>
    <t>30087456EJECUCION</t>
  </si>
  <si>
    <t>** CONSTRUCCION CENTRO DE DIALIZADOS Y TRANSPLANTADOS RENALES</t>
  </si>
  <si>
    <t>* CERT. CORE 133 ABRIL 2020 - INCORPORA SALDO</t>
  </si>
  <si>
    <t>AGUA POTABLE Y ALCANTARILLADO</t>
  </si>
  <si>
    <t>RURAL</t>
  </si>
  <si>
    <t>30257472EJECUCION</t>
  </si>
  <si>
    <t>2308-101-LR19</t>
  </si>
  <si>
    <t>CONSTRUCCION RED DE ALCANTARILLADO Y PLANTA DE TRATAMIENTO SECTOR PICHIL, OSORNO</t>
  </si>
  <si>
    <t>* CERT. CORE 175 20.06 - APRUEBA ETAPA EJECUCION CON CARGO FNDR.</t>
  </si>
  <si>
    <t>30062818EJECUCION</t>
  </si>
  <si>
    <t>** AMPLIACION CESFAM OVEJERIA OSORNO</t>
  </si>
  <si>
    <t>* CERT. CORE 117 ABRIL 2020 INCOPORA SALDO</t>
  </si>
  <si>
    <t>30129384EJECUCION</t>
  </si>
  <si>
    <t>** CONSTRUCCION CENTRO DE REFERENCIA Y DIAGNOSTICO MEDICO</t>
  </si>
  <si>
    <t>* CERT. CORE 116 ABRIL 2020 INCORPORA SALDO</t>
  </si>
  <si>
    <t>30470902EJECUCION</t>
  </si>
  <si>
    <t>** NORMALIZACION CECOSF COMUNA DE OSORNO (BOX DENTAL)</t>
  </si>
  <si>
    <t>* CERT. CORE 115 ABRIL 2020, INCORPORA SALDO PENDIENTE</t>
  </si>
  <si>
    <t>FRILEJECUCION</t>
  </si>
  <si>
    <t>FONDO REGIONAL DE INICIATIVAS LOCAL - ACUERDO SOCIAL</t>
  </si>
  <si>
    <t>RS**</t>
  </si>
  <si>
    <t>FONDO REGIONAL DE INICIATIVAS LOCAL - ANEXO PAGINA 2</t>
  </si>
  <si>
    <t>TOTAL DE INICIATIVAS EN EJECUCION / LIQUIDACION / TERMINADAS</t>
  </si>
  <si>
    <t>INICIATIVAS EN CONVENIO / LICITACION / ADJUDICACION</t>
  </si>
  <si>
    <t>30463800EJECUCION</t>
  </si>
  <si>
    <t>Convenio en Confección</t>
  </si>
  <si>
    <t>30123182EJECUCION</t>
  </si>
  <si>
    <t>656-58-LR19</t>
  </si>
  <si>
    <t>CONSTRUCCION PARQUE HOTT DE OSORNO</t>
  </si>
  <si>
    <t>* CERT. CORE 206 07.19 - SE INCORPORA AL PPTO 2019 CON CARGO AL FNDR</t>
  </si>
  <si>
    <t>En Licitación</t>
  </si>
  <si>
    <t>N</t>
  </si>
  <si>
    <t>40019022EJECUCION</t>
  </si>
  <si>
    <t>* REPOSICION VEREDAS POBLACION ANGULO, COMUNA DE OSORNO</t>
  </si>
  <si>
    <t xml:space="preserve">* CERT. CORE 206 07.19 - SE INCORPORA AL PPTO 2019 CON CARGO AL FNDR / * CERT. CORE 162 05,20 CAMBIA NOMBRE </t>
  </si>
  <si>
    <t>Convenio en Tramite</t>
  </si>
  <si>
    <t>TOTAL DE INICIATIVAS EN CONVENIO / LICITACION / ADJUDICACION</t>
  </si>
  <si>
    <t>DISEÑO</t>
  </si>
  <si>
    <t>SR</t>
  </si>
  <si>
    <t>RECURSOS NATURALES Y MEDIO AMBIENTE</t>
  </si>
  <si>
    <t>Sin Ficha IDI 2020</t>
  </si>
  <si>
    <t>OT</t>
  </si>
  <si>
    <t>AGUA POTABLE</t>
  </si>
  <si>
    <t>FI</t>
  </si>
  <si>
    <t>Sin Rate por Falta de Información</t>
  </si>
  <si>
    <t>TOTAL COMUNA DE  OSORNO</t>
  </si>
  <si>
    <t>COMUNA DE PUERTO OCTAY</t>
  </si>
  <si>
    <t>30412923DISEÑO</t>
  </si>
  <si>
    <t>CONSTRUCCION POSTA SALUD EL PONCHO</t>
  </si>
  <si>
    <t>En Liquidación</t>
  </si>
  <si>
    <t>30478036EJECUCION</t>
  </si>
  <si>
    <t>739231-39-LR19</t>
  </si>
  <si>
    <t>REPOSICION ESCUELA RURAL EL ISLOTE RUPANCO, PUERTO OCTAY</t>
  </si>
  <si>
    <t>* CERT. CORE 247 22.08.19 - APRUEBA REINCORPORAR CON CARGO AL FNDR.</t>
  </si>
  <si>
    <t>30362030EJECUCION</t>
  </si>
  <si>
    <t>REPOSICION CONTENEDORES PARA LA DISPOSICION DE RSD EN LA COMUNA (C33)</t>
  </si>
  <si>
    <t>40008506EJECUCION</t>
  </si>
  <si>
    <t>739231-45-LE19</t>
  </si>
  <si>
    <t>40013401EJECUCION</t>
  </si>
  <si>
    <t>CONSERVACION CAMINOS NO ENROLADOS 6 SECTORES RURALES COMUNA DE PUERTO OCTAY (C33)</t>
  </si>
  <si>
    <t>*CERT. CORE 281 12.09.19 - APRUEBA AUMENTO PPTO. / * ORD. 3251 27.09.19 (RS)</t>
  </si>
  <si>
    <t>nada en Mercado Publico</t>
  </si>
  <si>
    <t>40018079EJECUCION</t>
  </si>
  <si>
    <t>ADQUISICION CAMION MULTIPROPOSITO COMUNA DE PUERTO OCTAY (C33)</t>
  </si>
  <si>
    <t>TOTAL COMUNA DE  PUERTO OCTAY</t>
  </si>
  <si>
    <t>COMUNA DE PURRANQUE</t>
  </si>
  <si>
    <t>30397335EJECUCION</t>
  </si>
  <si>
    <t>CONSTRUCCION SERVICIO APR COLONIA PONCE, PURRANQUE</t>
  </si>
  <si>
    <t>30134930EJECUCION</t>
  </si>
  <si>
    <t>CONSTRUCCION ESTADIO CORTE-ALTO, PURRANQUE</t>
  </si>
  <si>
    <t>40005410EJECUCION</t>
  </si>
  <si>
    <t>CONSERVACION VEREDAS SECTOR CENTRO NORTE, COMUNA DE PURRANQUE (C33)</t>
  </si>
  <si>
    <t>40005409EJECUCION</t>
  </si>
  <si>
    <t>CONSERVACION CAMINOS NO ENROLADOS COMUNA DE PURRANQUE (C33)</t>
  </si>
  <si>
    <t>(en blanco)</t>
  </si>
  <si>
    <t>30171924DISEÑO</t>
  </si>
  <si>
    <t>REPOSICION POSTA RURAL COLONIA PONCE, PURRANQUE</t>
  </si>
  <si>
    <t>30171923DISEÑO</t>
  </si>
  <si>
    <t>REPOSICION POSTA DE SALUD RURAL HUEYUSCA, PURRANQUE</t>
  </si>
  <si>
    <t>* CERT. CORE 127 05.19 - APRUEBA AUMENTO PPTO Y ACTUALIZA COSTO</t>
  </si>
  <si>
    <t>30068433DISEÑO</t>
  </si>
  <si>
    <t>CONSTRUCCION POSTA RURAL MANQUEMAPU - PURRANQUE</t>
  </si>
  <si>
    <t>* CERT. CORE 19 02.19 - INCORPORA ITEM CONSULTORIA. * CERT. CORE 69 04.19 - ACTUALIZA PPTO.</t>
  </si>
  <si>
    <t>30171875DISEÑO</t>
  </si>
  <si>
    <t>3443-47-LE19</t>
  </si>
  <si>
    <t>REPOSICION POSTA SALUD RURAL COLIGUAL, PURRANQUE</t>
  </si>
  <si>
    <t>ENERGIA</t>
  </si>
  <si>
    <t>30426825EJECUCION</t>
  </si>
  <si>
    <t>* HABILITACION SUMINISTRO ELECTRICO SECTOR LA POZA, COMUNA PURRANQUE</t>
  </si>
  <si>
    <t>* CERT. CORE 95 03.2020 - AUMENTA PPTO</t>
  </si>
  <si>
    <t>40005408EJECUCION</t>
  </si>
  <si>
    <t>REPOSICION DE LUMINARIAS Y EQUIPOS DEL ALUMBRADO PUBLICO, COMUNA DE PURRANQUE (C33)</t>
  </si>
  <si>
    <t>* ORD. 125 15.01.2020 (C33) - RS</t>
  </si>
  <si>
    <t>40019095EJECUCION</t>
  </si>
  <si>
    <t>CONSERVACION VEREDAS SECTOR CENTRO SUR (C33)</t>
  </si>
  <si>
    <t>40016563EJECUCION</t>
  </si>
  <si>
    <t>** REPOSICION RETROEXCAVADORA, COMUNA PURRANQUE (C33)</t>
  </si>
  <si>
    <t>* CERT. CORE 94 03.2020 - EN REEMPLAZO DEL 40019357 BUS</t>
  </si>
  <si>
    <t>40019354EJECUCION</t>
  </si>
  <si>
    <t>CONSERVACION CAMINOS NO ENROLADOS COLONIA PONCE (C33)</t>
  </si>
  <si>
    <t>40019217EJECUCION</t>
  </si>
  <si>
    <t>HABILITACION SUMINISTRO ENERGIA ELECTRICA POR AUTOGENERACION SECTOR SAN PEDRO</t>
  </si>
  <si>
    <t>TOTAL COMUNA DE  PURRANQUE</t>
  </si>
  <si>
    <t>COMUNA DE PUYEHUE</t>
  </si>
  <si>
    <t>40001354EJECUCION</t>
  </si>
  <si>
    <t>** REPOSICION DE CAMION TOLVA Y ADQUISICION DE CAMION Y MINICARGADOR (C33)</t>
  </si>
  <si>
    <t>* / * CERT. CORE 19 01.20 - INCORPORAR INICIATIVA FNDR 2020</t>
  </si>
  <si>
    <t>30067012EJECUCION</t>
  </si>
  <si>
    <t>** REPOSICION PARCIAL LICEO LAS AMERICAS ENTRE LAGOS</t>
  </si>
  <si>
    <t>* CERT. CORE 118 ABRIL 2020 INCORPORA SALDO</t>
  </si>
  <si>
    <t>IN</t>
  </si>
  <si>
    <t>40018376EJECUCION</t>
  </si>
  <si>
    <t>2885-5-LP20</t>
  </si>
  <si>
    <t>ADQUISICION CAMION LIMPIA FOSAS, COMUNA DE PUYEHUE (C33)</t>
  </si>
  <si>
    <t>* CERT. CORE 383 21.11.19 - APRUEBA ADQ. CON CARGO FNDR</t>
  </si>
  <si>
    <t>40015603EJECUCION</t>
  </si>
  <si>
    <t>1515-8-LQ20</t>
  </si>
  <si>
    <t>HABILITACION ESTRUCTURA MODULAR MAQUINA RX CF CARDENAL SAMORE, PUYEHUE</t>
  </si>
  <si>
    <t xml:space="preserve">* CERT. CORE 422 18.12.19 - APRUEBA INICIATIVA ETAPA EJECUCION </t>
  </si>
  <si>
    <t>40007052DISEÑO</t>
  </si>
  <si>
    <t>1077241-3-LE20</t>
  </si>
  <si>
    <t>REPOSICION CECOSF EL ENCANTO, COMUNA DE PUYEHUE</t>
  </si>
  <si>
    <t>* CERT. CORE 305 26.09.19 - APRUEBA ETAPA DISEÑO CON CARGO FNDR</t>
  </si>
  <si>
    <t>40020266EJECUCION</t>
  </si>
  <si>
    <t>HABILITACION ELECTRICA VARIOS SECTORES DE LA COMUNA</t>
  </si>
  <si>
    <t>* CERT. CORE 33 07.02.20 - APRUEBA</t>
  </si>
  <si>
    <t>TOTAL COMUNA DE  PUYEHUE</t>
  </si>
  <si>
    <t>COMUNA DE RIO NEGRO</t>
  </si>
  <si>
    <t>30088194DISEÑO</t>
  </si>
  <si>
    <t>REPOSICION ESCUELA ANDREW JACKSON RIO NEGRO</t>
  </si>
  <si>
    <t>30284622EJECUCION</t>
  </si>
  <si>
    <t>450-134-LR19</t>
  </si>
  <si>
    <t>REPOSICION PLAZA DE ARMAS RIO NEGRO</t>
  </si>
  <si>
    <t>FONDO REGIONAL DE INICIATIVAS LOCAL - ANEXO PAGINA 3</t>
  </si>
  <si>
    <t>40008792EJECUCION</t>
  </si>
  <si>
    <t>REPOSICION VEHICULOS Y MAQUINARIAS Y ADQUISICION DE EXCAVADORA (C33)</t>
  </si>
  <si>
    <t>Terminada</t>
  </si>
  <si>
    <t>40010103DISEÑO</t>
  </si>
  <si>
    <t>CONSTRUCCION CECOSF CHIFIN</t>
  </si>
  <si>
    <t>1075 11,05,20</t>
  </si>
  <si>
    <t>TOTAL COMUNA DE  RIO NEGRO</t>
  </si>
  <si>
    <t>COMUNA DE SAN JUAN DE LA COSTA</t>
  </si>
  <si>
    <t>30110580EJECUCION</t>
  </si>
  <si>
    <t>REPOSICION LICEO INTERNADO ANTULAFKEN PUAUCHO</t>
  </si>
  <si>
    <t>30071878EJECUCION</t>
  </si>
  <si>
    <t>REPOSICION CONSULTORIO DE SALUD RURAL BAHIA MANSA</t>
  </si>
  <si>
    <t>30124368EJECUCION</t>
  </si>
  <si>
    <t>HABILITACION SUMINISTRO ENERGIA ELECTRICA, SECTOR ALEUCAPI</t>
  </si>
  <si>
    <t>40019284EJECUCION</t>
  </si>
  <si>
    <t>HABILITACION SUMINISTRO DE FOTOVOLTAICA LA BARRA</t>
  </si>
  <si>
    <t>TOTAL COMUNA DE  SAN JUAN DE LA COSTA</t>
  </si>
  <si>
    <t>COMUNA DE SAN PABLO</t>
  </si>
  <si>
    <t>30405773DISEÑO</t>
  </si>
  <si>
    <t>REPOSICION POSTA RURAL LA POZA, COMUNA DE SAN PABLO</t>
  </si>
  <si>
    <t>40000985EJECUCION</t>
  </si>
  <si>
    <t>ADQUISICION EQUIPAMIENTO EDUCATIVO PARA ESTABLECIMIENTOS DE ENSEÑANZA BASICA PRIMER CICLO (C33)</t>
  </si>
  <si>
    <t>* CERT. CORE 254 22.08.19 - APRUEBA INCORPORAR CON CARGO AL FNDR</t>
  </si>
  <si>
    <t>30247072EJECUCION</t>
  </si>
  <si>
    <t>MEJORAMIENTO ACCESO NORTE A SAN PABLO</t>
  </si>
  <si>
    <t>40000986EJECUCION</t>
  </si>
  <si>
    <t>2943-24-LQ19 / 2943-26-LQ19</t>
  </si>
  <si>
    <t>ADQUISICION EQUIPOS Y EQUIPAMIENTOS PARA ESTABLECIMIENTOS EDUCACIÓN BÁSICA 2DO CICLO (C33)</t>
  </si>
  <si>
    <t>* CERT. CORE 306 26.09.19 - APRUEBA INCORPORAR CON CARGO AL FNDR</t>
  </si>
  <si>
    <t>40012048EJECUCION</t>
  </si>
  <si>
    <t>2943-3-LE20</t>
  </si>
  <si>
    <t xml:space="preserve">MINIBUS PARA EL TRASLADO DE PACIENTES DIALIZADOS, CESFAM  (C33) </t>
  </si>
  <si>
    <t>* ORD. 3196 13.09.2019 RS</t>
  </si>
  <si>
    <t>40013525EJECUCION</t>
  </si>
  <si>
    <t>ADQUISICION CAMION COMPACTADOR RSD (C33)</t>
  </si>
  <si>
    <t>* ORD. 4008 09.12.2019 RS</t>
  </si>
  <si>
    <t>TOTAL COMUNA DE  SAN PABLO</t>
  </si>
  <si>
    <t>PROVINCIALES</t>
  </si>
  <si>
    <t>KARIN DEL CARMEN BARRIENTOS WINTER</t>
  </si>
  <si>
    <t>30086815EJECUCION</t>
  </si>
  <si>
    <t>CONSTRUCCION  RELLENO SANITARIO PROV. DE OSORNO</t>
  </si>
  <si>
    <t>40001554EJECUCION</t>
  </si>
  <si>
    <t>CONSERVACION DE CAMINOS DE ACC. COMUN. INDIGENAS PUYEHUE, RIO NEGRO Y PURRANQUE (C33)</t>
  </si>
  <si>
    <t>30126279EJECUCION</t>
  </si>
  <si>
    <t>REPOSICION CENTRO COMUNITARIO SALUD MENTAL OSORNO</t>
  </si>
  <si>
    <t>* CERT. CORE 89 04.19 - AUMENTO PPTO E ITEM OBRAS CIVILES * CERT. CORE 277 12.09.19 - AUMENTA PPTO</t>
  </si>
  <si>
    <t>30448275EJECUCION</t>
  </si>
  <si>
    <t>** CONSERVACION CAMINOS VECINALES POR GLOSA 7, ETAPA 1, PROVINCIA OSORNO(C33)</t>
  </si>
  <si>
    <t>* CERT. CORE 88 04.19 - AUMENTA ITEM OBRAS CIVILES Y ACTUALIZA COSTO. / * CERT CORE 21 01.20 - INCORPORAR PPTO FNDR 2020</t>
  </si>
  <si>
    <t>30087497EJECUCION</t>
  </si>
  <si>
    <t>30126943EJECUCION</t>
  </si>
  <si>
    <t>MEJORAMIENTO HOSPITAL DE RIO NEGRO</t>
  </si>
  <si>
    <t>30402378EJECUCION</t>
  </si>
  <si>
    <t>DIAGNOSTICO INFRAESTRUCTURA PSR DE LA RED ASISTENCIAL DE OSORNO</t>
  </si>
  <si>
    <t>40020228EJECUCION</t>
  </si>
  <si>
    <t>** REPOSICION AMBULANCIAS SAMU SERVICIO SALUD OSORNO (C33)</t>
  </si>
  <si>
    <t>* CERT. CORE 143 04.2020 - INCORPORA</t>
  </si>
  <si>
    <t>1056 05,05,20</t>
  </si>
  <si>
    <t>40023321EJECUCION</t>
  </si>
  <si>
    <t>** ADQUISICION  E INSTALACION CARPA HOSPITALARIA HOSPITAL SAN JOSÉ DE OSORNO (C33)</t>
  </si>
  <si>
    <t>* CERT. CORE 145 04.2020 - INCORPORA</t>
  </si>
  <si>
    <t>1055 05,05,20</t>
  </si>
  <si>
    <t>30395473EJECUCION</t>
  </si>
  <si>
    <t>CONSERVACION CAMINOS BASICOS,CAMINO U-925,CARRIL-MEDIALUNA PAMPAGRANDE (C33)</t>
  </si>
  <si>
    <t>PREFACTIBILIDAD</t>
  </si>
  <si>
    <t>TOTAL PROVINCIALES</t>
  </si>
  <si>
    <t>TOTAL PROVINCIA DE OSORNO</t>
  </si>
  <si>
    <t>COMUNA DE PUERTO MONTT</t>
  </si>
  <si>
    <t>30440174EJECUCION</t>
  </si>
  <si>
    <t>CONSERVACION MULTICANCHA CUBIERTA LICEO DE HOMBRES MANUEL MONTT (C33)</t>
  </si>
  <si>
    <t>* CERT. CORE 179 08.18 - AUMENTA COSTO CON CARGO AL FNDR.</t>
  </si>
  <si>
    <t>40005337DISEÑO</t>
  </si>
  <si>
    <t>REPOSICION POSTA TRAPEN, PUERTO MONTT</t>
  </si>
  <si>
    <t>* CERT. CORE 242 22.08.19 - APRUEBA INCORPORAR CON CARGO AL FNDR.</t>
  </si>
  <si>
    <t>PAULINA HUIDOBRO JARAMI</t>
  </si>
  <si>
    <t>30103446EJECUCION</t>
  </si>
  <si>
    <t>CONSTRUCCION ESTABLECIMIENTO EDUCACIONAL SEC. ALERCE I ETAPA P MONTT</t>
  </si>
  <si>
    <t>* CERT. CORE 36 03.19 - ACTUALIZA PPTO, EMPERO, A OBS. CONTRALORIA ACTUALIZA PPTO DE ACUERDO A FICHA IDI.</t>
  </si>
  <si>
    <t>30072731EJECUCION</t>
  </si>
  <si>
    <t>* MEJORAMIENTO CALLE ANTONIO VARAS, PUERTO MONTT</t>
  </si>
  <si>
    <t>* CERT. CORE 79 03.2020 - AUMENTA PPTO</t>
  </si>
  <si>
    <t>30080460EJECUCION</t>
  </si>
  <si>
    <t>** CONSTRUCCION PUENTE EL SARGAZO DE PTO MONTT</t>
  </si>
  <si>
    <t>* CERT. CORE 303 26.09.19 - AUMENTO DE PPTO. / * CERT. CORE 08 01.20 - INCORPORAR PPTO FNDR 2020</t>
  </si>
  <si>
    <t>30104476EJECUCION</t>
  </si>
  <si>
    <t>CONSTRUCCION CIERRE VERTEDERO MUNICIPAL COMUNA DE PUERTO MONTT</t>
  </si>
  <si>
    <t>FONDO REGIONAL DE INICIATIVAS LOCAL - ANEXO PAGINA 4</t>
  </si>
  <si>
    <t>20190549EJECUCION</t>
  </si>
  <si>
    <t>AMPLIACION Y REMODELACION CONSULTORIO ANTONIO VARAS, PUERTO MONTT</t>
  </si>
  <si>
    <t>30080922DISEÑO</t>
  </si>
  <si>
    <t>REPOSICIÓN POSTA DE SALUD RURAL DE HUELMO</t>
  </si>
  <si>
    <t>30080921DISEÑO</t>
  </si>
  <si>
    <t>2332-84-LE19</t>
  </si>
  <si>
    <t>REPOSICION POSTA  RURAL DE PIEDRA  AZUL, PUERTO MONTT</t>
  </si>
  <si>
    <t>* CERT. CORE 243 22.08.19 - APRUEBA INCORPORAR CON CARGO AL FNDR.</t>
  </si>
  <si>
    <t>Licitación Desierta</t>
  </si>
  <si>
    <t>30270222DISEÑO</t>
  </si>
  <si>
    <t>REPOSICIÓN POSTA DE SALUD RURAL DE CORRENTOSO</t>
  </si>
  <si>
    <t>ALCANTARILLADO</t>
  </si>
  <si>
    <t>30429872EJECUCION</t>
  </si>
  <si>
    <t>CONSTRUCCION REDES AGUA POTABLE Y ALC. VILLA LOS PINOS ALTOS</t>
  </si>
  <si>
    <t>1101 18,05,20</t>
  </si>
  <si>
    <t>30077490EJECUCION</t>
  </si>
  <si>
    <t>* CONSERVACION CASA PAULY PUERTO MONTT</t>
  </si>
  <si>
    <t>* CERT. CORE 06 01.20 - AUMENTA PPTO</t>
  </si>
  <si>
    <t>980 27,04,20</t>
  </si>
  <si>
    <t>30115395EJECUCION</t>
  </si>
  <si>
    <t>CONSTRUCCION CUARTEL OCTAVA COMPAÑIA DE BOMBEROS, PUERTO MONTT</t>
  </si>
  <si>
    <t>869 27,04,20</t>
  </si>
  <si>
    <t>40012877EJECUCION</t>
  </si>
  <si>
    <t>MEJORAMIENTO CALLE ESPAÑA ENTRE CALLE QUEPE Y AVDA. JUAN SOLER MANFREDINI</t>
  </si>
  <si>
    <t>30128140EJECUCION</t>
  </si>
  <si>
    <t xml:space="preserve">NORMALIZACION CESFAM ALERCE </t>
  </si>
  <si>
    <t>TOTAL COMUNA DE  P. MONTT</t>
  </si>
  <si>
    <t>COMUNA DE CALBUCO</t>
  </si>
  <si>
    <t>SUBSIDIO OPERACIÓN SIST. AUTOGENERACION QUENU TABON</t>
  </si>
  <si>
    <t>RS***</t>
  </si>
  <si>
    <t>30087299EJECUCION</t>
  </si>
  <si>
    <t>CONSTRUCCION CEMENTERIO MUNICIPAL DE CALBUCO</t>
  </si>
  <si>
    <t>* CERT. CORE 403 05.12.19 - AUMENTO PPTO A $1.283.216.463</t>
  </si>
  <si>
    <t>NO</t>
  </si>
  <si>
    <t>CONSULTORIA</t>
  </si>
  <si>
    <t>EQUIPAMIENTO</t>
  </si>
  <si>
    <t>EQUIPOS</t>
  </si>
  <si>
    <t>GASTOS ADMINISTRATIVOS</t>
  </si>
  <si>
    <t>OBRAS CIVILES</t>
  </si>
  <si>
    <t>20086686EJECUCION</t>
  </si>
  <si>
    <t>REPOSICION PARCIAL LICEO POLITECNICO DE CALBUCO</t>
  </si>
  <si>
    <t>* CERTIF. CORE 204 07.19 - AUMENTA PPTO A $9.889.982.000</t>
  </si>
  <si>
    <t>30326322DISEÑO</t>
  </si>
  <si>
    <t>REPOSICION ESCUELA BERNARDO OHIGGINS, CALBUCO</t>
  </si>
  <si>
    <t>30135967EJECUCION</t>
  </si>
  <si>
    <t>CONSTRUCCION ESTACION DE TRANSFERENCIA LA CAMPANA, CALBUCO</t>
  </si>
  <si>
    <t>40015774EJECUCION</t>
  </si>
  <si>
    <t>CONSTRUCCION PAVIMENTO CALLE SAN ANDRES Y LOS TULIPANES</t>
  </si>
  <si>
    <t>40015770EJECUCION</t>
  </si>
  <si>
    <t>CONSTRUCCION PAVIMENTO CALLE CONDELL, FRAGATA COCHRANE Y LAS VERTIENTES</t>
  </si>
  <si>
    <t>30465134EJECUCION</t>
  </si>
  <si>
    <t>ACTUALIZACION PLAN REGULADOR COMUNAL CALBUCO (C33)</t>
  </si>
  <si>
    <t>* ORD. 4152 12.12.2019 (RS)</t>
  </si>
  <si>
    <t>868 27,04,20</t>
  </si>
  <si>
    <t>30480526EJECUCION</t>
  </si>
  <si>
    <t>CONSTRUCCION SERVICIO AGUA POTABLE RURAL LA CAMPANA</t>
  </si>
  <si>
    <t>TOTAL COMUNA DE  CALBUCO</t>
  </si>
  <si>
    <t>COMUNA DE COCHAMO</t>
  </si>
  <si>
    <t>30085125DISEÑO</t>
  </si>
  <si>
    <t>REPOSICION POSTA DE SALUD RURAL PASO EL LEON, COCHAMO</t>
  </si>
  <si>
    <t>30328431DISEÑO</t>
  </si>
  <si>
    <t>CONSTRUCCION GIMNASIO LLANADA GRANDE</t>
  </si>
  <si>
    <t>40006863DISEÑO</t>
  </si>
  <si>
    <t>4831-20-LQ19</t>
  </si>
  <si>
    <t>REPOSICION ESCUELA JUAN SOLER MANFREDINI, COCHAMO</t>
  </si>
  <si>
    <t>* CERT. CORE 230 08.08.19 - APRUEBA INCORPORAR CON CARGO AL FNDR</t>
  </si>
  <si>
    <t>30328279EJECUCION</t>
  </si>
  <si>
    <t>4831-6-LQ20</t>
  </si>
  <si>
    <t>EQUIPOS DE ALUMBRADO PUBLICO LOCALIDADES DE RIO PUELO Y LLANADA GRANDE (C33)</t>
  </si>
  <si>
    <t>* ORD. 3930 29.11.2019 RS</t>
  </si>
  <si>
    <t>40005418EJECUCION</t>
  </si>
  <si>
    <t>4831-2-LQ20</t>
  </si>
  <si>
    <t>ADQUISICION Y REPOSICION AMBULANCIAS DE EMERGENCIAS PARA TRASLADO DE PACIENTES (C33)</t>
  </si>
  <si>
    <t>30116479EJECUCION</t>
  </si>
  <si>
    <t>4831-7-LR20</t>
  </si>
  <si>
    <t>* CONSTRUCCION SISTEMA APR DE LLAGUEPE</t>
  </si>
  <si>
    <t>* CERT. CORE 41 07.02.20 - ACTUALIZA COSTO</t>
  </si>
  <si>
    <t>40013393EJECUCION</t>
  </si>
  <si>
    <t>** ADQUISICION EQUIPAMIENTO DIDACTICO PARA 14 ESTABLECIMIENTOS EDUCACIONALES, PRIMER CICLO (C33)</t>
  </si>
  <si>
    <t>* CERT. CORE 75 03.2020 - APRUEBA INCORPORAR PPTO20</t>
  </si>
  <si>
    <t>40015801DISEÑO</t>
  </si>
  <si>
    <t>REPOSICION ESCUELA LLANADA GRANDE</t>
  </si>
  <si>
    <t>40019107EJECUCION</t>
  </si>
  <si>
    <t>HABILITACION SUMINISTRO E.E. SISTEMA FOTOVOLTAICO INDIVIDUALES SECTOR EL MANSO</t>
  </si>
  <si>
    <t>TOTAL COMUNA DE  COCHAMO</t>
  </si>
  <si>
    <t>COMUNA DE FRESIA</t>
  </si>
  <si>
    <t>30088011EJECUCION</t>
  </si>
  <si>
    <t>CONSTRUCCION PLANTA DE TRATAMIENTO PARGA</t>
  </si>
  <si>
    <t>30397144EJECUCION</t>
  </si>
  <si>
    <t>CONSTRUCCION SISTEMA APR SECTOR LAS CRUCES, COMUNA DE FRESIA</t>
  </si>
  <si>
    <t>30396276EJECUCION</t>
  </si>
  <si>
    <t>CONSERVACION EDIFICIO DAEM, FRESIA (C33)</t>
  </si>
  <si>
    <t>30282773EJECUCION</t>
  </si>
  <si>
    <t>REPOSICION POSTA DE SALUD RURAL EL TRAIGUEN, FRESIA</t>
  </si>
  <si>
    <t>30340925EJECUCION</t>
  </si>
  <si>
    <t>** REPOSICION GANCHOS Y LUMINARIAS COMUNA DE FRESIA (C33)</t>
  </si>
  <si>
    <t>* CERT. CORE 17 01.20 - APRUEBA INCORPORAR INICIATIVA PPTO 2020</t>
  </si>
  <si>
    <t>30212472EJECUCION</t>
  </si>
  <si>
    <t>CONSTRUCCION APR EL MAÑIO</t>
  </si>
  <si>
    <t>* CERT. CORE 20 02.19 - APRUEBA INCORPORAR ITEM OBRAS CIVILES * CERT. CORE 35 03.19 - ACTUALIZA PPTO.</t>
  </si>
  <si>
    <t>FONDO REGIONAL DE INICIATIVAS LOCAL - ANEXO PAGINA 5</t>
  </si>
  <si>
    <t>30134714EJECUCION</t>
  </si>
  <si>
    <t>CONSTRUCCION ESTADIO MUNICIPAL ANFUR, COMUNA DE FRESIA</t>
  </si>
  <si>
    <t>* CERT. CORE 332 10.10.19 - APRUEBA INCORPORAR INICIATIVA CON CARGO AL FNDR.</t>
  </si>
  <si>
    <t>40006229EJECUCION</t>
  </si>
  <si>
    <t>4037-132-LR19</t>
  </si>
  <si>
    <t>MEJORAMIENTO DIVERSAS CALLES, COMUNA DE FRESIA</t>
  </si>
  <si>
    <t>30396424EJECUCION</t>
  </si>
  <si>
    <t>CONSERVACION CAMINOS NO ENROLADOS, DIVERSOS SECTORES DE FRESIA (C33)</t>
  </si>
  <si>
    <t>* ORD. 3275 30.09.2019 (RS)</t>
  </si>
  <si>
    <t>TOTAL COMUNA DE  FRESIA</t>
  </si>
  <si>
    <t>COMUNA DE FRUTILLAR</t>
  </si>
  <si>
    <t>30484262EJECUCION</t>
  </si>
  <si>
    <t>CONSTRUCCION SERVICIO DE APR LOMA DE LA PIEDRA-LA HUACHA, FRUTILLAR</t>
  </si>
  <si>
    <t>30465246EJECUCION</t>
  </si>
  <si>
    <t>CONSTRUCCION RED DE APR SECTOR VILLA ALEGRE</t>
  </si>
  <si>
    <t>40005302EJECUCION</t>
  </si>
  <si>
    <t>CONSERVACION LICEO POLITECNICO IGNACIO CARRERA PINTO FRUTILLAR (C33)</t>
  </si>
  <si>
    <t>30077934EJECUCION</t>
  </si>
  <si>
    <t>CONSTRUCCION CALLE NUEVA NUEVE DE FRUTILLAR</t>
  </si>
  <si>
    <t>30485141EJECUCION</t>
  </si>
  <si>
    <t>2289-42-LQ19</t>
  </si>
  <si>
    <t>CONSTRUCCION SISTEMA DE APR SECT. LOS RADALES, COMUNA FRUTILLAR</t>
  </si>
  <si>
    <t>30485139EJECUCION</t>
  </si>
  <si>
    <t>2289-45-LQ19</t>
  </si>
  <si>
    <t>CONSTRUCCION SERVICIO DE APR SECTOR PICHILOPEZ, FRUTILLAR</t>
  </si>
  <si>
    <t>30485133EJECUCION</t>
  </si>
  <si>
    <t>CONSTRUCCION RED DE AGUA POTABLE SECTOR PEDERNAL, COMUNA FRUTILLAR</t>
  </si>
  <si>
    <t>* CERT. CORE 280 12.09.19 - APRUEBA AUMENTO PPTO</t>
  </si>
  <si>
    <t>30085259EJECUCION</t>
  </si>
  <si>
    <t>2289-56-LR19</t>
  </si>
  <si>
    <t>REPOSICION ESCUELA ARTURO ALESSANDRI PALMA FRUTILLAR</t>
  </si>
  <si>
    <t>* CERT. CORE 232 08.08.19 - APRUEBA INCORPORAR CON CARGO AL FNDR.</t>
  </si>
  <si>
    <t>30485115EJECUCION</t>
  </si>
  <si>
    <t>* CONSTRUCCION SERVICIO DE APR SECTOR BALMACEDA-PARAGUAY, FRUTILLAR</t>
  </si>
  <si>
    <t>* CERT. CORE 248 22.08.19 - APRUEBA REINCORPORAR CON CARGO FNDR./ * CERT. CORE 42 07.02.20 - ACTUALIZA COSTO</t>
  </si>
  <si>
    <t>no encuentra en Mercado</t>
  </si>
  <si>
    <t>TOTAL COMUNA DE  FRUTILLAR</t>
  </si>
  <si>
    <t>COMUNA DE LLANQUIHUE</t>
  </si>
  <si>
    <t>30076574EJECUCION</t>
  </si>
  <si>
    <t>** REPOSICION EDIFICIO CONSISTORIAL, LLANQUIHUE</t>
  </si>
  <si>
    <t>* CERT. CORE 137 04.2020 - INCORPORA</t>
  </si>
  <si>
    <t>40007476EJECUCION</t>
  </si>
  <si>
    <t>1437-40-LR19</t>
  </si>
  <si>
    <t>* CONSTRUCCION APR COLEGUAL ESPERANZA, LLANQUIHUE</t>
  </si>
  <si>
    <t>* CERT. CORE 129 05.19 - ACTUALIZA NOMBRE Y CODIGO. / * CERT. CORE 43 07.02.20 - ACTUALIZA COSTO</t>
  </si>
  <si>
    <t>40005289DISEÑO</t>
  </si>
  <si>
    <t>MEJORAMIENTO ESPACIO PUBLICO HUMEDAL EL LOTO, LLANQUIHUE</t>
  </si>
  <si>
    <t>1054 05,05,20</t>
  </si>
  <si>
    <t>TOTAL COMUNA DE  LLANQUIHUE</t>
  </si>
  <si>
    <t>COMUNA DE LOS MUERMOS</t>
  </si>
  <si>
    <t>30361529DISEÑO</t>
  </si>
  <si>
    <t>MEJORAMIENTO SISTEMA APR CAÑITAS-RIO FRIO, LOS MUERMOS</t>
  </si>
  <si>
    <t>40004593EJECUCION</t>
  </si>
  <si>
    <t>CONSERVACION CAMINOS VECINALES, COMUNA LOS MUERMOS (C33)</t>
  </si>
  <si>
    <t>30465403DISEÑO</t>
  </si>
  <si>
    <t>CONSTRUCCION SERVICIO APR SECTOR CUESTA LA VACA, C LOS MUERMOS</t>
  </si>
  <si>
    <t>30289475EJECUCION</t>
  </si>
  <si>
    <t>1522-18-LR19</t>
  </si>
  <si>
    <t>CONSTRUCCION SERVICIO APR SAN CARLOS EL ÑADY</t>
  </si>
  <si>
    <t>40009545EJECUCION</t>
  </si>
  <si>
    <t>1522-19-LR19</t>
  </si>
  <si>
    <t>CONSERVACION VEREDAS SECTOR LOS MUERMOS  (C33)</t>
  </si>
  <si>
    <t>* CERT. CORE 08.08.19 - APRUEBA INCORPORAR CON CARGO AL FNDR.</t>
  </si>
  <si>
    <t>FONDO REGIONAL DE INICIATIVAS LOCAL - ANEXO PAGINA 6</t>
  </si>
  <si>
    <t>40011672EJECUCION</t>
  </si>
  <si>
    <t>REPOSICION RETROEXCAVADORA (C33)</t>
  </si>
  <si>
    <t>* ORD. 4040 11.12.2019 RS</t>
  </si>
  <si>
    <t>30103323EJECUCION</t>
  </si>
  <si>
    <t>CONSTRUCCION CIERRE EX VERTEDERO MUNICIPAL LOS MUERMOS</t>
  </si>
  <si>
    <t>si</t>
  </si>
  <si>
    <t>30422722EJECUCION</t>
  </si>
  <si>
    <t>1522-1-LR20</t>
  </si>
  <si>
    <t>CONSTRUCCION SERVICIO APR SANTA AMANDA, LOS MUERMOS</t>
  </si>
  <si>
    <t>* CERT. CORE 375 - APRUEBA INCORPORAR INICIATIVA CON CARGO AL FNDR</t>
  </si>
  <si>
    <t>40014292EJECUCION</t>
  </si>
  <si>
    <t>1522-6-LP20</t>
  </si>
  <si>
    <t>ADQUISICION DE AMBULANCIA DE EMERGENCIA BASICA, LOS MUERMOS (C33)</t>
  </si>
  <si>
    <t>* ORD. 3822 21.11.2019 RS</t>
  </si>
  <si>
    <t>30463128DISEÑO</t>
  </si>
  <si>
    <t>MEJORAMIENTO CALLE MANUEL MONTT BARRIO COMERCIAL</t>
  </si>
  <si>
    <t>870 27,04,20</t>
  </si>
  <si>
    <t>40011005EJECUCION</t>
  </si>
  <si>
    <t>1522-5-LR20</t>
  </si>
  <si>
    <t>CONSERVACION VEREDAS SECTOR CANITAS Y RIO FRIO (C33)</t>
  </si>
  <si>
    <t>* ORD. 2737 21.08.2019 (RS)</t>
  </si>
  <si>
    <t>30125824DISEÑO</t>
  </si>
  <si>
    <t>AMPLIACION Y REMODELACION INTEGRAL CONSISTORIAL LOS MUERMOS</t>
  </si>
  <si>
    <t>TOTAL COMUNA DE  LOS MUERMOS</t>
  </si>
  <si>
    <t>COMUNA DE MAULLIN</t>
  </si>
  <si>
    <t>30117891EJECUCION</t>
  </si>
  <si>
    <t>MEJORAMIENTO CINCO CALLES LOCALIDAD DE CARELMAPU</t>
  </si>
  <si>
    <t>30390477EJECUCION</t>
  </si>
  <si>
    <t>REPOSICION VEREDAS ACCESO A CARELMAPU, MAULLIN</t>
  </si>
  <si>
    <t>* CERT. CORE 205 07.19 - APRUEBA APORTE COMPLEMENTARIO E INCORPORAR COSTO AL FNDR.</t>
  </si>
  <si>
    <t>30117895DISEÑO</t>
  </si>
  <si>
    <t>MEJORAMIENTO SIETE CALLES LOCALIDAD DE QUENUIR, COMUNA DE MAULLIN</t>
  </si>
  <si>
    <t>30115466EJECUCION</t>
  </si>
  <si>
    <t>4086-132-LR19</t>
  </si>
  <si>
    <t>CONSTRUCCION SISTEMA ALCANT. Y TRATAM. AGUAS SERVIDAS DE LOLCURA, MAULLIN</t>
  </si>
  <si>
    <t>40003228EJECUCION</t>
  </si>
  <si>
    <t>4086-12-H220</t>
  </si>
  <si>
    <t>REPOSICION DE MOTONIVELADORA MUNICIPALIDAD DE MAULLIN (C33)</t>
  </si>
  <si>
    <t>40007939EJECUCION</t>
  </si>
  <si>
    <t>REPOSICION EQUIPOS DE ALUMBRADO PUBLICO CON TECNOLOGIA LED  (C33)</t>
  </si>
  <si>
    <t>* ORD. 370 10.02.2020 (C33) - RS</t>
  </si>
  <si>
    <t>30485255EJECUCION</t>
  </si>
  <si>
    <t>HABILITACION SUMINISTRO ENERGIA ELECTRICA SECTOR QUEMAS DE CHUYAQUEN, MAULLIN</t>
  </si>
  <si>
    <t>TOTAL COMUNA DE  MAULLIN</t>
  </si>
  <si>
    <t>COMUNA DE PUERTO VARAS</t>
  </si>
  <si>
    <t>30064230EJECUCION</t>
  </si>
  <si>
    <t>REPOSICION ESTADIO EWALDO KLEIN DE PUERTO VARAS</t>
  </si>
  <si>
    <t>40005578EJECUCION</t>
  </si>
  <si>
    <t>* MEJORAMIENTO CALLE TERRAPLEN, PUERTO VARAS</t>
  </si>
  <si>
    <t>* CERT. CORE 92 03.2020 - AUMENTA PPTO</t>
  </si>
  <si>
    <t>40001254EJECUCION</t>
  </si>
  <si>
    <t>MEJORAMIENTO CALLE SAN MARTIN, PUERTO VARAS</t>
  </si>
  <si>
    <t>* CERT. CORE 374 07.11.19 - APRUEBA AUMENTO PPTO.</t>
  </si>
  <si>
    <t>30066636EJECUCION</t>
  </si>
  <si>
    <t>REPOSICION ESCUELA EPSON ENSENADA</t>
  </si>
  <si>
    <t>* CERT. CORE 278 12.09.19 - APRUEBA AUMENTO PPTO</t>
  </si>
  <si>
    <t>30396974EJECUCION</t>
  </si>
  <si>
    <t>ADQUISICION LUMINARIAS LED ALUMBRADO PUBLICO, PUERTO VARAS (C33)</t>
  </si>
  <si>
    <t>30436694EJECUCION</t>
  </si>
  <si>
    <t>ADQUISICION EQUIPAMIENTO ESTABLECIMIENTOS EDUCACIONALES, PTO VARAS(C33)</t>
  </si>
  <si>
    <t>40005278EJECUCION</t>
  </si>
  <si>
    <t>CONSERVACION VIAS URBANAS PUERTO VARAS (C33)</t>
  </si>
  <si>
    <t>30485313EJECUCION</t>
  </si>
  <si>
    <t>2852-112-LR19</t>
  </si>
  <si>
    <t>CONSERVACION PLAZA DE ARMAS Y SU ENTORNO, PUERTO VARAS (C33)</t>
  </si>
  <si>
    <t>30204522EJECUCION</t>
  </si>
  <si>
    <t>REPOSICION CUARTEL SEXTA COMPAÑIA DE BOMBEROS</t>
  </si>
  <si>
    <t>INDUSTRIA, COMERCIO, FINANZAS Y TURISMO</t>
  </si>
  <si>
    <t>TURISMO</t>
  </si>
  <si>
    <t>40014647EJECUCION</t>
  </si>
  <si>
    <t>** MEJORAMIENTO SENDERO SALTOS DEL PETROHUE, P. NACIONAL VIC. PEREZ ROSALES, PUERTO VARAS</t>
  </si>
  <si>
    <t>* CERT. CORE 74 03.2020 - APRUEBA INCORPORAR PPTO2020</t>
  </si>
  <si>
    <t>40010719EJECUCION</t>
  </si>
  <si>
    <t>MEJORAMIENTO CALLE Y PASAJE LA QUEBRADA</t>
  </si>
  <si>
    <t>40015147EJECUCION</t>
  </si>
  <si>
    <t>CONSERVACION ACERAS DIVERSOS SECTORES DE PUERTO VARAS (C33)</t>
  </si>
  <si>
    <t>40019241EJECUCION</t>
  </si>
  <si>
    <t>TOTAL COMUNA DE  P.VARAS</t>
  </si>
  <si>
    <t>30342773EJECUCION</t>
  </si>
  <si>
    <t>MEJORAMIENTO RUTA V 69 SECTOR RALUN COCHAMO</t>
  </si>
  <si>
    <t>30380331EJECUCION</t>
  </si>
  <si>
    <t>CONSTRUCCION Y HABILITACION CENTRO DE DIALISIS HOSPITAL DE CALBUCO</t>
  </si>
  <si>
    <t>30133755EJECUCION</t>
  </si>
  <si>
    <t>CONSERVACION RED VIAL DE VARIOS CAMINOS PAVIMENTADOS AÑO 2013 (C33)</t>
  </si>
  <si>
    <t>30077481EJECUCION</t>
  </si>
  <si>
    <t>827-22-O119</t>
  </si>
  <si>
    <t>RESTAURACION IGLESIA N. SRA. DE LA CANDELARIA (MN), CARELMAPU</t>
  </si>
  <si>
    <t>* CORE 358 24.10.19 - AUMENTA PPTO ($ 2.057.540.000)</t>
  </si>
  <si>
    <t>30077182EJECUCION</t>
  </si>
  <si>
    <t>REPOSICION CUARTEL INVESTIGACIONES PUERTO VARAS</t>
  </si>
  <si>
    <t>30127010EJECUCION</t>
  </si>
  <si>
    <t>MEJORAMIENTO CALLE EL TENIENTE BARRIO INDUSTRIAL</t>
  </si>
  <si>
    <t>40008014EJECUCION</t>
  </si>
  <si>
    <t>ADQUISICION VEHICULOS POLICIALES PARA PATRULLAS ANTI-ABIGEATOS PROVINCIA DE LLANQUIHUE (C33)</t>
  </si>
  <si>
    <t>* ORD. 1003 12.04.2019 RS</t>
  </si>
  <si>
    <t>30437675DISEÑO</t>
  </si>
  <si>
    <t>CONSTRUCCION INTERTERRAZAS PUERTO MONTT, ETAPA I</t>
  </si>
  <si>
    <t>SILVOAGROPECUARIO</t>
  </si>
  <si>
    <t>FOMENTO PRODUCTIVO</t>
  </si>
  <si>
    <t>TOTAL PROVINCIA DE LLANQUIHUE</t>
  </si>
  <si>
    <t>COMUNA DE ANCUD</t>
  </si>
  <si>
    <t>FRANCISCA MONTECINO  OPAZO</t>
  </si>
  <si>
    <t>30085972EJECUCION</t>
  </si>
  <si>
    <t>REPOSICION ESCUELA RURAL DE LINAO, ANCUD.</t>
  </si>
  <si>
    <t>* CERT. CORE 41 03.19 - AUMENTA Y ACTUALIZA PPTO.</t>
  </si>
  <si>
    <t>HARRY FRANKLIN  MONSALVE FUENTES</t>
  </si>
  <si>
    <t>30341232EJECUCION</t>
  </si>
  <si>
    <t>30476333EJECUCION</t>
  </si>
  <si>
    <t>CONSTRUCCION SISTEMA DE APR SECTOR GUABUN, ANCUD</t>
  </si>
  <si>
    <t>30486350EJECUCION</t>
  </si>
  <si>
    <t>** CONSERVACION SALAS MULTIUSO Y EJERCICIOS GIMNASIO FISCAL DE ANCUD (C33)</t>
  </si>
  <si>
    <t>* CERT. CORE 136 04.2020 - INCORPORA</t>
  </si>
  <si>
    <t>30109898EJECUCION</t>
  </si>
  <si>
    <t>2660-57-LR19</t>
  </si>
  <si>
    <t>CONSTRUCCION SISTEMA DE APR SECTOR CAULIN LA CUMBRE, ANCUD</t>
  </si>
  <si>
    <t>* CERT. CORE 228 08.08.19 - APRUEBA INCORPORAR CON CARGO FNDR</t>
  </si>
  <si>
    <t>FONDO REGIONAL DE INICIATIVAS LOCAL - ANEXO PAGINA 7</t>
  </si>
  <si>
    <t>40009233EJECUCION</t>
  </si>
  <si>
    <t>CONSTRUCCION REDES DE AP Y ALC. DE AGUAS SERVIDAS DIVERSOS SECTORES CIUDAD DE ANCUD</t>
  </si>
  <si>
    <t>* CERT. CORE 309 26.09.19 - APRUEBA ETAPA EJECUCION CON CARGO FNDR</t>
  </si>
  <si>
    <t>30093349EJECUCION</t>
  </si>
  <si>
    <t>REPOSICION POSTA SALUD RURAL DE MANAO, COMUNA DE ANCUD</t>
  </si>
  <si>
    <t>* CERT. CORE 384 21.10.19 - APRUEBA EJECUCION CON CARGO AL FNDR</t>
  </si>
  <si>
    <t>975 27,04,20</t>
  </si>
  <si>
    <t>30116708EJECUCION</t>
  </si>
  <si>
    <t>* CONSTRUCCION RED APR PUMANZANO, ANCUD</t>
  </si>
  <si>
    <t>* CERT. CORE 44 07.02.20 - ACTUALIZA COSTO</t>
  </si>
  <si>
    <t>977 27,04,20</t>
  </si>
  <si>
    <t>40017416EJECUCION</t>
  </si>
  <si>
    <t>CONSTRUCCION RED DE AGUA POTABLE Y ALCANTARILLADO CALLE EL CERRO Y PASAJE 1 CAUCUMEO</t>
  </si>
  <si>
    <t>* CERT. CORE 33 07.02.20 - APRUEBA COMPLEMENTO A.SOCIAL</t>
  </si>
  <si>
    <t>1077 13,05,20</t>
  </si>
  <si>
    <t>40001823EJECUCION</t>
  </si>
  <si>
    <t>* AMPLIACION SALA PSICOMOTRIZ Y HABITOS FISICOS</t>
  </si>
  <si>
    <t>* CERT. CORE 119 ABRIL 2020 - ACTUALIZA COSTO</t>
  </si>
  <si>
    <t>1076 13,05,20</t>
  </si>
  <si>
    <t>40020270EJECUCION</t>
  </si>
  <si>
    <t>HABILITACION SUMINISTRO E.E. SISTEMA FOTOVOLTAICOS INDIVIDUALES SECTOR PUNTRA</t>
  </si>
  <si>
    <t>40012136EJECUCION</t>
  </si>
  <si>
    <t>HABILITACION ELECTRIFICACION RURAL KM 26 y 27</t>
  </si>
  <si>
    <t>30095465EJECUCION</t>
  </si>
  <si>
    <t>INSTALACION AGUA POTABLE RURAL DE PUÑIHUIL</t>
  </si>
  <si>
    <t>40009430EJECUCION</t>
  </si>
  <si>
    <t>HABILITACION SUMINISTRO ELECTRICO SECTOR RURAL LOS MAÑIOS</t>
  </si>
  <si>
    <t>30488875EJECUCION</t>
  </si>
  <si>
    <t>HABILITACION SUMINISTRO ELECTRICO SECTOR TAIQUEMEO LA MONTAÑA</t>
  </si>
  <si>
    <t>30471852EJECUCION</t>
  </si>
  <si>
    <t>CONSTRUCCION SISTEMA DE AGUA POTABLE RURAL SECTOR AGUAS BUENAS</t>
  </si>
  <si>
    <t>TOTAL COMUNA DE  ANCUD</t>
  </si>
  <si>
    <t>COMUNA DE CASTRO</t>
  </si>
  <si>
    <t>30485135EJECUCION</t>
  </si>
  <si>
    <t>CONSERVACION VEREDAS CASTRO ALTO, COMUNA DE CASTRO (C33)</t>
  </si>
  <si>
    <t>30121787EJECUCION</t>
  </si>
  <si>
    <t>CONSTRUCCION REDES DE AGUA POTABLE  Y ALCANTARILLADO DIVERSOS SECTORES</t>
  </si>
  <si>
    <t>30076949DISEÑO</t>
  </si>
  <si>
    <t>REPOSICION ESCUELA DE LA CULTURA, FRIDOLINA BARRIENTOS, CASTRO</t>
  </si>
  <si>
    <t>282 06-12-19</t>
  </si>
  <si>
    <t>40003369EJECUCION</t>
  </si>
  <si>
    <t>966131-77-LR19</t>
  </si>
  <si>
    <t>CONSERVACION CAMINOS ISLA QUEHUI, COMUNA DE CASTRO (C33)</t>
  </si>
  <si>
    <t>* CERT. CORE 227 08.08.19 - APRUEBA CAMBIO DE IDI.</t>
  </si>
  <si>
    <t>SUBSIDIO OPERACIÓN SIST. AUTOGENERACION ISLA QUEHUI</t>
  </si>
  <si>
    <t>30076663EJECUCION</t>
  </si>
  <si>
    <t>966131-55-LR19</t>
  </si>
  <si>
    <t>CONSERVACION FERIA LILLO COMUNA CASTRO (C33)</t>
  </si>
  <si>
    <t>20140221EJECUCION</t>
  </si>
  <si>
    <t>966131-80-LR19</t>
  </si>
  <si>
    <t>REPOSICION POSTA DE SALUD RURAL DE LA ISLA CHELIN, CASTRO</t>
  </si>
  <si>
    <t>40002877EJECUCION</t>
  </si>
  <si>
    <t>MEJORAMIENTO URBANISTICO AVENIDA O´HIGGINS Y AVENIDA SAN MARTIN CASTRO</t>
  </si>
  <si>
    <t>867 27,04,20</t>
  </si>
  <si>
    <t>40005957DISEÑO</t>
  </si>
  <si>
    <t>* REPOSICION MUSEO MUNICIPAL Y BIBLIOTECA PUBLICA</t>
  </si>
  <si>
    <t>40007844EJECUCION</t>
  </si>
  <si>
    <t>* REPOSICION CAMIONES Y CONTENEDORES COMUNA DE CASTRO (C33)</t>
  </si>
  <si>
    <t>* ORD. 3098 06.09.2019 RS * CERT. CORE 140 04.2020 - ACTUALIZA COSTO</t>
  </si>
  <si>
    <t>40014732EJECUCION</t>
  </si>
  <si>
    <t>CONSERVACION CAMINOS RURALES Y URBANOS SECTOR TEN TEN Y LA CHACRAN (C33)</t>
  </si>
  <si>
    <t>TOTAL COMUNA DE  CASTRO</t>
  </si>
  <si>
    <t>COMUNA DE CHONCHI</t>
  </si>
  <si>
    <t>30091901EJECUCION</t>
  </si>
  <si>
    <t>* MEJORAMIENTO Y AMPLIACION  APR DE HUILLINCO</t>
  </si>
  <si>
    <t>* CERT. CORE 45 07.02.20 - ACTUALIZA COSTO</t>
  </si>
  <si>
    <t>30126506EJECUCION</t>
  </si>
  <si>
    <t>CONSTRUCCION CUARTEL 2° COMPAÑIA BOMBEROS DE LA COMUNA DE CHONCHI</t>
  </si>
  <si>
    <t>30208122EJECUCION</t>
  </si>
  <si>
    <t>** REPOSICION CONTENEDORES DE RESIDUOS SOLIDOS DOMICILIARIOS (C33)</t>
  </si>
  <si>
    <t>* CERT. CORE 134 04.2020 - INCORPORA AL EESS</t>
  </si>
  <si>
    <t>30126522EJECUCION</t>
  </si>
  <si>
    <t>ACTUALIZACION PLAN REGULADOR COMUNA DE CHONCHI (C33)</t>
  </si>
  <si>
    <t>20157700DISEÑO</t>
  </si>
  <si>
    <t>REPOSICION ESCUELA RURAL DE QUITRIPULLI</t>
  </si>
  <si>
    <t>30466394EJECUCION</t>
  </si>
  <si>
    <t>CONSTRUCCION SISTEMA APR DE TARAHUIN, CHONCHI</t>
  </si>
  <si>
    <t>30126487DISEÑO</t>
  </si>
  <si>
    <t>4318-31-LP19</t>
  </si>
  <si>
    <t>REPOSICION ESCUELA RURAL DE HUILLINCO COMUNA DE CHONCHI</t>
  </si>
  <si>
    <t>30476688EJECUCION</t>
  </si>
  <si>
    <t>4318-34-LR19</t>
  </si>
  <si>
    <t>REPOSICION POSTA SALUD RURAL CUCAO, COMUNA CHONCHI</t>
  </si>
  <si>
    <t>30484959DISEÑO</t>
  </si>
  <si>
    <t>4318-41-LP19</t>
  </si>
  <si>
    <t>CONSTRUCCION CENTRO DEPORTIVO MUNICIPAL COMUNA DE CHONCHI</t>
  </si>
  <si>
    <t>40006762EJECUCION</t>
  </si>
  <si>
    <t>4318-44-LR19</t>
  </si>
  <si>
    <t>CONSERVACION CAMINOS NO ENROLADOS COMUNA DE CHONCHI (C33)</t>
  </si>
  <si>
    <t>CONSTRUCCION SERVICIO AGUA POTABLE RURAL SECTOR EL PULPITO,CHONCHI</t>
  </si>
  <si>
    <t>30120665EJECUCION</t>
  </si>
  <si>
    <t>HABILITACION SUMINISTRO ENERGIA ELECTRICA SECTOR NALHUITAD CHONCHI</t>
  </si>
  <si>
    <t>40014051EJECUCION</t>
  </si>
  <si>
    <t>ADQUISICION DE CONTENEDORES RESIDUOS SOLIDOS DOMICILIARIOS CHONCHI URBANO (C33)</t>
  </si>
  <si>
    <t>TOTAL COMUNA DE  CHONCHI</t>
  </si>
  <si>
    <t>COMUNA DE CURACO DE VELEZ</t>
  </si>
  <si>
    <t>30095333DISEÑO</t>
  </si>
  <si>
    <t>REPOSICION ESTADIO MUNICIPAL CURACO DE VELEZ</t>
  </si>
  <si>
    <t>30135738EJECUCION</t>
  </si>
  <si>
    <t>REPOSICION POSTA DE SALUD HUYAR ALTO</t>
  </si>
  <si>
    <t>30135739EJECUCION</t>
  </si>
  <si>
    <t>REPOSICION POSTA DE SALUD DE PALQUI</t>
  </si>
  <si>
    <t>FONDO REGIONAL DE INICIATIVAS LOCAL - ANEXO PAGINA 8</t>
  </si>
  <si>
    <t>40018060EJECUCION</t>
  </si>
  <si>
    <t>REPOSICION RETROEXCAVADORA MUNICIPAL, CURACO DE VELEZ (C33)</t>
  </si>
  <si>
    <t>* ORD. 369 10.02.2020 (C33) - RS</t>
  </si>
  <si>
    <t>TOTAL COMUNA DE  C.VELEZ</t>
  </si>
  <si>
    <t>COMUNA DE DALCAHUE</t>
  </si>
  <si>
    <t>30395727EJECUCION</t>
  </si>
  <si>
    <t>CONSTRUCCION REDES AGUA POTABLE Y ALC ST VISTA HERMOSA</t>
  </si>
  <si>
    <t>30134014EJECUCION</t>
  </si>
  <si>
    <t>CONSTRUCCION GIMNASIO TENAUN</t>
  </si>
  <si>
    <t>30129912DISEÑO</t>
  </si>
  <si>
    <t>CONSTRUCCION CENTRO CIVICO DE DALCAHUE</t>
  </si>
  <si>
    <t>30485152EJECUCION</t>
  </si>
  <si>
    <t>* CONSTRUCCION REDES DE AP Y ALCANT. DIVERSOS SECTORES CIUDAD DALCAHUE</t>
  </si>
  <si>
    <t>* CERT.CORE 78 03.2020 / AUMETO PPTO</t>
  </si>
  <si>
    <t>40004659EJECUCION</t>
  </si>
  <si>
    <t>3520-5-LR20</t>
  </si>
  <si>
    <t>CONSTRUCCION SISTEMA APR SECTOR BUTALCURA</t>
  </si>
  <si>
    <t>40001662DISEÑO</t>
  </si>
  <si>
    <t>3520-16-LE20</t>
  </si>
  <si>
    <t>CONSTRUCCION RECINTO DEPORTIVO SECTOR MOCOPULLI, COMUNA DE DALCAHUE</t>
  </si>
  <si>
    <t>30134013EJECUCION</t>
  </si>
  <si>
    <t>3520-15-LR20</t>
  </si>
  <si>
    <t>REPOSICION ESCUELA TEHUACO - QUETALCO COMUNA DE DALCAHUE</t>
  </si>
  <si>
    <t>30419547EJECUCION</t>
  </si>
  <si>
    <t>MEJORAMIENTO INTEGRAL ESCUELA BASICA DE DALCAHUE</t>
  </si>
  <si>
    <t>40013905EJECUCION</t>
  </si>
  <si>
    <t>PAVIMENTACION DIVERSOS SECTORES</t>
  </si>
  <si>
    <t>TOTAL COMUNA DE  DALCAHUE</t>
  </si>
  <si>
    <t>COMUNA DE PUQUELDON</t>
  </si>
  <si>
    <t>30466153EJECUCION</t>
  </si>
  <si>
    <t>** ADQUISICION CAMION MULIPROPOSITO MUNICIPALIDAD DE PUQUELDON(C33)</t>
  </si>
  <si>
    <t>* CERT. CORE 135 04.2020 INCORPORA AL EE.SS</t>
  </si>
  <si>
    <t>30042613EJECUCION</t>
  </si>
  <si>
    <t>NORMALIZACION CONSULTORIO RURAL PUQUELDON</t>
  </si>
  <si>
    <t>40006078EJECUCION</t>
  </si>
  <si>
    <t>816696-1-LR20</t>
  </si>
  <si>
    <t>CONSERVACION CAMINOS  VECINALES EN 9 SECTORES RURALES - COMUNA DE PUQUELDON (C33)</t>
  </si>
  <si>
    <t>* CERT. CORE 244 22.08.19 - APRUEBA AUMENTO PPTO,</t>
  </si>
  <si>
    <t>TOTAL COMUNA DE  PUQUELDON</t>
  </si>
  <si>
    <t>COMUNA DE QUEILEN</t>
  </si>
  <si>
    <t>40004579EJECUCION</t>
  </si>
  <si>
    <t>ADQUISICION CAMIONETAS PARA DIVERSAS OFICINAS MUNICIPALES (C33)</t>
  </si>
  <si>
    <t>30343540EJECUCION</t>
  </si>
  <si>
    <t>REPOSICION INTERNADO MIXTO LICEO POLIVALENTE DE QUEILEN</t>
  </si>
  <si>
    <t>* CERT. CORE 15 01.19 - AUMNETA ITEM OBRAS CIVILES Y ACTUALIZA COSTO. * CERT. CORE 122 05.19 - AUMNETA ITEM EQUIPAMIENTO Y ACTUALIZA COSTO.</t>
  </si>
  <si>
    <t>30480757EJECUCION</t>
  </si>
  <si>
    <t>CONSERVACION GIMNASIO MUNICIPAL COMUNA DE QUEILEN (C33)</t>
  </si>
  <si>
    <t>978 27,04,20</t>
  </si>
  <si>
    <t>30078798EJECUCION</t>
  </si>
  <si>
    <t>REPOSICION POSTA DE SALUD RURAL DE PIO PIO, COMUNA DE QUEILEN</t>
  </si>
  <si>
    <t>979 27,04,20</t>
  </si>
  <si>
    <t>FONDO REGIONAL DE INICIATIVAS LOCAL - ANEXO PAGINA 9</t>
  </si>
  <si>
    <t>40002386EJECUCION</t>
  </si>
  <si>
    <t>MEJORAMIENTO INTEGRAL ESTADIO MUNICIPAL DE QUEILEN</t>
  </si>
  <si>
    <t>40015946EJECUCION</t>
  </si>
  <si>
    <t>HABILITACION SUMINISTRO ELECTRICO SECTOR APECHE</t>
  </si>
  <si>
    <t>TOTAL COMUNA DE  QUEILEN</t>
  </si>
  <si>
    <t>COMUNA DE QUELLON</t>
  </si>
  <si>
    <t>30069919DISEÑO</t>
  </si>
  <si>
    <t>* CONSTRUCCION GIMNASIO ESCUELA ORIENTE DE QUELLON</t>
  </si>
  <si>
    <t>*   / * CERT. CORE 18 01.20 - INCORPORAR/ACTUALIZA INCIATIVA FNDR 2020</t>
  </si>
  <si>
    <t>30472589EJECUCION</t>
  </si>
  <si>
    <t>REPOSICION ESCUELA RURAL DE COINCO</t>
  </si>
  <si>
    <t>30135630EJECUCION</t>
  </si>
  <si>
    <t>REPOSICION ESCUELA RURAL DE COMPU, COMUNA DE QUELLON</t>
  </si>
  <si>
    <t>SUBSIDIO OPERACIÓN SIST. AUTOGENERACION ISLA DE LAITEC</t>
  </si>
  <si>
    <t>SUBSIDIO OPERACIÓN SIST. AUTOGENERACION ISLA CAILIN</t>
  </si>
  <si>
    <t>SUBSIDIO OPERACIÓN SIST. AUTOGENERACION COLDITA QUELLON</t>
  </si>
  <si>
    <t>30125850EJECUCION</t>
  </si>
  <si>
    <t>2928-30-B219</t>
  </si>
  <si>
    <t>CONSTRUCCION MULTICANCHA CERRADA FRANCISCO COLOANE COMUNA DE QUELLON</t>
  </si>
  <si>
    <t>30488426DISEÑO</t>
  </si>
  <si>
    <t>CONSTRUCCION SISTEMA APR ISLA LAITEC, QUELLON</t>
  </si>
  <si>
    <t>1021 04,05,20</t>
  </si>
  <si>
    <t>40009684EJECUCION</t>
  </si>
  <si>
    <t>* AMPLIACION DE RED PUBLICA SIST. DE AGUA POTABLE Y ALCA. SECTOR ALCAZAR</t>
  </si>
  <si>
    <t>CERT. CORE 161 ACTUALIZA COSTO</t>
  </si>
  <si>
    <t>40000178DISEÑO</t>
  </si>
  <si>
    <t>CONSTRUCCION SISTEMA APR SECTORES CHAILDAD-CHANCO-YATEHUE, QUELLON</t>
  </si>
  <si>
    <t>30375322EJECUCION</t>
  </si>
  <si>
    <t>HABILITACION SUMINISTRO ELECTRICO PASAJE ALBERTO VANZ</t>
  </si>
  <si>
    <t>30095595EJECUCION</t>
  </si>
  <si>
    <t>HABILITACION SUMINISTRO ELECTRICO SECTOR COLONIA YUNGAY NAHUELPANI</t>
  </si>
  <si>
    <t>30118609EJECUCION</t>
  </si>
  <si>
    <t>HABILITACION SUMINISTRO ELECTRICO SECTOR MOLULCO</t>
  </si>
  <si>
    <t>40018680EJECUCION</t>
  </si>
  <si>
    <t>ADQUISICION CAMIONES RECOLECTORES Y CONTENEDORES RSD, QUELLON (C33)</t>
  </si>
  <si>
    <t>40019279EJECUCION</t>
  </si>
  <si>
    <t>CONSTRUCCION SISTEMA ELECTRICO FOTOVOLTAICO HABITACIONAL INIO, COMUNA DE QUELLON</t>
  </si>
  <si>
    <t>TOTAL COMUNA DE  QUELLON</t>
  </si>
  <si>
    <t>COMUNA DE QUEMCHI</t>
  </si>
  <si>
    <t>30133125EJECUCION</t>
  </si>
  <si>
    <t>CONSTRUCCION ESTADIO MUNICIPAL DE QUEMCHI</t>
  </si>
  <si>
    <t>30185572EJECUCION</t>
  </si>
  <si>
    <t xml:space="preserve">REPOSICION ESCUELA BASICA LLIUCO </t>
  </si>
  <si>
    <t>* CERT. CORE 360 24.10.19 AUMENTO PPTO</t>
  </si>
  <si>
    <t>30071585EJECUCION</t>
  </si>
  <si>
    <t>REPOSICION POSTA DE SALUD ISLA TAC</t>
  </si>
  <si>
    <t>SUBSIDIO OPERACIÓN SIST. AUTOGENERACION ISLA TAC</t>
  </si>
  <si>
    <t>FONDO REGIONAL DE INICIATIVAS LOCAL - ANEXO PAGINA 10</t>
  </si>
  <si>
    <t>30430173LIBRE</t>
  </si>
  <si>
    <t>CONSERVACION CAMINOS ISLA BUTACHAUQUES (C33)</t>
  </si>
  <si>
    <t>30396026EJECUCION</t>
  </si>
  <si>
    <t>CONSERVACION CAMINOS RURALES SECTOR SUR (C33)</t>
  </si>
  <si>
    <t>40005534EJECUCION</t>
  </si>
  <si>
    <t>HABILITACION SUMINISTRO ENERGIA ELECTRICA SECTOR RIO NEGRO</t>
  </si>
  <si>
    <t>30137798EJECUCION</t>
  </si>
  <si>
    <t>REPOSICION MOTONIVELADORA Y CAMA BAJA (C33)</t>
  </si>
  <si>
    <t>40005526EJECUCION</t>
  </si>
  <si>
    <t>REPOSICION CAMIONETAS MUNICIPALIDAD DE QUEMCHI (C33)</t>
  </si>
  <si>
    <t>40005532EJECUCION</t>
  </si>
  <si>
    <t>ADQUISICION DE BUS PARA MUNICIPALIDAD DE QUEMCHI (C33)</t>
  </si>
  <si>
    <t>40005537EJECUCION</t>
  </si>
  <si>
    <t>4195-125-LR19</t>
  </si>
  <si>
    <t>CONSERVACION CAMINOS ISLA MECHUQUE (C33)</t>
  </si>
  <si>
    <t>30071598EJECUCION</t>
  </si>
  <si>
    <t>REPOSICION POSTA DE SALUD RURAL VOIGUE</t>
  </si>
  <si>
    <t>40014311EJECUCION</t>
  </si>
  <si>
    <t>REPOSICION DOS CAMIONES RECOLECTORES DE BASURA Y ADQUISICION DE UN CAMION RECOLECTOR PARA SECTORES INSULARES (C33)</t>
  </si>
  <si>
    <t>* ORD. 363 10.02.2020 (C33) - RS</t>
  </si>
  <si>
    <t>TOTAL COMUNA DE  QUEMCHI</t>
  </si>
  <si>
    <t>COMUNA DE QUINCHAO</t>
  </si>
  <si>
    <t>SUBSIDIO OPERACIÓN SIST. AUTOGENERACION ISLA CAGUACH</t>
  </si>
  <si>
    <t>SUBSIDIO OPERACIÓN SIST. AUTOGENERACION ISLA QUENAC</t>
  </si>
  <si>
    <t>SUBSIDIO OPERACIÓN SIST. AUTOGENERACION ISLA LLINGUA</t>
  </si>
  <si>
    <t>SUBSIDIO OPERACIÓN SIST. AUTOGENERACION ISLA CHAULLINEC</t>
  </si>
  <si>
    <t xml:space="preserve">SUBSIDIO OPERACIÓN SIST. AUTOGENERACION ISLA ALAO </t>
  </si>
  <si>
    <t xml:space="preserve">SUBSIDIO OPERACIÓN SIST. AUTOGENERACION ISLA APIAO </t>
  </si>
  <si>
    <t xml:space="preserve">SUBSIDIO OPERACIÓN SIST. AUTOGENERACION ISLA MEULIN </t>
  </si>
  <si>
    <t>40008054EJECUCION</t>
  </si>
  <si>
    <t>3768-4-LQ20</t>
  </si>
  <si>
    <t>CONSERVACION DE VEREDAS SECTOR CENTRO DE ACHAO (C33)</t>
  </si>
  <si>
    <t>* CERT. CORE 249 22.08.19 - APRUEBA CAMBIO DE NOMBRE.</t>
  </si>
  <si>
    <t>40013068EJECUCION</t>
  </si>
  <si>
    <t>* REPOSICION POSTA DE SALUD RURAL VILLA CHAULINEC</t>
  </si>
  <si>
    <t>* CERT. CORE 423 12.19 - AUMENTA PPTO FNDR 2020 / * CERT. CORE 97 03.2020 - ACTUALIZA PPTO</t>
  </si>
  <si>
    <t>976 27,04,20</t>
  </si>
  <si>
    <t>40015676EJECUCION</t>
  </si>
  <si>
    <t>CONSTRUCCION PUNTO DE POSADA ISLA MEULIN, QUINCHAO</t>
  </si>
  <si>
    <t>TOTAL COMUNA DE  QUINCHAO</t>
  </si>
  <si>
    <t>30381175EJECUCION</t>
  </si>
  <si>
    <t>CONSTRUCCION COMPLEJO DEPORTIVO CANCHA RAYADA</t>
  </si>
  <si>
    <t>30083335EJECUCION</t>
  </si>
  <si>
    <t>NORMALIZACION HOSPITAL DE QUELLON, PROVINCIA DE CHILOE</t>
  </si>
  <si>
    <t>30135059EJECUCION</t>
  </si>
  <si>
    <t>CONSTRUCCION SEDE UNIVERSITARIA PARA LA PROVINCIA DE CHILOE</t>
  </si>
  <si>
    <t>30453827EJECUCION</t>
  </si>
  <si>
    <t>CONSERVACION CAMINOS VECINALES POR GLOSA , ETAPA I PROVINCIA DE CHILOE (C33)</t>
  </si>
  <si>
    <t>30098600PREFACTIBILIDAD</t>
  </si>
  <si>
    <t>MEJORAMIENTO Y AMPLIACION HOSPITAL DE CASTRO (INFRA)</t>
  </si>
  <si>
    <t>30083300EJECUCION</t>
  </si>
  <si>
    <t>1896-3-O120</t>
  </si>
  <si>
    <t>NORMALIZACION HOSPITAL DE ANCUD</t>
  </si>
  <si>
    <t>40023504EJECUCION</t>
  </si>
  <si>
    <t>** REPOSICION DE DOS AMBULANCIAS SAMU SERVICIO DE SALUD CHILOE (C33)</t>
  </si>
  <si>
    <t>* CERT. CORE 144 04.2020 - INCORPORA</t>
  </si>
  <si>
    <t>1058 11,05,20</t>
  </si>
  <si>
    <t>40023508EJECUCION</t>
  </si>
  <si>
    <t>** ADQUISICION E INSTALACION HOSPITAL DE CAMPAÑA SERVICIO DE SALUD CHILOE (C33)</t>
  </si>
  <si>
    <t>* CERT. CORE 146 04.2020 - INCORPORA</t>
  </si>
  <si>
    <t>1057 11,05,20</t>
  </si>
  <si>
    <t>MEDIO AMBIENTE</t>
  </si>
  <si>
    <t>TOTAL  PROVINCIALES</t>
  </si>
  <si>
    <t>TOTAL PROVINCIA DE CHILOE</t>
  </si>
  <si>
    <t>COMUNA DE CHAITEN</t>
  </si>
  <si>
    <t>SUBSIDIO A LA OPERACION SISTEMA ISLAS DESERTORES</t>
  </si>
  <si>
    <t>SUBSIDIO OPERACIÓN SIST. AUTOGENERACION AYACARA</t>
  </si>
  <si>
    <t>30103541DISEÑO</t>
  </si>
  <si>
    <t>REPOSICION EDIFICIO MUNICIPAL DE CHAITEN</t>
  </si>
  <si>
    <t>FONDO REGIONAL DE INICIATIVAS LOCAL - ANEXO PAGINA 11</t>
  </si>
  <si>
    <t>30060589EJECUCION</t>
  </si>
  <si>
    <t>MEJORAMIENTO HOSPITAL DE  CHAITEN.</t>
  </si>
  <si>
    <t>* CERT. CORE 231 08.08.19 - APRUEBA INCORPORAR CON CARGO FNDR</t>
  </si>
  <si>
    <t>40016557EJECUCION</t>
  </si>
  <si>
    <t>* ADQUISICION CAMION MULTIPROPOSITO PARA EMERGENCIA  COMUNA DE CHAITEN (C33)</t>
  </si>
  <si>
    <t>* ORD. 291 30.01.2020 (C33) - RS / * CERT. CORE 32 07.02.20 - APRUEBA Y ACTUALIZA COSTO</t>
  </si>
  <si>
    <t>30186523PREFACTIBILIDAD</t>
  </si>
  <si>
    <t>1896-48-LP19</t>
  </si>
  <si>
    <t>CONSTRUCCION CONEXION VIAL ISLA TALCAN ARCH. DESERTORES,CHAITEN</t>
  </si>
  <si>
    <t>* CERT. CORE 34 03.19 - ACTUALIZA COSTO.</t>
  </si>
  <si>
    <t>TOTAL COMUNA DE  CHAITEN</t>
  </si>
  <si>
    <t>COMUNA DE FUTALEUFU</t>
  </si>
  <si>
    <t>Fabricio Carra Paredes</t>
  </si>
  <si>
    <t>30072372EJECUCION</t>
  </si>
  <si>
    <t>AMPLIACION ESCUELA BASICA  FUTALEUFU PARA EDUCACION MEDIA</t>
  </si>
  <si>
    <t>30102779EJECUCION</t>
  </si>
  <si>
    <t>CONSTRUCCION TERMINAL DE BUSES DE FUTALEUFU</t>
  </si>
  <si>
    <t>CERT. CORE 304 26.09.19 - APRUEBA AUMENTO DE PPTO.</t>
  </si>
  <si>
    <t>30086361EJECUCION</t>
  </si>
  <si>
    <t>REPOSICION GIMNASIO MUNICIPAL DE FUTALEUFU</t>
  </si>
  <si>
    <t>30352430DISEÑO</t>
  </si>
  <si>
    <t>CONSTRUCCION PARQUE MUNICIPAL DE FUTALEUFU</t>
  </si>
  <si>
    <t>30341678EJECUCION</t>
  </si>
  <si>
    <t>ANALISIS ESTUDIO PLAN REGULADOR COMUNAL DE FUTALEUFU (C33)</t>
  </si>
  <si>
    <t>1022 04,05,20</t>
  </si>
  <si>
    <t>40006627EJECUCION</t>
  </si>
  <si>
    <t>3897-50-LR19</t>
  </si>
  <si>
    <t>REPOSICION CAMBIO LUMINARIA LED URBANA (C33)</t>
  </si>
  <si>
    <t>* CERT. CORE 176 06.19 - ACTUALIZA PPTO Y COSTO.</t>
  </si>
  <si>
    <t>TOTAL COMUNA DE  FUTALEUFU</t>
  </si>
  <si>
    <t>COMUNA DE HUALAIHUE</t>
  </si>
  <si>
    <t>30311722EJECUCION</t>
  </si>
  <si>
    <t>REPOSICION POSTA SALUD RURAL AULEN</t>
  </si>
  <si>
    <t>* CERT. CORE 03 01.19 - AUMENTA ITEM OBRAS CIVILES Y ACTUALIZA COSTO.</t>
  </si>
  <si>
    <t>30277425EJECUCION</t>
  </si>
  <si>
    <t>CONSERVACION GIMNASIO ESCUELA SEMILLERO ROLECHA(C33)</t>
  </si>
  <si>
    <t>30471092EJECUCION</t>
  </si>
  <si>
    <t>CONSERVACION CAMINOS VECINALES GLOSA 7,COMUNA HUALAIHUE, PROV. PALENA(C33)</t>
  </si>
  <si>
    <t>* CERT. CORE 226 08.19 - AUMENTA ITEM OBRAS CIVILES Y ACTUALIZA COSTO.</t>
  </si>
  <si>
    <t>30455973EJECUCION</t>
  </si>
  <si>
    <t>CONSTRUCCION 2 CASAS PARA PROFESIONALES CECOSF HUALAIHUE</t>
  </si>
  <si>
    <t>30338024DISEÑO</t>
  </si>
  <si>
    <t>2904-34-LE19</t>
  </si>
  <si>
    <t>CONSTRUCCION SISTEMA AGUA POTABLE PUNTILLA PICHICOLO</t>
  </si>
  <si>
    <t>30338523DISEÑO</t>
  </si>
  <si>
    <t>2904-35-LE19</t>
  </si>
  <si>
    <t>CONSTRUCCION SISTEMA AGUA POTABLE CHOLGO</t>
  </si>
  <si>
    <t>30065600EJECUCION</t>
  </si>
  <si>
    <t>CONSTRUCCION SISTEMA AGUA POTABLE EL MANZANO</t>
  </si>
  <si>
    <t>30480167EJECUCION</t>
  </si>
  <si>
    <t>ADQUISICION LANCHA POLICIAL TENENCIA HORNOPIREN, COMUNA HUALAIHUE(C33)</t>
  </si>
  <si>
    <t>30471865EJECUCION</t>
  </si>
  <si>
    <t>ADQUISICION SISTEMA DE ILUMINACION PAD. RIO NEGRO HORNOPIREN(C33)</t>
  </si>
  <si>
    <t>30361477EJECUCION</t>
  </si>
  <si>
    <t>ADQUISICION Y REPOSICION VEHICULOS Y MAQUINARIA CAMINOS VECINALES (C33)</t>
  </si>
  <si>
    <t>40003992EJECUCION</t>
  </si>
  <si>
    <t>CONSTRUCCION SUMNISTRO ENERGIA ELECTRICA FOTOVOLTAICA LOC. QUIACA-ISLA LLANCAHUE</t>
  </si>
  <si>
    <t>TOTAL COMUNA DE  HUALAIHUE</t>
  </si>
  <si>
    <t>COMUNA DE PALENA</t>
  </si>
  <si>
    <t>30116040DISEÑO</t>
  </si>
  <si>
    <t>CONSTRUCCION BODEGA Y GALPON MUNICIPAL</t>
  </si>
  <si>
    <t>FONDO REGIONAL DE INICIATIVAS LOCAL - ANEXO PAGINA 12</t>
  </si>
  <si>
    <t>30115295EJECUCION</t>
  </si>
  <si>
    <t>REPOSICION Y AMPLIACION CUARTEL 1° COMPAÑIA DE BOMBEROS DE PALENA</t>
  </si>
  <si>
    <t>30474713EJECUCION</t>
  </si>
  <si>
    <t>2929-102-LQ19</t>
  </si>
  <si>
    <t>ACTUALIZACION PLAN REGULADOR COMUNA DE PALENA (C33)</t>
  </si>
  <si>
    <t>30487244EJECUCION</t>
  </si>
  <si>
    <t>2929-119-LP19</t>
  </si>
  <si>
    <t>CONSERVACION VEREDAS CALLES DE PALENA (C33)</t>
  </si>
  <si>
    <t>30135233EJECUCION</t>
  </si>
  <si>
    <t>2929-21-LR20</t>
  </si>
  <si>
    <t>MEJORAMIENTO CIRCUITO PEATONAL HISTORICO COMUNA DE PALENA</t>
  </si>
  <si>
    <t>* CERT. CORE 333 10.10.19 - AUMENTO PPTO ($ 2.433.282.000)</t>
  </si>
  <si>
    <t>PAL</t>
  </si>
  <si>
    <t>** CONSTRUCCION CONEXION VIAL SECTOR PALENA - LAGO PALENA</t>
  </si>
  <si>
    <t>* CERT. CORE 152 05,20 - INCORPORA INICAITIVA</t>
  </si>
  <si>
    <t>30480525EJECUCION</t>
  </si>
  <si>
    <t>HABILITACION SUMINISTRO ENERGIA ELECTRICA VALLE CALIFORNIA</t>
  </si>
  <si>
    <t>30480476EJECUCION</t>
  </si>
  <si>
    <t>HABILITACION SUMINISTRO ENERGIA ELECTRICA RIO ENCUENTRO Y PALENA</t>
  </si>
  <si>
    <t>30479737EJECUCION</t>
  </si>
  <si>
    <t>NORMALIZACION SUMINISTRO ENERGIA ELECTRICA EL PORFIADO Y EL CAMPANA</t>
  </si>
  <si>
    <t>TOTAL COMUNA DE  PALENA</t>
  </si>
  <si>
    <t>30342673EJECUCION</t>
  </si>
  <si>
    <t>CONSTRUCION CAMINO RUTA  W 807 SECTOR PUENTE NEGRO PTE. AQUELLAS</t>
  </si>
  <si>
    <t>30342679EJECUCION</t>
  </si>
  <si>
    <t>CONSERVACION PERIODICA, CAMINO BASICO ROL W-813 Y ROL W-815 (C33)</t>
  </si>
  <si>
    <t>* CERT. CORE 21 02.19 - AUMENTA ITEM OBRAS CIVILES Y ACTUALIZA COSTO.</t>
  </si>
  <si>
    <t>30428989EJECUCION</t>
  </si>
  <si>
    <t>** ADQUISICION EQUIPOS Y EQUIPAMIENTO PARA HOSPITALES PROVINCIA DE PALENA (C33)</t>
  </si>
  <si>
    <t>* CERT. CORE 76 03.2020 - APRUEBA INCORPORAR ARRASTRE PPTO20</t>
  </si>
  <si>
    <t>30371674EJECUCION</t>
  </si>
  <si>
    <t>REPOSICION TERMINAL PORTUARIO DE CHAITEN</t>
  </si>
  <si>
    <t>30398377EJECUCION</t>
  </si>
  <si>
    <t>ADQUISICION EQUIPOS GPS BIENES NACIONALES PALENA (C33)</t>
  </si>
  <si>
    <t>30384677EJECUCION</t>
  </si>
  <si>
    <t>MEJORAMIENTO RUTA 235-CH SECTOR V. S. LUCIA-P. RAMIREZ, PROV. PALENA</t>
  </si>
  <si>
    <t>30468388EJECUCION</t>
  </si>
  <si>
    <t>AMPLIACION AREA DE MOVIMIENTO PEQUEÑO AERODROMO ALTO PALENA</t>
  </si>
  <si>
    <t>30458729EJECUCION</t>
  </si>
  <si>
    <t>MEJORAMIENTO AREA DE MOVIMIENTO PEQUEÑO AERODROMO AYACARA</t>
  </si>
  <si>
    <t>TOTAL PROVINCIA DE PALENA</t>
  </si>
  <si>
    <t>REGIONALES</t>
  </si>
  <si>
    <t>30137152EJECUCION</t>
  </si>
  <si>
    <t>EQUIPAMIENTO DE RESCATE Y REPOSICION VEHICULOS PARA GOPE(C33)</t>
  </si>
  <si>
    <t>40016016EJECUCION</t>
  </si>
  <si>
    <t>** ADQUISICION 6 EXCAVADORAS Y 1 CAMION TOLVA PARA OPERACIÓN EXCLUSIVA DE VERTEDEROS COMUNALES (C33)</t>
  </si>
  <si>
    <t>* CERT. CORE 181 06.19 - APRUEBA CONVENIO GORE-SUBDERE RSD CHILOE. * CERT. CORE 208 07.19 - APRUEBA PROYECTO INCORPORAR CON CARGO FNDR. / * CERT. CORE 138 04.2020 INCORPORA</t>
  </si>
  <si>
    <t>30488894EJECUCION</t>
  </si>
  <si>
    <t>ADQUISICION EQUIPOS Y EQUIPAMIENTO PARA HABILITACION PABELLON CMA (C33)</t>
  </si>
  <si>
    <t>30364305EJECUCION</t>
  </si>
  <si>
    <t>* AMPLIACION Y MEJORAMIENTO INSTITUTO TELETON</t>
  </si>
  <si>
    <t>* CERT. CORE 07 01.20 - AUMENTO PPTO</t>
  </si>
  <si>
    <t>30460140EJECUCION</t>
  </si>
  <si>
    <t>CONSERVACION FACHADAS Y CIRCULACIONES CENTRO ADMINISTRATIVO REGIONAL (C33)</t>
  </si>
  <si>
    <t>* CERT. CORE 359 24.10.19 - APRUEBA AUMENTO PPTO ($ 3.712.173.268)</t>
  </si>
  <si>
    <t>30429222EJECUCION</t>
  </si>
  <si>
    <t>TRANSFERENCIA PROGRAMA RENOVACION FLOTA LOCOMOCION COLECTIVA</t>
  </si>
  <si>
    <t>FONDO REGIONAL DE INICIATIVAS LOCAL</t>
  </si>
  <si>
    <t>S/C</t>
  </si>
  <si>
    <t>S/CEJECUCION</t>
  </si>
  <si>
    <t>TRANSFERENCIA SUBSIDIO OPERACION SISTEMA DE AUTOGENERACION DE ENERGIA EN ZONAS AISLADAS</t>
  </si>
  <si>
    <t>TRANSFERENCIA SUBSIDIO OPERACION SISTEMA DE AUTO. GENER. DE ENER. EN ZON. AISLADAS-MUNICIPAL</t>
  </si>
  <si>
    <t>APLICACION NUMERAL 2.1 GLOSA COMUN PARA GOBIERNOS REGIONALES</t>
  </si>
  <si>
    <t>40015918EJECUCION</t>
  </si>
  <si>
    <t>** DIAGNOSTICO PLAN MARCO DE DESARROLLO TERRITORIAL (PMDT) TERRITORIO NORTE Y PIRDT</t>
  </si>
  <si>
    <t>* CERT. CORE 50 07.02.20 - APRUEBA ESTUDIO</t>
  </si>
  <si>
    <t>ACUERDO REGIONAL DE SEGURIDAD LOS LAGOS ENTRE GORE-CARABINEROS-PDI 2020-2023</t>
  </si>
  <si>
    <t>* CERT. CORE 34 07.02.20 - APRUEBA INICIATIVA CARGO FNDR</t>
  </si>
  <si>
    <t>30091074EJECUCION</t>
  </si>
  <si>
    <t>** CONSTRUCCION BIBLIOTECA REGIONAL LOS LAGOS, PUERTO MONTT</t>
  </si>
  <si>
    <t>* CERT. CORE 93 003.2020 - INCORPORAR AL PPTO 2020 50% CARGO FNDR</t>
  </si>
  <si>
    <t>Convenio en confección</t>
  </si>
  <si>
    <t>ACUERDO ZONAS CONTIGUA A PESCADORES ARTESANALES LOS LAGOS-AYSEN</t>
  </si>
  <si>
    <t>* CERT. CORE 101 03.2020 REDISTRIBUYE $1.000 MILLONES EN PROGRAMA BENTONICO</t>
  </si>
  <si>
    <t>40008200EJECUCION</t>
  </si>
  <si>
    <t>REPOSICION EQUIPAMIENTO TECNOLOGICO LABORATORIO DE CRIMINALISTICA REGIONAL PUERTO MONTT (C33)</t>
  </si>
  <si>
    <t>* CERT. CORE 307 26.09.19 - APRUEBA REPOSICION EQUIPAMIENTO</t>
  </si>
  <si>
    <t>no se encuentra en mercado</t>
  </si>
  <si>
    <t>40016388EJECUCION</t>
  </si>
  <si>
    <t>TRANSFERENCIA ADQUISICION 12 CARROS Y 9 CAMIONETAS BOMBEROS - APORTE BOMBEROS REGION DE LOS LAGOS</t>
  </si>
  <si>
    <t>30430874EJECUCION</t>
  </si>
  <si>
    <t>ACTUALIZACION MODIFICACION Y REESTRUCTURACION DE LA PROPUESTA PROT (C33)</t>
  </si>
  <si>
    <t>40020259EJECUCION</t>
  </si>
  <si>
    <t>40020262EJECUCION</t>
  </si>
  <si>
    <t>CONSERVACION DIVERSOS CAMINOS NO ENROLADOS DE LA REGION</t>
  </si>
  <si>
    <t>* CERT. CORE 33 07.02.20 - APRUEBA / CERT. CORE 96 03.2020 APRUEBA CARTERA</t>
  </si>
  <si>
    <t>TOTAL REGIONAL</t>
  </si>
  <si>
    <t>SEREMI DE AGRICULTURA</t>
  </si>
  <si>
    <t>Luisa Adela  Macias Bahamonde</t>
  </si>
  <si>
    <t>30341175SEREMI DE AGRICULTURA</t>
  </si>
  <si>
    <t>PROGRAMA MEJORAMIENTO GENETICO OVINO/BOVINO TPV</t>
  </si>
  <si>
    <t>CONTRATACION DEL PROGRAMA</t>
  </si>
  <si>
    <t>INDAP</t>
  </si>
  <si>
    <t>30341275INDAP</t>
  </si>
  <si>
    <t>TRANSFERENCIA PROGRAMA REGULARIZACION DERECHO APROVECHAMIENTOS DE AGUA</t>
  </si>
  <si>
    <t>30341329INDAP</t>
  </si>
  <si>
    <t>TRANSFERENCIA ASESORIA ESPECIALIZADA CONSOLIDACION TENENCIA TIERRA EN AFC</t>
  </si>
  <si>
    <t>30419826SEREMI DE AGRICULTURA</t>
  </si>
  <si>
    <t>CAPACITACION PARA EL FOMENTO AGROFORESTAL EN PALENA Y COCHAMO</t>
  </si>
  <si>
    <t>SAG</t>
  </si>
  <si>
    <t>30341424SAG</t>
  </si>
  <si>
    <t>TRANSFERENCIA MONITOREO SITUACION SANITARIA EN BOVINOS Y OVINOS DEL TPV</t>
  </si>
  <si>
    <t>30341439SAG</t>
  </si>
  <si>
    <t>TRANSFERENCIA PROGRAMA RECUPERACION SUELO DEGRADADOS EN TPV</t>
  </si>
  <si>
    <t>30341173SEREMI DE AGRICULTURA</t>
  </si>
  <si>
    <t>TRANSFERENCIA PROGRAMA VALORACION SELLO ORIGEN DE PRODUCTOS SILVOAGROPECUARIOS</t>
  </si>
  <si>
    <t>30329922SEREMI DE AGRICULTURA</t>
  </si>
  <si>
    <t>TRANSFERENCIA TECNOLOGICA PARA EL DESARROLLO Y POTENCIAMIENTO DE LA AFC</t>
  </si>
  <si>
    <t>SEREMI DE MEDIO AMBIENTE</t>
  </si>
  <si>
    <t>30136320SEREMI DE MEDIO AMBIENTE</t>
  </si>
  <si>
    <t>PROTECCION APLICACION MODELO USO SUST. EN PAISAJE CONSERV. CHILOE</t>
  </si>
  <si>
    <t>30485206INDAP</t>
  </si>
  <si>
    <t>DIFUSION PARA EL FORTALECIMIENTO Y DASARROLLO DEL SITIO SIPAN Y SELLO SIPAN</t>
  </si>
  <si>
    <t>40014803INDAP</t>
  </si>
  <si>
    <t xml:space="preserve">PROGRAMA DE FERTILIZACION MEJORANDO LA PRODUCTIVIDAD GANADERA EN LA PROVINCIA DE PALENA </t>
  </si>
  <si>
    <t>RENE CARCAMO ANDRADE</t>
  </si>
  <si>
    <t>30137060INDAP</t>
  </si>
  <si>
    <t>TRANSFERENCIA PROGRAMAS DE INVERSIONES PRODUCTIVAS EN FAMILIAS USUARIAS DE PROGRAMAS DE ASESORIA INDAP</t>
  </si>
  <si>
    <t>30433775INDAP</t>
  </si>
  <si>
    <t>MEJORAMIENTO DE SUELOS  EN TERRITORIOS INDIGENAS</t>
  </si>
  <si>
    <t>30378428INDAP</t>
  </si>
  <si>
    <t>SANEAMIENTO ASESORIA LEGAL Y TECNICA  CONSOLIDACION DE LA TENENCIA IMPERFECTA  DE TIERRAS</t>
  </si>
  <si>
    <t>30482019SAG</t>
  </si>
  <si>
    <t>ERRADICACION VISON DE LA REGION DE LOS LAGOS</t>
  </si>
  <si>
    <t>SERCOTEC</t>
  </si>
  <si>
    <t>30349427SERCOTEC</t>
  </si>
  <si>
    <t>TRANSFERENCIA MEJORAMIENTO DE LA PRODUCTIVIDAD EN AREAS DE MANEJO II</t>
  </si>
  <si>
    <t>30440729SERCOTEC</t>
  </si>
  <si>
    <t>PROGRAMA APOYO INTEGRAL A LAS FERIAS LIBRES</t>
  </si>
  <si>
    <t>30351343SERCOTEC</t>
  </si>
  <si>
    <t>CAPACITACION Y VALORIZACION DE PRODUCTOS AGROPECUARIOS</t>
  </si>
  <si>
    <t>SERNAPESCA</t>
  </si>
  <si>
    <t>30343724SERNAPESCA</t>
  </si>
  <si>
    <t>PROGRAMA FOMENTO Y DESARROLLO PESCA ARTESANAL REGION DE LOS LAGOS 2014-2016</t>
  </si>
  <si>
    <t>SUBPESCA</t>
  </si>
  <si>
    <t>30398233SUBPESCA</t>
  </si>
  <si>
    <t>RECUPERACION DE DIVERSIDAD PROD DE LA PESCA ARTESANAL</t>
  </si>
  <si>
    <t>SERNATUR</t>
  </si>
  <si>
    <t>30342025SERNATUR</t>
  </si>
  <si>
    <t xml:space="preserve">TRANSFERENCIA GESTION DEL TERRITORIO TURISTICO, REGION DE LOS LAGOS </t>
  </si>
  <si>
    <t>COMISION NACIONAL DE RIEGO</t>
  </si>
  <si>
    <t>30434988COMISION NACIONAL DE RIEGO</t>
  </si>
  <si>
    <t>TRANSFERENCIA PROGRAMA INTEGRAL DE RIEGO REGION DE LOS LAGOS</t>
  </si>
  <si>
    <t>30337226SERNATUR</t>
  </si>
  <si>
    <t xml:space="preserve">TRANSFERENCIA DESARROLLO DEL T.I.E. EN TERRITORIO PATAGONIA VERDE </t>
  </si>
  <si>
    <t>FICFIC</t>
  </si>
  <si>
    <t>FONDO INNOVACION Y COMPETITIVIDAD</t>
  </si>
  <si>
    <t>SERNAMEG</t>
  </si>
  <si>
    <t>30461825SERNAMEG</t>
  </si>
  <si>
    <t>CAPACITACION TRABAJO EN FIBRA ANIMAL Y VEGETAL MUJERES DE CHAITEN</t>
  </si>
  <si>
    <t>FOSIS</t>
  </si>
  <si>
    <t>30484364FOSIS</t>
  </si>
  <si>
    <t>CAPACITACION DESARROLLO Y FORTALECIMIENTO PERSONAS DISCAPACITADAS</t>
  </si>
  <si>
    <t>SEREMI DE BIENES NACIONALES</t>
  </si>
  <si>
    <t>30426980SEREMI DE BIENES NACIONALES</t>
  </si>
  <si>
    <t>SANEAMIENTO DE LA TENENCIA IRREGULAR DE LA PROPIEDAD PATAGONIA VERDE</t>
  </si>
  <si>
    <t>40016769SERCOTEC</t>
  </si>
  <si>
    <t>TRANSFERENCIA  EN CULTIVO EN AM Y CCAA BENTONICA, ALGAS Y AGREGACION DE VALOR PRODUCCION P.A.</t>
  </si>
  <si>
    <t>* CERT. CORE 23 01.2020 REEMPLAZA Y ELIMINA COMPONENTE</t>
  </si>
  <si>
    <t>40004275SEREMI DE BIENES NACIONALES</t>
  </si>
  <si>
    <t>SANEAMIENTO PROGRAMA NACIONAL DE REGULARIZACION "CHILE PROPIETARIO"</t>
  </si>
  <si>
    <t xml:space="preserve">URBANO </t>
  </si>
  <si>
    <t>SERV. SALUD OSORNO</t>
  </si>
  <si>
    <t>40015599SERV. SALUD OSORNO</t>
  </si>
  <si>
    <t>CAPACITACION PARA LA PREVENCIÓN Y DIAG. PRECOZ DEL CÁNCER COLORRECTAL, Provincia de osorno</t>
  </si>
  <si>
    <t>* CERT. CORE 311 26.09.19 - APRUEBA PROGRAMA</t>
  </si>
  <si>
    <t>30482027SAG</t>
  </si>
  <si>
    <t>ERRADICACION DE LA BRUCELOSIS BOVINA</t>
  </si>
  <si>
    <t>30341323INDAP</t>
  </si>
  <si>
    <t>TRANSFERENCIA FORTALECIMIENTO Y COMPETITIVIDAD DE LA ARTESANIA</t>
  </si>
  <si>
    <t>SEREMI MEDIO AMBIENTE</t>
  </si>
  <si>
    <t>40005399SEREMI MEDIO AMBIENTE</t>
  </si>
  <si>
    <t>TRANSFERENCIA CAPACITACION EN EL USO EFICIENTE DE LA CALEFACCION RESIDENCIAL EN OSORNO</t>
  </si>
  <si>
    <t>* CERT. CORE 376 07.11.19 - APRUEBA PROGRAMA CON CARGO AL FNDR</t>
  </si>
  <si>
    <t>30485056</t>
  </si>
  <si>
    <t>CAPACITACION TECNICA PARA IMPLEMEN PLAN "DESARROLLO INDUSTRIA DE LA MITILICULTURA SUSTENTABLE</t>
  </si>
  <si>
    <t>* CERT. CORE 252 22.08.19 - APRUEBA PROGRAMA CON CARGO AL FNDR.</t>
  </si>
  <si>
    <t>40016559SERCOTEC</t>
  </si>
  <si>
    <t>TRANSFERENCIA DE REACTIVACION Y CAPACITACION VILLA SANTA LUCIA</t>
  </si>
  <si>
    <t>* CERT. CORE 283 12.09.19 - APRUEBA AGREGAR AL EE.SS CON CARGO AL FNDR</t>
  </si>
  <si>
    <t>40012343SEREMI DE AGRICULTURA</t>
  </si>
  <si>
    <t>CAPACITACION  Y FERTILIZACION INTEGRAL DE PRADERAS DE LA REGION DE LOS LAGOS</t>
  </si>
  <si>
    <t>* CERT. CORE 308 26.09.19 - APRUEBA PROGRAMA.</t>
  </si>
  <si>
    <t>40017839SERNATUR</t>
  </si>
  <si>
    <r>
      <rPr>
        <sz val="18"/>
        <color theme="1"/>
        <rFont val="Calibri"/>
        <family val="2"/>
        <scheme val="minor"/>
      </rPr>
      <t xml:space="preserve">* </t>
    </r>
    <r>
      <rPr>
        <b/>
        <sz val="18"/>
        <color theme="1"/>
        <rFont val="Calibri"/>
        <family val="2"/>
        <scheme val="minor"/>
      </rPr>
      <t>CAPACITACION Y POSICIONAMIENTO PATAGONIA VERDE COMO DESTINO DE TURISMO AVENTURA</t>
    </r>
  </si>
  <si>
    <r>
      <rPr>
        <sz val="18"/>
        <color theme="1"/>
        <rFont val="Calibri"/>
        <family val="2"/>
        <scheme val="minor"/>
      </rPr>
      <t xml:space="preserve">* CERT. CORE 310 26.09.19 - APRUEBA PROGRAMA / </t>
    </r>
    <r>
      <rPr>
        <b/>
        <sz val="18"/>
        <color theme="1"/>
        <rFont val="Calibri"/>
        <family val="2"/>
        <scheme val="minor"/>
      </rPr>
      <t>CERT. CORE 71 02.2020 CAMBIA NOMBRE</t>
    </r>
  </si>
  <si>
    <t>GORE</t>
  </si>
  <si>
    <t>40020255GORE</t>
  </si>
  <si>
    <t>TRANSFERENCIA REACTIVACION ECONOMICA PYMES TURISMO REGION DE LOS LAGOS</t>
  </si>
  <si>
    <t>40019474GORE</t>
  </si>
  <si>
    <t>PROGRAMA DIVERSIFICACION PRODUCTIVA MUJERES EMP. SECTOR ALGUERO</t>
  </si>
  <si>
    <t>* CERT. CORE PPTO 2020 / * CERT. CORE 87 03.2020</t>
  </si>
  <si>
    <t>40019475GORE</t>
  </si>
  <si>
    <t>PROGRAMA DE TRANSFERENCIA CAPACITACION Y RECONVERSION LABORAL PARA ALGUEROS DE ANCUD</t>
  </si>
  <si>
    <t>* CERT. CORE PPTO 2020 / * CERT. CORE 88  03.2020</t>
  </si>
  <si>
    <t>40019534GORE</t>
  </si>
  <si>
    <t>SEREMI VIVIENDA</t>
  </si>
  <si>
    <t>40019485SEREMI VIVIENDA</t>
  </si>
  <si>
    <t>TRANSFERENCIA MEJORAMIENTO DE VIVIENDAS CON SUBSIDIOS ENFOCADOS A EFICIENCIA ENERGETICA</t>
  </si>
  <si>
    <t>* / * CERT. CORE 22 01.20 - APRUEBA PROGRAMA</t>
  </si>
  <si>
    <t>40019414FOSIS</t>
  </si>
  <si>
    <t>TRANSFERENCIA MEJORAMIENTO CONDICIONES DE HABITABILIDAD</t>
  </si>
  <si>
    <t>* / * CERT. CORE 11 01.20 - APRUEBA INICIATIVA</t>
  </si>
  <si>
    <t>40019379GORE</t>
  </si>
  <si>
    <t>PROGRAMA DE APOYO A PESCADORES ARTESANALES DEMERSALES</t>
  </si>
  <si>
    <t>* CERT. CORE PPTO 2020 / * CERT. CORE 90 03.2020</t>
  </si>
  <si>
    <t>Para Tramite DIPRES</t>
  </si>
  <si>
    <t>40019479GORE</t>
  </si>
  <si>
    <t>PROGRAMA DE TRANSFERENCIA DESARROLLO ECONOMICO LOCAL SAN JUAN DE LA COSTA</t>
  </si>
  <si>
    <t>* CERT. CORE PPTO 2020 / * CERT. CORE 89 03.2020</t>
  </si>
  <si>
    <t>40019469FOSIS</t>
  </si>
  <si>
    <t>REPOSICION PROGRAMA DE EMPRENDIMIENTO DE MUJERES JEFAS DE HOGAR</t>
  </si>
  <si>
    <t>* CERT. CORE PPTO / CERT. CORE 70 02.2020</t>
  </si>
  <si>
    <t>40019440GORE</t>
  </si>
  <si>
    <t>CAPACITACION APOYO AL EMPREDIMIENTO DE LA MUJER: UN PASO MAS</t>
  </si>
  <si>
    <t>* CERT. CORE PPTO 2020 / * CERT. CORE 72 03.2020</t>
  </si>
  <si>
    <t>40019477GORE</t>
  </si>
  <si>
    <t>TRANSFERENCIA APOYO LEVANTEMOS PYMES</t>
  </si>
  <si>
    <t>* CERT. CORE PPTO / CERT. CORE 69 02.2020</t>
  </si>
  <si>
    <t>40019398GORE</t>
  </si>
  <si>
    <t>TRANSFERENCIA ASISTENCIA TECNICA TERRITORIAL</t>
  </si>
  <si>
    <t>40019444GORE</t>
  </si>
  <si>
    <t>PREVENCION APOYO A LA REINSERCION SOCIAL, UN COMPROMISO EN SOCIEDAD</t>
  </si>
  <si>
    <t>* CERT. CORE 48 07.02.20 - CAMBIA NOMBRE</t>
  </si>
  <si>
    <t>SEREMI DE AGRIC.</t>
  </si>
  <si>
    <t>40014466SEREMI DE AGRIC.</t>
  </si>
  <si>
    <t xml:space="preserve">CAPACITACION Y FOMENTO PARA FORTALECER EL RIEGO TECNIFICADO DE LA REGION DE LOS LAGOS </t>
  </si>
  <si>
    <t>TOTAL FOMENTO</t>
  </si>
  <si>
    <t>TOTAL PRESUPUESTO 2020</t>
  </si>
  <si>
    <t>VERIFICACIONES</t>
  </si>
  <si>
    <t>PRESUPUESTO NORMAL</t>
  </si>
  <si>
    <t>PRESUPUESTO ACUERDO SOCIAL</t>
  </si>
  <si>
    <t>PRESUPUESTO RECONSTRUCCION</t>
  </si>
  <si>
    <t>PRESUPUESTO COMPLEMENTARIO ACUERDO SOCIAL</t>
  </si>
  <si>
    <t>*</t>
  </si>
  <si>
    <t>SE MODIFICO NOMBRE Y/O COSTO INICIATIVA</t>
  </si>
  <si>
    <t>**</t>
  </si>
  <si>
    <t>SE INCORPORA AL EE.SS</t>
  </si>
  <si>
    <t>CERT. CORE</t>
  </si>
  <si>
    <t>GASTO AÑOS ANTERIORES</t>
  </si>
  <si>
    <t>PAGOS DE ENE A DIC / 2020</t>
  </si>
  <si>
    <t>TOTAL PAGOS 2020</t>
  </si>
  <si>
    <t>CERT. CORE 218 08.19</t>
  </si>
  <si>
    <t>CONSTRUCCION CUBIERTA MULTICANCHA PARQUE PLEISTOCENICO, OSORNO</t>
  </si>
  <si>
    <t>EN EJECUCION</t>
  </si>
  <si>
    <t>CONSTRUCCION CAMARINES LA BOMBONERA</t>
  </si>
  <si>
    <t>CERT. CORE 158 05.20</t>
  </si>
  <si>
    <t>CONSTRUCCION CENTRO COMUNITARIO LAS LUMAS</t>
  </si>
  <si>
    <t>CERT. CORE 50 03.19</t>
  </si>
  <si>
    <t>CONSTRUCCION RED DE ALCANTARILLADO Y AGUA POTABLE PASAJE QUIRISLAHUEN RAHUE ALTO</t>
  </si>
  <si>
    <t>CERT. CORE 149 05.20</t>
  </si>
  <si>
    <t>CONSTRUCCION CENTRO COMUNITARIO CARLOS CONDELL, OSORNO</t>
  </si>
  <si>
    <t>EN LICITACION</t>
  </si>
  <si>
    <t>CERT. CORE 211 07.19</t>
  </si>
  <si>
    <t>CONSTRUCCION CENTRO DE CULTURA Y EXPOSICION COMUNITARIA</t>
  </si>
  <si>
    <t>MEJORAMIENTO SEDE SOCIAL PIEDRAS NEGRAS, COMUNA PUERTO OCTAY</t>
  </si>
  <si>
    <t xml:space="preserve">HABILITACION CENTRO DIURNO ADULTO MAYOR </t>
  </si>
  <si>
    <t>CONSTRUCCION ACCESO EQUIPAMIENTOS MUNICIPALES CONCORDIA RUTA U-950V</t>
  </si>
  <si>
    <t>TERMINADO *</t>
  </si>
  <si>
    <t>CONSTRUCCION CENTRO COMUNITARIO PARA PERSONAS CON DISCAPACIDAD, COMUNA PURRANQUE</t>
  </si>
  <si>
    <t>EN LIQUIDACION</t>
  </si>
  <si>
    <t>CONSTRUCCION ACCESO EQUIPAMIENTOS HUEYUSCA, RUTA U-900 KM35,03</t>
  </si>
  <si>
    <t>MEJORAMIENTO ESPACIO PUBLICO OTTO NEUMAN</t>
  </si>
  <si>
    <t>CERT. CORE 150 05.20</t>
  </si>
  <si>
    <t>CONSTRUCCION PUEBLITO DE ARTESANOS HUEYUSCA</t>
  </si>
  <si>
    <t>CONSTRUCCION CUARTEL DE BOMBEROS DE CONCORDIA</t>
  </si>
  <si>
    <t>CERT. CORE 114 04.20</t>
  </si>
  <si>
    <t>CONSTRUCCION CENTRO COMUNITARIO DEL ADULTO MAYOR VILLA REAL</t>
  </si>
  <si>
    <t>CERT. CORE 218 08.19 / CERT. CORE 24 01.2020 AUTORIZA CONTR. Y PAGAR 2020</t>
  </si>
  <si>
    <t>REPOSICION CENTRO POLIFUNCIONAL PARA EL DESARROLLO RURAL</t>
  </si>
  <si>
    <t>CONSTRUCCION CENTRO COMUNITARIO ÑADI PICHIDAMAS</t>
  </si>
  <si>
    <t>MEJORAMIENTO 2 JARDINES INFANTILES ENTRE LAGOS Y PILMAIQUEN</t>
  </si>
  <si>
    <t>HABILITACION CENTRO POLIFUNCIONAL ÑANCUAN, RIO NEGRO</t>
  </si>
  <si>
    <t>CONSTRUCCION CENTRO POLIFUNCIONAL BUENAVENTURA, RIO NEGRO</t>
  </si>
  <si>
    <t>HABILITACION CENTRO POLIFUNCIONAL PARRONES, RIO NEGRO</t>
  </si>
  <si>
    <t>HABILITACION CENTRO POLIFUNCIONAL QUISQUELELFUN, RIO NEGRO</t>
  </si>
  <si>
    <t>MEJORAMIENTO Y AMPLIACION CP PARA ASOC. DE DISCAPACIDAD ILUSIONES DE RIACHUELO</t>
  </si>
  <si>
    <t>CONSTRUCCION ESCALERA MAICILPI COMUNA SAN JUAN DE LA COSTA</t>
  </si>
  <si>
    <t>REPOSICION Y CONSTRUCCION DE PARADEROS RUTA U250 SAN JUAN DE LA COSTA</t>
  </si>
  <si>
    <t>CONSTRUCCION MODULOS TURISTICOS PLAZA MAICOLPUE</t>
  </si>
  <si>
    <t>CONSTRUCCION CENTRO COMUNITARIO VILLA TRALMAHUE</t>
  </si>
  <si>
    <t>CONSTRUCCION PLAZA VILLA PILMAIQUEN, SAN PABLO</t>
  </si>
  <si>
    <t>CONSTRUCCION REFUGIOS PEATONALES DIVERSOS SECTORES RURALES</t>
  </si>
  <si>
    <t>CERT. CORE 197 08.18</t>
  </si>
  <si>
    <t>CONSTRUCCION GRAFICA ACCESO COMUNA DE SAN PABLO</t>
  </si>
  <si>
    <t>CERT. CORE 130 04.20</t>
  </si>
  <si>
    <t>REPOSICION S.S.H.H. Y COCINA ESCUELA JULIO MOHR, CHIFCA</t>
  </si>
  <si>
    <t>MEJORAMIENTO JARDIN INFANTIL LOS CEREZOS</t>
  </si>
  <si>
    <t>CONSTRUCCION GAVIONES SECTOR PIEDRA AZUL KM.15 CARRETERA AUSTRAL</t>
  </si>
  <si>
    <t>CONSTRUCCION GAVIONES BORDE COSTERO EL BALSEO ISLA TENGLO - PTO. MONTT</t>
  </si>
  <si>
    <t>RESTAURACION AREAS VERDES POBL. CHILE BARRIO LAS HILANDERAS</t>
  </si>
  <si>
    <t>CONSTRUCCION ZONA RECREATIVA Y PLAZA ACTIVA ISLA HUELMO ALERCE SUR</t>
  </si>
  <si>
    <t>MEJORAMIENTO PLAZA INCLUSIVA POBL. 18 DE SEPTIEMBRE PUERTO MONTT</t>
  </si>
  <si>
    <t>TOTAL COMUNA DE  PUERTO MONTT</t>
  </si>
  <si>
    <t>CONSTRUCCION SKATE PLAZA DE CALBUCO</t>
  </si>
  <si>
    <t>CERT. CORE 211 07.19 / CERT. CORE 24 01.2020 AUTORIZA CONTR. Y PAGAR 2020</t>
  </si>
  <si>
    <t>CONSTRUCCION SALA CUNA MUNICIPAL DE CALBUCO</t>
  </si>
  <si>
    <t>CONSTRUCCION MULTICANCHA SECTOR CARACOLITOS</t>
  </si>
  <si>
    <t>CONSTRUCCION SEDE DEL ADULTO MAYOR AÑOS DORADOS DE PARGUA</t>
  </si>
  <si>
    <t>CONSTRUCCION ALCANTARILLADO POBLACION GUSTAVO TORRES</t>
  </si>
  <si>
    <t>CONSTRUCCION SSHH Y ACCESO UNIVERSALES GIMNASIO Y ESCUELA DE POCOIHUEN ALTO</t>
  </si>
  <si>
    <t>CONSTRUCCION SEDE SOCIAL DE PUEBLO HUNDIDO DE COCHAMO</t>
  </si>
  <si>
    <t>CONSTRUCCION MERCADO MUNICIPAL DE RIO PUELO, COMUNA DE COCHAMO</t>
  </si>
  <si>
    <t>CONSTRUCCION AMPLIACION JARDIN INFANTIL Y SALA CUNA MIS PRIMEROS PASITOS RIO PUELO, COCHAMO</t>
  </si>
  <si>
    <t>CERT. CORE 218 08.19 /  CERT. CORE 24 01.2020 AUTORIZA CONTR. Y PAGAR 2020</t>
  </si>
  <si>
    <t>CONSTRUCCION CENTRO DE ACOPIO, COMUNA DE FRESIA</t>
  </si>
  <si>
    <t xml:space="preserve">MEJORAMIENTO CEMENTERIO MUNICIPAL DE FRESIA </t>
  </si>
  <si>
    <t xml:space="preserve">MEJORAMIENTO PLAZA DE ARMAS, COMUNA DE FRESIA </t>
  </si>
  <si>
    <t>MEJORAMIENTO PLANTA DE TRATAMIENTO DE PARGA</t>
  </si>
  <si>
    <t>CONSTRUCCIÓN CUBIERTA ACTIVIDADES PRODUCTIVAS</t>
  </si>
  <si>
    <t>CONSTRUCCION CENTRO COMUNITARIO ASPADIF, COMUNA FRUTILLAR</t>
  </si>
  <si>
    <t>CONSTRUCCION SALON MULTITALLER ALESSANDRI, COMUNA FRUTILLAR</t>
  </si>
  <si>
    <t>CONSTRUCCION PASEO PEATONAL AVENIDA ALESSANDRI</t>
  </si>
  <si>
    <t>HAB. SERVICIOS HIGIENICOS LICEO IGNACIO CARRERA P, FRUTILLAR</t>
  </si>
  <si>
    <t>CONSTRUCCION PLAZOLETA LA ESPERANZA</t>
  </si>
  <si>
    <t>CONSTRUCCION MIRADORES URBANOS CIRCUITO PATRIMONIAL DE LLANQUIHUE</t>
  </si>
  <si>
    <t>CONSTRUCCION SEDE MULTIUSO LOS PELLINES</t>
  </si>
  <si>
    <t>CONSTRUCCION Y EQUIPAMIENTO PARQUE HUMEDAL LOS HELECHOS</t>
  </si>
  <si>
    <t>CONSTRUCCION INFOGRAFIA ACCESO SUR, COMUNA DE LLANQUIHUE</t>
  </si>
  <si>
    <t>CONSTRUCCION PLAYA INCLUSIVA WIEHOFF, COMUNA LLANQUIHUE</t>
  </si>
  <si>
    <t>REPOSICION SALON MULTIUSO 2 CIA BOMBEROS, LOS MUERMOS</t>
  </si>
  <si>
    <t>CONSTRUCCION MULTICANCHA ESTAQUILLA</t>
  </si>
  <si>
    <t>CONSTRUCCION GRADERIAS C.D. ARNOLFO AGUILA, LOS MUERMOS</t>
  </si>
  <si>
    <t>AMPLIACION POSTA DE SALUD RURAL QUILLAHUA</t>
  </si>
  <si>
    <t>MEJORAMIENTO Y AMPLIACIÓN CENTRO DIURNO ADULTO MAYOR LOS MUE</t>
  </si>
  <si>
    <t>MEJORAMIENTO JARDIN INFANTIL EL MELI LOS MUERMOS</t>
  </si>
  <si>
    <t>CONSTRUCCION CENTRO MULTIPROPOSITO RIVERA NORTE - MAULLIN</t>
  </si>
  <si>
    <t>CONSTRUCCION CENTRO COMUNITARIO TIERRA VERDE - CARELMAPU</t>
  </si>
  <si>
    <t>REPOSICION CENTRO COMUNITARIO VILLA ESPERANZA - LA PASADA</t>
  </si>
  <si>
    <t>MEJORAMIENTO SSHH DE 6 ESCUELAS COMUNA DE MAULLIN</t>
  </si>
  <si>
    <t>P . VARAS</t>
  </si>
  <si>
    <t>MEJORAMIENTO MUELLE PEDRAPLEN PUERTO VARAS</t>
  </si>
  <si>
    <t>CONSTRUCCION FERIA TURÍSTICA ARTESANAL PUERTO VARAS</t>
  </si>
  <si>
    <t>CONSTRUCCION PLAZA CIVICA ENSENADA, PUERTO VARAS</t>
  </si>
  <si>
    <t>CONSTRUCCION Y MEJORAMIENTO MOBILIARIO Y SEÑALETICA TURISTICA PUERTO VARAS</t>
  </si>
  <si>
    <t>MEJORAMIENTO ESTABLECIMIENTO DE LARGA ESTADIA ADULTO MAYOR</t>
  </si>
  <si>
    <t>TOTAL COMUNA DE  PUERTO VARAS</t>
  </si>
  <si>
    <t>REPOSICION SEDE SOCIAL SECTOR RURAL DE CATRUMAN, COMUNA DE ANCUD</t>
  </si>
  <si>
    <t>REPOSICION SEDE CLUB DEPORTIVO LOS ROBLES DE CHAICURA, COMUNA DE ANCUD</t>
  </si>
  <si>
    <t>CERT. CORE 131 04.20</t>
  </si>
  <si>
    <t>REPOSICION SEDE CLUB DEPORTIVO UNION CENTRAL DE HUINCHA</t>
  </si>
  <si>
    <t>MEJORAMIENTO PASAJE LA CANTERA, COMUNA DE ANCUD</t>
  </si>
  <si>
    <t>REPOSICION MULTICANCHA 22 DE MAYO</t>
  </si>
  <si>
    <t>CONSTRUCCION SEDE SOCIAL SECTOR RURAL COÑIMO</t>
  </si>
  <si>
    <t>CONSTRUCCION CASA DE LA MUSICA</t>
  </si>
  <si>
    <t>CONSTRUCCIÓN SALA MULTIPROPÓSITO UNIÓN COMUNAL ADULTO MAYOR</t>
  </si>
  <si>
    <t>CONSTRUCCION CENTRO DE ACOMPAÑAMIENTO TEA CHILOE</t>
  </si>
  <si>
    <t>REPOSICION PARQUE VILLA EL MIRADOR 1, COMUNA DE CASTRO</t>
  </si>
  <si>
    <t>MEJORAMIENTO SISTEMA DE APR DE RILAN, COMUNA DE CASTRO</t>
  </si>
  <si>
    <t>REPOSICION PLAZA RAUCO, COMUNA DE CHONCHI</t>
  </si>
  <si>
    <t>REPOSICION CENTRO COMUNITARIO HUILLINCO</t>
  </si>
  <si>
    <t>REPOSICION Y CONSTRUCCION E ILUMINACION VEREDAS HUILLINCO</t>
  </si>
  <si>
    <t>MEJORAMIENTO PREBÁSICA ESCUELA SAN CARLOS, COMUNA DE CHONCHI</t>
  </si>
  <si>
    <t>AMPLIACION INFOCENTRO PALQUI, CURACO DE VELEZ</t>
  </si>
  <si>
    <t>MEJORAMIENTO GIMNASIO COMUNITARIO POBLACION BORDEMAR</t>
  </si>
  <si>
    <t>CONSERVACION GIMNASIOS COMUNITARIO HUYAR ALTO Y PALQUI, CURACO DE VELEZ</t>
  </si>
  <si>
    <t>MEJORAMIENTO GIMNASIO COMUNITARIO SAN JAVIER, CURACO DE VELEZ</t>
  </si>
  <si>
    <t>CONSTRUCCION E IMPLEMENTACION DE PUNTOS VERDES, CURACO DE VELEZ</t>
  </si>
  <si>
    <t>CONSTRUCCIÓN CENTRO DIURNO ADULTO MAYOR, CURACO DE VÉLEZ</t>
  </si>
  <si>
    <t>TOTAL COMUNA DE  CURACO DE VELEZ</t>
  </si>
  <si>
    <t>CONSTRUCCION CUARTEL DE BOMBEROS CALEN</t>
  </si>
  <si>
    <t>CONSTRUCCION MULTICANCHA VILLA SUYAI, COMUNA DE DALCAHUE</t>
  </si>
  <si>
    <t>CONSTRUCION JUZGADO DE POLICIA LOCAL, CIUDAD DE DALCAHUE</t>
  </si>
  <si>
    <t>CONSERVACION Y MEJORAMIENTO JARDINES INFANTILES CECI BUTALCU</t>
  </si>
  <si>
    <t>CONST. SIST. DE AP Y AS PSJE. LOS LAURELES, SECTOR URBANO</t>
  </si>
  <si>
    <t>CONSTRUCCION CONSTRUCCION CANCHA SINTETICA FUTBOL 7 SECTOR LINCAY - COMUNA PUQUELDON</t>
  </si>
  <si>
    <t>CONSTRUCCION CENTRO COMUNITARIO SECTOR MARICO, COMUNA DE PUQUELDON</t>
  </si>
  <si>
    <t>CONSTRUCCION CENTRO DIURNO ADULTO MAYOR COMUNA DE PUQUELDON</t>
  </si>
  <si>
    <t>CONSTRUCCION CANCHA DE FUTBOL SECTOR DE ESTERO, QUEILEN</t>
  </si>
  <si>
    <t>CONSTRUCCION CANCHA DE FUTBOL SECTOR DE PUREO, QUEILEN</t>
  </si>
  <si>
    <t>CONSTRUCCION CANCHA DE FUTBOL AGONI</t>
  </si>
  <si>
    <t>CONSTRUCCION SALA MULTIUSO ADULTOS MAYORES SECTOR DE AULEN,</t>
  </si>
  <si>
    <t>CONSTRUCCION SALA MULTIUSO ADULTOS MAYORES SECTOR DE SAN JOS</t>
  </si>
  <si>
    <t>CONSTRUCCION MEDIALUNA, COMUNA DE QUELLON</t>
  </si>
  <si>
    <t>CONSTRUCCION CENTRO DE DIFUSION TURISTICA, COMUNA DE QUELLON</t>
  </si>
  <si>
    <t>AMPLIACION SALAS DE CLASES ESCUELA RURAL AUCHAC, QUELLON</t>
  </si>
  <si>
    <t>CONSTRUCCION CENTRO DIURNO ADULTO MAYOR COMUNA DE QUELLON</t>
  </si>
  <si>
    <t>MEJORAMIENTO MULTICANCHA ALBERTO HURTADO DE QUEMCHI</t>
  </si>
  <si>
    <t>MEJORAMIENTO DE ARCOS DE ACCESOS Y SENALETICA TURISTICA EN LA COMUNA DE QUEMCHI.</t>
  </si>
  <si>
    <t>CONSTRUCCION PLAZA SECTOR RURAL LLIUCO</t>
  </si>
  <si>
    <t>CONSTRUCCION BODEGA MUNICIPAL</t>
  </si>
  <si>
    <t>CONSTRUCCIÓN POZO PROFUNDO SECTOR CHOEN</t>
  </si>
  <si>
    <t>MEJORAMIENTO GRADERIA Y OTROS ESPACIO ESTADIO MUNICIPAL DE ACHAO</t>
  </si>
  <si>
    <t>CONSTRUCCION VEREDAS SECTOR BARRIO ALTO ACHAO</t>
  </si>
  <si>
    <t>REPARACION BAÑOS Y DIVERSOS ESPACIOS RECINTO PREDIAL MUNICIPAL DE ACHAO</t>
  </si>
  <si>
    <t>CONST. CENTRO DIURNO ADULTO MAYOR DE ACHAO, COMUNA QUINCHAO</t>
  </si>
  <si>
    <t>REPOSICION CUBIERTA, ESCUELA RURAL AYACARA</t>
  </si>
  <si>
    <t>MEJORAMIENTO Y CIERRE PERIMETRAL CANCHA AYACARA, CHAITEN</t>
  </si>
  <si>
    <t>CONSTRUCCION SEÑALETICA EDIFICACIONES MUNICIPALES Y LOCALIDADES RURALES</t>
  </si>
  <si>
    <t>MEJORAMIENTO INTEGRAL GIMNASIO ESCUELA JJ LATORRE COMUNA CHAITEN</t>
  </si>
  <si>
    <t>MEJORAMIENTO PASARELA TURISTICA RAMOS, FUTALEUFU</t>
  </si>
  <si>
    <t xml:space="preserve"> CERT. CORE 24 01.2020 AUTORIZA CONTR. Y PAGAR 2020</t>
  </si>
  <si>
    <t>REPOSICION GRADERÍAS ESTADIO MUNICIPAL FUTALEUFU</t>
  </si>
  <si>
    <t>REPOSICION OFICINA DE TURISMO, FUTALEUFU</t>
  </si>
  <si>
    <t>CONSTRUCCION ZANJA PARA LA DISPOSICION DE RSD, FUTALEUFU</t>
  </si>
  <si>
    <t>REPOSICION GRADERIAS ESTADIO MUNICIPAL FUTALEUFU</t>
  </si>
  <si>
    <t>RE EVALUACION</t>
  </si>
  <si>
    <t>MEJORAMIENTO SERVICIOS SANITARIOS ESCUELA LAS ESCALAS, FUTALEUFU</t>
  </si>
  <si>
    <t>MEJORAMIENTO ESTADIO HORNOPIREN, HUALAIHUE</t>
  </si>
  <si>
    <t>NORMALIZACION FERIA COSTUMBRISTA ROLECHA, HUALAIHUE</t>
  </si>
  <si>
    <t>AMPLIACION CENTRO DIURNO COMUNITARIO HORNOPIREN</t>
  </si>
  <si>
    <t>MEJORAMIENTO CEMENTERIO MUNICIPAL DE PALENA</t>
  </si>
  <si>
    <t>REPOSICION CIERRE PERIMETRAL PATIO MAQUINARIA MUNICIPAL</t>
  </si>
  <si>
    <t>CONSTRUCCION DE INFRAESTRUCTURA TURISTICA</t>
  </si>
  <si>
    <t>HABILITACION CENTRO DIA ADULTO MAYOR PALENA</t>
  </si>
  <si>
    <t>TOTAL FONDO REGIONAL DE INICIATIVAS LOCAL</t>
  </si>
  <si>
    <t>INICIATIVAS QUE OBTIENEN SU RS</t>
  </si>
  <si>
    <t>Banco Integrado de Proyectos el 18.05.2020</t>
  </si>
  <si>
    <t>ESTADO DE SITUACION</t>
  </si>
  <si>
    <t>FICHA BIP</t>
  </si>
  <si>
    <t>SubTitulo</t>
  </si>
  <si>
    <t>NOMBRE INICIATIVA EN EESS</t>
  </si>
  <si>
    <t>COSTO EESS</t>
  </si>
  <si>
    <t>ESTADO ACTUAL</t>
  </si>
  <si>
    <t>COSTO FICHA IDI  M$</t>
  </si>
  <si>
    <t>NOMBRE INICIATIVA FICHA IDI</t>
  </si>
  <si>
    <t>MEJORAMIENTO PAVIMENTO CALLES VILLA SAN ANDRÉS Y LOS TULIPANES, CALBUCO</t>
  </si>
  <si>
    <t>MEJORAMIENTO PAVIMENTOS CALLES CARLOS CONDELL, FRAGATA COCHRANE Y  LAS VERTIENTES, CALBUCO</t>
  </si>
  <si>
    <t>AMPLIACION RED PUBLICA SIST. AP Y ALC. ST ALCAZAR</t>
  </si>
  <si>
    <t>AMPLIACION DE RED PUBLICA SIST DE AGUA POTABLE Y ALC SECTOR ALCÁZAR COMUNA DE QUELLON</t>
  </si>
  <si>
    <t>Valores</t>
  </si>
  <si>
    <t xml:space="preserve">   COSTO</t>
  </si>
  <si>
    <t xml:space="preserve"> PAGOS AÑOS ANTERIORES</t>
  </si>
  <si>
    <t>Suma de COMPROMISO 2020</t>
  </si>
  <si>
    <t xml:space="preserve"> SALDO COMPROMISO</t>
  </si>
  <si>
    <t>Suma de ARRASTRE</t>
  </si>
  <si>
    <t>PROVISION</t>
  </si>
  <si>
    <t xml:space="preserve">  COSTO</t>
  </si>
  <si>
    <t>Total CHILOE</t>
  </si>
  <si>
    <t>Total FOMENTO</t>
  </si>
  <si>
    <t>Total LLANQUIHUE</t>
  </si>
  <si>
    <t>Total OSORNO</t>
  </si>
  <si>
    <t>Total PALENA</t>
  </si>
  <si>
    <t>Total REGIONAL</t>
  </si>
  <si>
    <t>Suma de  COSTO</t>
  </si>
  <si>
    <t>ITEM</t>
  </si>
  <si>
    <t xml:space="preserve"> TOTAL PAGADO  2019</t>
  </si>
  <si>
    <t xml:space="preserve"> COMPROMISO </t>
  </si>
  <si>
    <t>DISTRIBUCIÓN DEL COMPROMISO</t>
  </si>
  <si>
    <t>VALIDACION</t>
  </si>
  <si>
    <t>30133915EJECUCION</t>
  </si>
  <si>
    <t>30382027EJECUCION</t>
  </si>
  <si>
    <t>30480365EJECUCION</t>
  </si>
  <si>
    <t>30483910EJECUCION</t>
  </si>
  <si>
    <t>30483911EJECUCION</t>
  </si>
  <si>
    <t>30483006EJECUCION</t>
  </si>
  <si>
    <t>30478657EJECUCION</t>
  </si>
  <si>
    <t>30478656EJECUCION</t>
  </si>
  <si>
    <t>30478653EJECUCION</t>
  </si>
  <si>
    <t>30478661EJECUCION</t>
  </si>
  <si>
    <t>30478659EJECUCION</t>
  </si>
  <si>
    <t>30478660EJECUCION</t>
  </si>
  <si>
    <t>30478655EJECUCION</t>
  </si>
  <si>
    <t>30322174EJECUCION</t>
  </si>
  <si>
    <t>30483010EJECUCION</t>
  </si>
  <si>
    <t>30384235PREFACTIBILIDAD</t>
  </si>
  <si>
    <t>MEJORAMIENTO CALLE ESPAÑA, ENTRE CALLE QUEPE Y AVENIDA JUAN SOLER MANFREDINI, PUERTO MONTT</t>
  </si>
  <si>
    <t>HABILITACION SUMINISTRO ENERGIA  ELECTRICA SECTOR RURAL DE LOS MAÑIOS, ANCUD</t>
  </si>
  <si>
    <t>CONSTRUCCION SERVICIO AGUA POTABLE RURAL SECTOR EL PULPITO, CHONCHI</t>
  </si>
  <si>
    <t>HABILITACION SUMINISTRO  E. ELECTRICA SECTOR CAMINOS DE APECHE, QUEILEN</t>
  </si>
  <si>
    <t>En Ejecución</t>
  </si>
  <si>
    <t>C33</t>
  </si>
  <si>
    <t>OT*</t>
  </si>
  <si>
    <t>Res. En Toma de Razon CGR</t>
  </si>
  <si>
    <t>Observado por DIPLAN</t>
  </si>
  <si>
    <t>Banco Integrado de Proyectos el 01.06.2020</t>
  </si>
  <si>
    <t xml:space="preserve"> ARRASTRE</t>
  </si>
  <si>
    <t>ADQUISICION SISTEMA DE ILUMINACION AERÓDROMO QUEILEN (C33)</t>
  </si>
  <si>
    <t>NO PPTO</t>
  </si>
  <si>
    <t>CONSTRUCCION SOLUCIONES FOTOVOLTAICAS INDIVIDUALES SECTOR PEULLA (C33)</t>
  </si>
  <si>
    <t>CONSERVACION CAMINO NO ENROLADOS EN 7 SECTORES DE LA COMUNA DE PUYEHUE (C33)</t>
  </si>
  <si>
    <t>RS - 1379</t>
  </si>
  <si>
    <t>S-FICHA</t>
  </si>
  <si>
    <t>SRS</t>
  </si>
  <si>
    <t>INSTALACION SISTEMA APR SECTORES CHAILDAD-CHANCO-YATEHUE, QUELLÓN</t>
  </si>
  <si>
    <t>CONSTRUCCION SUM. ENERGIA FOTOVOLTAICA  EL MANSO-L V GORMAZ-L T. TAGUA-LOS GUINDOS, COCHAMO</t>
  </si>
  <si>
    <t>Banco Integrado de Proyectos el 15.06.2020</t>
  </si>
  <si>
    <t>SS.EE</t>
  </si>
  <si>
    <t>S-RS</t>
  </si>
  <si>
    <t>** MEJORAMIENTO HOSPITAL DE PTO OCTAY</t>
  </si>
  <si>
    <t>AÑO ADMISIBILIDAD</t>
  </si>
  <si>
    <t>FRIL SOCIAL</t>
  </si>
  <si>
    <t>TIPO DE FRIL</t>
  </si>
  <si>
    <t>ACUERDOS</t>
  </si>
  <si>
    <t>30158072EJECUCION</t>
  </si>
  <si>
    <t>Sin Recomendación Satisfactoria</t>
  </si>
  <si>
    <t>2660-12-LR20</t>
  </si>
  <si>
    <t>4360 06,12,19</t>
  </si>
  <si>
    <t>966131-34-LR20</t>
  </si>
  <si>
    <t>1077523-3-LR20</t>
  </si>
  <si>
    <t>3462 30,09,19</t>
  </si>
  <si>
    <t xml:space="preserve">15 02,03,20 </t>
  </si>
  <si>
    <t>3293-28-LR20</t>
  </si>
  <si>
    <t>En Licitación (22.06.20)</t>
  </si>
  <si>
    <t>En Licitación (20.07.20)</t>
  </si>
  <si>
    <t>2697 23,09,19</t>
  </si>
  <si>
    <t>368 10,02,20</t>
  </si>
  <si>
    <t>369 10,02,20</t>
  </si>
  <si>
    <t>781 18,03,20</t>
  </si>
  <si>
    <t>Licitacion Desierta 03.06.20</t>
  </si>
  <si>
    <t>797 19,03,20</t>
  </si>
  <si>
    <t>2698 23,09,19</t>
  </si>
  <si>
    <t>Licitacion Cerrada (05.06.20)</t>
  </si>
  <si>
    <t>Licitación Desierta (28.05.20)</t>
  </si>
  <si>
    <t>En Licitación (15.07.20)</t>
  </si>
  <si>
    <t>4037-59-LR20</t>
  </si>
  <si>
    <t>784 18,03,20</t>
  </si>
  <si>
    <t>4358 06,12,19</t>
  </si>
  <si>
    <t>Licitacion Cerrada (28.11.2019)</t>
  </si>
  <si>
    <t>En Licitación (27.07.20)</t>
  </si>
  <si>
    <t>2289-30-LR20</t>
  </si>
  <si>
    <t>2511 30,08,19</t>
  </si>
  <si>
    <t>4096 15,11,19</t>
  </si>
  <si>
    <t>4095 15,11,19</t>
  </si>
  <si>
    <t>Licitación Adjudicada (23.01.20)</t>
  </si>
  <si>
    <t>95 15,10,19</t>
  </si>
  <si>
    <t>Licitación Adjudicada (02.03.20)</t>
  </si>
  <si>
    <t>Licitación Adjudicada (16.04.20)</t>
  </si>
  <si>
    <t>Licitación Desierta (06.05.20)</t>
  </si>
  <si>
    <t>1522-13-CO20</t>
  </si>
  <si>
    <t>Licitación Adjudicada (29.05.20)</t>
  </si>
  <si>
    <t>4359 06,12,19</t>
  </si>
  <si>
    <t>545 14,02,20</t>
  </si>
  <si>
    <t>779 18,03,20</t>
  </si>
  <si>
    <t>2332-42-LE19</t>
  </si>
  <si>
    <t>335 15,02,19</t>
  </si>
  <si>
    <t>2852-31-LR20</t>
  </si>
  <si>
    <t>En Licitación (03.07.20)</t>
  </si>
  <si>
    <t>2852-30-LQ20</t>
  </si>
  <si>
    <t>Licitación Cerrada (08.06.20)</t>
  </si>
  <si>
    <t>2505 30,08,19</t>
  </si>
  <si>
    <t>783 18,03,20</t>
  </si>
  <si>
    <t>4097 15,11,19</t>
  </si>
  <si>
    <t>4164 25,11,19</t>
  </si>
  <si>
    <t>853 17,04,20</t>
  </si>
  <si>
    <t>3801 15,10,19</t>
  </si>
  <si>
    <t>976 15,04,19</t>
  </si>
  <si>
    <t>4145 22,11,19 ssosorno</t>
  </si>
  <si>
    <t>4224 27,11,19</t>
  </si>
  <si>
    <t>514 13,02,20</t>
  </si>
  <si>
    <t>2928-12-LE20</t>
  </si>
  <si>
    <t>Licitación Cerrada (12.06.20)</t>
  </si>
  <si>
    <t>507428-29-LR20</t>
  </si>
  <si>
    <t>3798 15,10,19</t>
  </si>
  <si>
    <t>Licitación Cerrada (01.06.20)</t>
  </si>
  <si>
    <t>Licitación Cerrada (15.06.20)</t>
  </si>
  <si>
    <t>3479-92-LQ20</t>
  </si>
  <si>
    <t>En Licitación (08.07.20)</t>
  </si>
  <si>
    <t>En Licitación (14.07.20)</t>
  </si>
  <si>
    <t>NO ESTA EN MERCADO PUBLICO</t>
  </si>
  <si>
    <t>2680 16,09,19</t>
  </si>
  <si>
    <t>796 19,03,20</t>
  </si>
  <si>
    <t>798 19,03,20</t>
  </si>
  <si>
    <t>280 29,01,20</t>
  </si>
  <si>
    <t>2943-5-LP20</t>
  </si>
  <si>
    <t>MUNICIPALIDADES - APLICACIÓN LETRA F) NUMERAL 2.3 GLOSA 02 GOBIERNOS REGIONALES</t>
  </si>
  <si>
    <t>* CERT.CORE 170 06.2020</t>
  </si>
  <si>
    <t>COVID19</t>
  </si>
  <si>
    <t>** RECUPERACION ECONÓMICA MICROEMPRESAS LOS LAGOS (REACTÍVATE)</t>
  </si>
  <si>
    <t>FUNDACION CHINQUIHUE</t>
  </si>
  <si>
    <t>** RECUPERACION ECONOMICA A TRAVES DE MICROEMPRESAS FAMILIARES</t>
  </si>
  <si>
    <t>* CERT.CORE 171 06.2020</t>
  </si>
  <si>
    <t>* CERT.CORE 172 06.2020</t>
  </si>
  <si>
    <t>FUNDACION ARTESANIAS DE CHILE</t>
  </si>
  <si>
    <t xml:space="preserve">** RECUPERACION ECONÓMICA DE LA ARTESANÍA TRADICIONAL DE LA REGIÓN DE LOS LAGOS   </t>
  </si>
  <si>
    <t>* CERT.CORE 173 06.2020</t>
  </si>
  <si>
    <r>
      <t xml:space="preserve">* CERT. CORE 33 07.02.20 - APRUEBA / </t>
    </r>
    <r>
      <rPr>
        <b/>
        <sz val="18"/>
        <color theme="1"/>
        <rFont val="Calibri"/>
        <family val="2"/>
        <scheme val="minor"/>
      </rPr>
      <t>CERT. CORE 80 03.2020 MODIFICA NOMBRE</t>
    </r>
    <r>
      <rPr>
        <sz val="18"/>
        <color theme="1"/>
        <rFont val="Calibri"/>
        <family val="2"/>
        <scheme val="minor"/>
      </rPr>
      <t xml:space="preserve"> / CERT. CORE 96 03.2020 APRUEBA CARTERA / </t>
    </r>
    <r>
      <rPr>
        <b/>
        <sz val="18"/>
        <color theme="1"/>
        <rFont val="Calibri"/>
        <family val="2"/>
        <scheme val="minor"/>
      </rPr>
      <t>CERT. CORE 174 06.2020 MODIFICA CODIGO, NOMBRE Y COSTO</t>
    </r>
  </si>
  <si>
    <r>
      <t xml:space="preserve">* </t>
    </r>
    <r>
      <rPr>
        <b/>
        <sz val="18"/>
        <color theme="1"/>
        <rFont val="Calibri"/>
        <family val="2"/>
        <scheme val="minor"/>
      </rPr>
      <t>CONSERVACION DIVERSOS CAMINOS DE RIPIO, REGIÓN DE LOS LAGOS, AÑO 2020-2021</t>
    </r>
  </si>
  <si>
    <t>* CERT. CORE 33 07.02.20 - APRUEBA / CERT. CORE 177 06.2020 - APRUEBA</t>
  </si>
  <si>
    <t>* HABILITACION SUMINISTRO ELECTRICO SECTOR RURAL LOS MAÑIOS</t>
  </si>
  <si>
    <t>* CERT. CORE 33 07.02.20 - APRUEBA COMPLEMENTO A.SOCIAL / CERT. CORE 178 06.2020 - AJUSTA COSTO</t>
  </si>
  <si>
    <t>* CERT. CORE 180 06.2020 - INCORPORA</t>
  </si>
  <si>
    <t>** ADQUISICION VEHÍCULO APOYO LOGÍSTICO SERVICIO DE SALUD OSORNO (C33)</t>
  </si>
  <si>
    <t>CERT. CORE 183 06.20</t>
  </si>
  <si>
    <t>CONSTRUCCION CENTRO MULTIPROPÓSITO Y ATENCIÓN DEL ADULTO MAYOR PUAUCHO, SAN JUAN DE LA COSTA</t>
  </si>
  <si>
    <t>AMPLIACION CENTRO DIURNO PARA EL ADULTO MAYOR, COMUNA CASTRO</t>
  </si>
  <si>
    <t>* CONSTRUCCION SUM. ENERGIA FOTOVOLTAICA  EL MANSO-L V GORMAZ-L T. TAGUA-LOS GUINDOS, COCHAMO</t>
  </si>
  <si>
    <t>* CERT. CORE 33 07.02.20 - APRUEBA / CERT. CORE 187 06.2020 - ELIMINA/UNIFICA INICIATIVAS Y AJUSTA COSTO</t>
  </si>
  <si>
    <t>* REPOSICION HOSPEDERIA HOGAR DE CRISTO, OSORNO</t>
  </si>
  <si>
    <t>CERT. CORE 182 06.20</t>
  </si>
  <si>
    <t>MEJORAMIENTO ESTADIO MUNICIPAL DE CHAITEN</t>
  </si>
  <si>
    <t>REPOSICION PASARELA PEATONAL VILLA VANGUARDIA, COMUNA DE CHAITEN</t>
  </si>
  <si>
    <t>CONSTRUCCION CUARTEL PRIMERA COMPAÑIA DE BOMBEROS - COMUNA PUQUELDON</t>
  </si>
  <si>
    <t>CONSTRUCCION PAVIMENTACIÓN CALLE ACCESO SALÓN VELATORIO, CURACO DE VÉLEZ</t>
  </si>
  <si>
    <t>MEJORAMIENTO Y CONSTRUCCIÓN CALZADA Y VEREDA CALLE MANUEL OYARZÚN, CURACO DE VÉLEZ</t>
  </si>
  <si>
    <t>CONSTRUCCION CENTRO COMUNITARIO CLUB DEPORTIVO VILUPULLI, COMUNA DE CHONCHI</t>
  </si>
  <si>
    <t>CONSTRUCCION CENTRO COMUNITARIO CLUB DEPORTIVO NALHUITAD, COMUNA DE CHONCHI</t>
  </si>
  <si>
    <t>CONSTRUCCION CENTRO COMUNITARIO 18 DE SEPTIEMBRE, COMUNA DE CHONCHI</t>
  </si>
  <si>
    <t>CONSTRUCCION PAVIMENTACIÓN CALLE FRANCISCO COLOANE, COMUNA DE CHONCHI</t>
  </si>
  <si>
    <t>CONSTRUCCION CUARTEL DE BOMBEROS 3RA COMPAÑÍA, CARELMAPU</t>
  </si>
  <si>
    <t>MEJORAMIENTO JUEGOS INFANTILES PLAZA DE ARMAS, LOS MUERMOS</t>
  </si>
  <si>
    <t>CONSTRUCCION CANCHA SINTETICA FUTBOL CINCO CASMA, FRUTILLAR</t>
  </si>
  <si>
    <t xml:space="preserve">CONSTRUCCION POLIFUNCIONAL  VILLA BICENTENARIO, COMUNA DE FRESIA  </t>
  </si>
  <si>
    <t>CONSTRUCCION PARADEROS SUST. EN RIO PUELO ACC. LAS JUNTAS Y P. HUNDIDO, COMUNA DE COCHAMÓ</t>
  </si>
  <si>
    <t>CONSTRUCCION PLAZA EL MIRADOR, OSORNO</t>
  </si>
  <si>
    <t>40020224EJECUCION</t>
  </si>
  <si>
    <t>40025181SERCOTEC</t>
  </si>
  <si>
    <t>40025247FUNDACION CHINQUIHUE</t>
  </si>
  <si>
    <t>40025197FOSIS</t>
  </si>
  <si>
    <t>40025326FUNDACION ARTESANIAS DE CHILE</t>
  </si>
  <si>
    <t>BIP 05/07/20</t>
  </si>
  <si>
    <t>AC. SOCIAL</t>
  </si>
  <si>
    <t>AC. COMPL.</t>
  </si>
  <si>
    <t>CIU.+HUM.</t>
  </si>
  <si>
    <t>CONVENIOS / ACUERDOS</t>
  </si>
  <si>
    <t>G</t>
  </si>
  <si>
    <t>V</t>
  </si>
  <si>
    <t>CONSTRUCCION CUBIERTAS EXTERIORES MERCADO MUNICIPAL DE OSORNO</t>
  </si>
  <si>
    <t>RE</t>
  </si>
  <si>
    <t>En Ejecución / Reevaluación</t>
  </si>
  <si>
    <t xml:space="preserve">CONSTRUCCION SERVICIO AGUA POTABLE RURAL LA CAMPANA, COMUNA DE CALBUCO  </t>
  </si>
  <si>
    <t xml:space="preserve">CONSTRUCCION INFRAESTRUCTURA AEROPORTUARIA DE EMERGENCIA, ISLA MEULÍN, COMUNA DE QUINCHAO.  </t>
  </si>
  <si>
    <t>Banco Integrado de Proyectos el 20.07.2020</t>
  </si>
  <si>
    <t>Sin Rate por Objecion Tecnica</t>
  </si>
  <si>
    <t>TOTAL PAGOS AL 31 JULIO 2020</t>
  </si>
  <si>
    <t>Suma de TOTAL PAGOS AL 31 JULIO 2020</t>
  </si>
  <si>
    <t>BIP 31/07/20</t>
  </si>
  <si>
    <t>NORMALIZACION CENTRO SALUD FAMILIAR ALERCE, COMUNA DE PUERTO MONTT</t>
  </si>
  <si>
    <t>REPOSICION ESCUELA RURAL CAPITAN DE BANDADA CARLOS RODRIGUEZ PARIS, LLANADA GRANDE, COCHAMO</t>
  </si>
  <si>
    <t>MEJORAMIENTO 5 VIAS DE LA CIUDAD DE DALCAHUE</t>
  </si>
  <si>
    <t>T</t>
  </si>
  <si>
    <t>* CERT. CORE 206 07.20 - AUMENTA COSTO</t>
  </si>
  <si>
    <t>* AMPLIACION SERVICIO APR BAHIA LINAO HACIA HUAPILINAO Y R.NEGRO,ANCUD</t>
  </si>
  <si>
    <t>* CONSERVACION 12,9 KM CAMINOS NO ENROLADOS, DIVERSOS SECTORES COMUNA PUERTO OCTAY (C33)</t>
  </si>
  <si>
    <t>*CERT. CORE 281 12.09.19 - APRUEBA AUMENTO PPTO. / CERT. CORE 204 07.20 AUMENTA COSTO</t>
  </si>
  <si>
    <t>* CERT. CORE 205 07.20 - AUMENTA PPTO</t>
  </si>
  <si>
    <t>CERT. CORE 212 07.20</t>
  </si>
  <si>
    <t>CONSTRUCCION SEDE COMUNITARIA POBLACION VILLA EL ESFUERZO, PUERTO VARAS</t>
  </si>
  <si>
    <t>* CERT. CORE 216 07.20 - AUMENTA COSTO</t>
  </si>
  <si>
    <t>* REPOSICION CUARTEL POLICIAL PREFECTURA PROVINCIAL OSORNO</t>
  </si>
  <si>
    <t>Banco Integrado de Proyectos el 31.07.2020</t>
  </si>
  <si>
    <t>ORD.1091</t>
  </si>
  <si>
    <t>ORD.1060</t>
  </si>
  <si>
    <t>ORD.1523</t>
  </si>
  <si>
    <r>
      <t xml:space="preserve">* </t>
    </r>
    <r>
      <rPr>
        <b/>
        <sz val="18"/>
        <color theme="1"/>
        <rFont val="Calibri"/>
        <family val="2"/>
        <scheme val="minor"/>
      </rPr>
      <t>CONSERVACION DIVERSOS CAMINOS DE RIPIO, REGIÓN DE LOS LAGOS, AÑO 2020-2021 (C33)</t>
    </r>
  </si>
  <si>
    <t>LEY</t>
  </si>
  <si>
    <t>SENAMA</t>
  </si>
  <si>
    <t>INSUMOS Y ALIMENTACION PARA ELEAM DE LOS LAGOS, PUERTO MONTT</t>
  </si>
  <si>
    <t>* CERT. CORE 223 07.20 APRUEBA</t>
  </si>
  <si>
    <t>INSUMOS Y ALIMENTACION PARA ELEAM DE LOS LAGOS, PUERTO VARAS</t>
  </si>
  <si>
    <t>* CERT. CORE 222 07.20 APRUEBA</t>
  </si>
  <si>
    <t>Por Iniciar Tramite DIPRES</t>
  </si>
  <si>
    <t>PREVENCION PROGRAMA MEJORAMIENTO INTEGRAL DE LA CALIDAD DE VIDA DE LAS PERSONAS MAYORES REGION DE LOS LAGOS</t>
  </si>
  <si>
    <t>* CERT. CORE 207 07.20</t>
  </si>
  <si>
    <t>CONSERVACION GIMNASIO FISCAL RIO NEGRO (C33)</t>
  </si>
  <si>
    <t>* CERT. CORE 203 07.20 - ACTUALIZA COSTO</t>
  </si>
  <si>
    <t>PREVENCION PROGRAMA DE CUIDADOS DOMICILIARIOS REGION DE LOS LAGOS</t>
  </si>
  <si>
    <t>* CERT. CORE 47 02.20</t>
  </si>
  <si>
    <t>ORD. 961</t>
  </si>
  <si>
    <t>ORD.640</t>
  </si>
  <si>
    <t>ORD.459</t>
  </si>
  <si>
    <t>ORD.458</t>
  </si>
  <si>
    <t>ORD.458-1060</t>
  </si>
  <si>
    <t>ORD.458-459</t>
  </si>
  <si>
    <t>FUNCHI</t>
  </si>
  <si>
    <t>CERT. CORE 211 07.20</t>
  </si>
  <si>
    <t>CONSTRUCCIÓN FERIA LIBRE VILLA LOS RIOS</t>
  </si>
  <si>
    <t>CONSTRUCCIÓN POLIFUNCIONAL EL JARDÍN</t>
  </si>
  <si>
    <t>CONSTRUCCIÓN TERMINAL RODOVIARIO COMUNA DE CALBUCO</t>
  </si>
  <si>
    <t>REPOSICIÓN CUARTEL 4TA COMPAÑÍA DE BOMBEROS, LOS MUERMOS</t>
  </si>
  <si>
    <t>CONSTRUCCION MUROS DE CONTENCION POBLACION 21 MAYO, PUERTO OCTAY</t>
  </si>
  <si>
    <t>REPOSICION 17 LUMINARIAS ALUMBRADO PUBLICO MEDIANTE SIST. FOTOVOLTAICO CALETA PUCATRIHUE</t>
  </si>
  <si>
    <t>EN CONVENIO</t>
  </si>
  <si>
    <t>CONSTRUCCION CENTRO COMUNITARIO Y DE ATENCION DE SALUD CALETA MANZANO, SAN JUAN DE LA COSTA</t>
  </si>
  <si>
    <t>CONSTRUCCION MULTICANCHA BAHIA MANSA</t>
  </si>
  <si>
    <t>CONSTRUCCION SEDE MULTICULTURAL PARGUA, COMUNA DE CALBUCO</t>
  </si>
  <si>
    <t>CONSTRUCCION CENTRO COMUNITARIO SECTOR PALENA SAN PABLO</t>
  </si>
  <si>
    <t>REPOSICION ACERAS DIVERSOS SECTORES DE LA VILLA DE SAN PABLO</t>
  </si>
  <si>
    <t>CERT. CORE 211 07.20 / CERT. CORE 220 07.20</t>
  </si>
  <si>
    <t>MEJORAMIENTO POSTA TRES ESTEROS, RIO NEGRO</t>
  </si>
  <si>
    <t>CONSTRUCCION CENTRO DE EXTENSION CULTURAL, COMUNA DE QUELLON</t>
  </si>
  <si>
    <t>MEJORAMIENTO BORDE COSTERO TENAUN</t>
  </si>
  <si>
    <t>HABILITACION Y PUESTA EN VALOR CUEVAS DE VILCUN</t>
  </si>
  <si>
    <t>MEJORAMIENTO CANCHA DE FUTBOL CLUB DEPORTIVO GALVARINO RIVEROS</t>
  </si>
  <si>
    <t>CONST. PATIO TECHADO MULTICANCHA POB. J. AMPUERO, DALCAHUE</t>
  </si>
  <si>
    <t>MEJORAMIENTO OFICINAS PUBLICAS</t>
  </si>
  <si>
    <t>MEJORAMIENTO INTEGRAL GIMNASIO SECTOR DE AITUY, QUEILEN</t>
  </si>
  <si>
    <t>CONSTRUCCION CENTRO DE ENSAYO Y ENTRENAMIENTO DEPORTIVO, COMUNA DE FRUTILLAR</t>
  </si>
  <si>
    <t>CONSTRUCCION CANCHA SINTETICA FUTBOLITO ENTRE VILLAS, FUTALEUFU</t>
  </si>
  <si>
    <t>MEJORAMIENTO CANCHA POICOHUEN ALTO, COMUNA DE COCHAMO</t>
  </si>
  <si>
    <t>CERT. CORE 224 07.20</t>
  </si>
  <si>
    <t>CONSTRUCCION SEDE COMUNITARIA LIUCURA</t>
  </si>
  <si>
    <t>CONSTRUCCION BORDE INTERACTIVO PLAZA DE ARMAS, QUELLON</t>
  </si>
  <si>
    <t>CONSTRUCCION SEDE DEPORTIVO MULTIUSO EN LLAGUEPE, COMUNA DE COCHAMO</t>
  </si>
  <si>
    <t>CONSTRUCCION COMPLEJO SOCIAL Y DEPORTIVO CLUB TRICOLOR, PUERTO OCTAY</t>
  </si>
  <si>
    <t>CONSTRUCCION GRADERIAS, SERVICIOS, SSHH Y CIERRE DEFACHADAS MULTICANCHA CHANQUE, COMUNA MAULLIN</t>
  </si>
  <si>
    <t>CONSTRUCCION CENTRO COMUNITARIO ADULTO MAYOR PUTIQUE, COMUNA DE QUINCHAO</t>
  </si>
  <si>
    <t>CONSTRUCCION PLAZA DEPORTIVA DE ACHAO, COMUNA DE QUINCHAO</t>
  </si>
  <si>
    <t>CONST. CENTRO COM. ADULTO MAYOR ISLA LINLIN, COMUNA DE QUINCHAO</t>
  </si>
  <si>
    <t>MEJORAMIENTO PLAZA JARDIN DEL LAGO, COMUNA DE PUYEHUE</t>
  </si>
  <si>
    <t>REPOSICION LUMINARIA LED, QUEMCHI</t>
  </si>
  <si>
    <t>CONSTRUCCION CEMENTERIO DE CONTAO, COMUNA DE HUALAIHUE</t>
  </si>
  <si>
    <t>30376573PREFACTIBILIDAD</t>
  </si>
  <si>
    <t>* ACTUALIZACION PLAN MAESTRO DE AGUAS LLUVIAS DE OSORNO</t>
  </si>
  <si>
    <t>* CERT. CORE 40 07.02.20 - ACTUALIZA COSTO</t>
  </si>
  <si>
    <t>30376572PREFACTIBILIDAD</t>
  </si>
  <si>
    <t>* ACTUALIZACION PLAN MAESTRO DE AGUAS LLUVIAS DE PTO. MONTT</t>
  </si>
  <si>
    <t>* CERT. CORE 39 07.02.20 - ACTUALIZA COSTO</t>
  </si>
  <si>
    <t>Terminado</t>
  </si>
  <si>
    <t>En Licitacion</t>
  </si>
  <si>
    <t>INICIATIVAS SIN RECOMENDACIÓN</t>
  </si>
  <si>
    <t>INICIATIVAS CON RECOMENDACIÓN</t>
  </si>
  <si>
    <t>TOTAL INICIATIVAS CON RECOMENDACIÓN</t>
  </si>
  <si>
    <t>TOTAL INICIATIVAS SIN RECOMENDACIÓN</t>
  </si>
  <si>
    <t>TOTAL ACUERDO COMPLEMENTARIO</t>
  </si>
  <si>
    <t>TOTAL REGIONALES</t>
  </si>
  <si>
    <t>FONDO REGIONAL DE INICIATIVAS LOCAL ACUERDO SOCIAL - DETALLE ACONTINUACION</t>
  </si>
  <si>
    <t xml:space="preserve">TOTAL ACUERDO SOCIAL </t>
  </si>
  <si>
    <t>TOTAL PAGOS AL 30 JULIO 2020</t>
  </si>
  <si>
    <t>PMB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</si>
</sst>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$&quot;\ * #,##0_-;\-&quot;$&quot;\ * #,##0_-;_-&quot;$&quot;\ * &quot;-&quot;??_-;_-@_-"/>
    <numFmt numFmtId="167" formatCode="[$$-340A]\ #,##0"/>
    <numFmt numFmtId="168" formatCode="###,###;#,##0;#,##0"/>
    <numFmt numFmtId="169" formatCode="_-[$€-2]\ * #,##0.00_-;\-[$€-2]\ * #,##0.00_-;_-[$€-2]\ * \-??_-"/>
    <numFmt numFmtId="170" formatCode="0.0%"/>
    <numFmt numFmtId="171" formatCode="_-* #,##0.000_-;\-* #,##0.000_-;_-* &quot;-&quot;??_-;_-@_-"/>
    <numFmt numFmtId="172" formatCode="_ * #,##0.00_ ;_ * \-#,##0.00_ ;_ * &quot;-&quot;??_ ;_ @_ "/>
  </numFmts>
  <fonts count="9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0"/>
      <name val="Arial Narrow"/>
      <family val="2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0"/>
      <name val="Arial Narrow"/>
      <family val="2"/>
    </font>
    <font>
      <b/>
      <sz val="16"/>
      <color theme="0"/>
      <name val="Arial Narrow"/>
      <family val="2"/>
    </font>
    <font>
      <sz val="16"/>
      <color theme="0"/>
      <name val="Arial Narrow"/>
      <family val="2"/>
    </font>
    <font>
      <sz val="14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8"/>
      <color rgb="FF152935"/>
      <name val="Arial"/>
      <family val="2"/>
    </font>
    <font>
      <b/>
      <sz val="18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name val="Arial Narrow"/>
      <family val="2"/>
    </font>
    <font>
      <b/>
      <sz val="20"/>
      <color theme="0"/>
      <name val="Arial Narrow"/>
      <family val="2"/>
    </font>
    <font>
      <b/>
      <sz val="36"/>
      <color theme="0"/>
      <name val="Arial Narrow"/>
      <family val="2"/>
    </font>
    <font>
      <b/>
      <sz val="48"/>
      <color theme="0"/>
      <name val="Arial Narrow"/>
      <family val="2"/>
    </font>
    <font>
      <sz val="18"/>
      <color theme="0"/>
      <name val="Calibri"/>
      <family val="2"/>
      <scheme val="minor"/>
    </font>
    <font>
      <sz val="8"/>
      <color rgb="FF152935"/>
      <name val="Arial"/>
      <family val="2"/>
    </font>
    <font>
      <b/>
      <sz val="16"/>
      <color theme="0"/>
      <name val="Calibri"/>
      <family val="2"/>
      <scheme val="minor"/>
    </font>
    <font>
      <sz val="8"/>
      <color rgb="FF666666"/>
      <name val="GobCL"/>
      <charset val="134"/>
    </font>
    <font>
      <sz val="18"/>
      <name val="GobCL"/>
      <charset val="134"/>
    </font>
    <font>
      <b/>
      <sz val="18"/>
      <color rgb="FFFF0000"/>
      <name val="Calibri"/>
      <family val="2"/>
      <scheme val="minor"/>
    </font>
    <font>
      <sz val="14"/>
      <color rgb="FF152935"/>
      <name val="Arial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2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11"/>
      <color rgb="FF000000"/>
      <name val="Calibri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12"/>
      <name val="Arial"/>
      <family val="2"/>
    </font>
    <font>
      <sz val="10"/>
      <name val="Swis721 Lt BT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15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17"/>
      <name val="Calibri"/>
      <family val="2"/>
    </font>
    <font>
      <u/>
      <sz val="10"/>
      <color theme="10"/>
      <name val="Arial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3"/>
      <color indexed="56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0"/>
      <color indexed="8"/>
      <name val="MS Sans Serif"/>
      <family val="2"/>
    </font>
    <font>
      <b/>
      <sz val="18"/>
      <color indexed="56"/>
      <name val="Cambria"/>
      <family val="1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9"/>
      <name val="Tahoma"/>
      <family val="2"/>
    </font>
    <font>
      <sz val="9"/>
      <name val="Tahoma"/>
      <family val="2"/>
    </font>
    <font>
      <sz val="12"/>
      <name val="Tahoma"/>
      <family val="2"/>
    </font>
    <font>
      <sz val="16"/>
      <name val="Tahoma"/>
      <family val="2"/>
    </font>
    <font>
      <sz val="18"/>
      <name val="Arial Narrow"/>
      <family val="2"/>
    </font>
    <font>
      <sz val="16"/>
      <color rgb="FF152935"/>
      <name val="Arial"/>
      <family val="2"/>
    </font>
    <font>
      <sz val="16"/>
      <color rgb="FFFF0000"/>
      <name val="Calibri"/>
      <family val="2"/>
      <scheme val="minor"/>
    </font>
    <font>
      <b/>
      <sz val="36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22"/>
      </patternFill>
    </fill>
    <fill>
      <patternFill patternType="solid">
        <fgColor theme="4" tint="0.39991454817346722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0" tint="-0.249977111117893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9" tint="0.39991454817346722"/>
        <bgColor indexed="22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3" tint="0.799920651875362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1454817346722"/>
        <b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52">
    <xf numFmtId="0" fontId="0" fillId="0" borderId="0"/>
    <xf numFmtId="41" fontId="8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0" fontId="61" fillId="31" borderId="0" applyNumberFormat="0" applyBorder="0" applyAlignment="0" applyProtection="0"/>
    <xf numFmtId="0" fontId="60" fillId="34" borderId="0" applyNumberFormat="0" applyBorder="0" applyAlignment="0" applyProtection="0"/>
    <xf numFmtId="43" fontId="82" fillId="0" borderId="0" applyFont="0" applyFill="0" applyBorder="0" applyAlignment="0" applyProtection="0"/>
    <xf numFmtId="0" fontId="44" fillId="0" borderId="0"/>
    <xf numFmtId="0" fontId="60" fillId="33" borderId="0" applyNumberFormat="0" applyBorder="0" applyAlignment="0" applyProtection="0"/>
    <xf numFmtId="9" fontId="82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1" fillId="37" borderId="0" applyNumberFormat="0" applyBorder="0" applyAlignment="0" applyProtection="0"/>
    <xf numFmtId="0" fontId="51" fillId="0" borderId="0"/>
    <xf numFmtId="0" fontId="60" fillId="39" borderId="0" applyNumberFormat="0" applyBorder="0" applyAlignment="0" applyProtection="0"/>
    <xf numFmtId="0" fontId="44" fillId="0" borderId="0"/>
    <xf numFmtId="0" fontId="60" fillId="32" borderId="0" applyNumberFormat="0" applyBorder="0" applyAlignment="0" applyProtection="0"/>
    <xf numFmtId="0" fontId="59" fillId="0" borderId="0"/>
    <xf numFmtId="0" fontId="60" fillId="40" borderId="0" applyNumberFormat="0" applyBorder="0" applyAlignment="0" applyProtection="0"/>
    <xf numFmtId="0" fontId="60" fillId="38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61" fillId="36" borderId="0" applyNumberFormat="0" applyBorder="0" applyAlignment="0" applyProtection="0"/>
    <xf numFmtId="0" fontId="60" fillId="35" borderId="0" applyNumberFormat="0" applyBorder="0" applyAlignment="0" applyProtection="0"/>
    <xf numFmtId="0" fontId="60" fillId="41" borderId="0" applyNumberFormat="0" applyBorder="0" applyAlignment="0" applyProtection="0"/>
    <xf numFmtId="0" fontId="60" fillId="31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61" fillId="33" borderId="0" applyNumberFormat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1" fillId="43" borderId="0" applyNumberFormat="0" applyBorder="0" applyAlignment="0" applyProtection="0"/>
    <xf numFmtId="0" fontId="61" fillId="44" borderId="0" applyNumberFormat="0" applyBorder="0" applyAlignment="0" applyProtection="0"/>
    <xf numFmtId="0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37" borderId="0" applyNumberFormat="0" applyBorder="0" applyAlignment="0" applyProtection="0"/>
    <xf numFmtId="0" fontId="61" fillId="43" borderId="0" applyNumberFormat="0" applyBorder="0" applyAlignment="0" applyProtection="0"/>
    <xf numFmtId="0" fontId="61" fillId="50" borderId="0" applyNumberFormat="0" applyBorder="0" applyAlignment="0" applyProtection="0"/>
    <xf numFmtId="43" fontId="44" fillId="0" borderId="0" applyFont="0" applyFill="0" applyBorder="0" applyAlignment="0" applyProtection="0"/>
    <xf numFmtId="0" fontId="74" fillId="32" borderId="0" applyNumberFormat="0" applyBorder="0" applyAlignment="0" applyProtection="0"/>
    <xf numFmtId="0" fontId="75" fillId="7" borderId="72" applyNumberFormat="0" applyAlignment="0" applyProtection="0"/>
    <xf numFmtId="0" fontId="57" fillId="30" borderId="69" applyNumberFormat="0" applyAlignment="0" applyProtection="0"/>
    <xf numFmtId="169" fontId="44" fillId="0" borderId="0" applyFill="0" applyBorder="0" applyAlignment="0" applyProtection="0"/>
    <xf numFmtId="0" fontId="76" fillId="0" borderId="0" applyNumberFormat="0" applyFill="0" applyBorder="0" applyAlignment="0" applyProtection="0"/>
    <xf numFmtId="0" fontId="44" fillId="0" borderId="0"/>
    <xf numFmtId="0" fontId="67" fillId="40" borderId="0" applyNumberFormat="0" applyBorder="0" applyAlignment="0" applyProtection="0"/>
    <xf numFmtId="0" fontId="65" fillId="0" borderId="70" applyNumberFormat="0" applyFill="0" applyAlignment="0" applyProtection="0"/>
    <xf numFmtId="0" fontId="73" fillId="0" borderId="73" applyNumberFormat="0" applyFill="0" applyAlignment="0" applyProtection="0"/>
    <xf numFmtId="0" fontId="70" fillId="0" borderId="75" applyNumberFormat="0" applyFill="0" applyAlignment="0" applyProtection="0"/>
    <xf numFmtId="0" fontId="70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60" fillId="49" borderId="74" applyNumberFormat="0" applyFont="0" applyAlignment="0" applyProtection="0"/>
    <xf numFmtId="0" fontId="74" fillId="32" borderId="0" applyNumberFormat="0" applyBorder="0" applyAlignment="0" applyProtection="0"/>
    <xf numFmtId="0" fontId="72" fillId="34" borderId="72" applyNumberFormat="0" applyAlignment="0" applyProtection="0"/>
    <xf numFmtId="0" fontId="69" fillId="0" borderId="71" applyNumberFormat="0" applyFill="0" applyAlignment="0" applyProtection="0"/>
    <xf numFmtId="165" fontId="8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82" fillId="0" borderId="0" applyFont="0" applyFill="0" applyBorder="0" applyAlignment="0" applyProtection="0"/>
    <xf numFmtId="42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44" fillId="0" borderId="0" applyFont="0" applyFill="0" applyBorder="0" applyAlignment="0" applyProtection="0"/>
    <xf numFmtId="164" fontId="49" fillId="0" borderId="0" applyFont="0" applyFill="0" applyBorder="0" applyAlignment="0" applyProtection="0"/>
    <xf numFmtId="44" fontId="44" fillId="0" borderId="0" applyFill="0" applyBorder="0" applyAlignment="0" applyProtection="0"/>
    <xf numFmtId="164" fontId="49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82" fillId="0" borderId="0"/>
    <xf numFmtId="0" fontId="44" fillId="0" borderId="0"/>
    <xf numFmtId="0" fontId="71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82" fillId="0" borderId="0"/>
    <xf numFmtId="0" fontId="44" fillId="0" borderId="0"/>
    <xf numFmtId="0" fontId="44" fillId="0" borderId="0"/>
    <xf numFmtId="0" fontId="7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9" fillId="0" borderId="0" applyNumberFormat="0" applyFont="0" applyBorder="0" applyProtection="0"/>
    <xf numFmtId="0" fontId="79" fillId="0" borderId="0" applyNumberFormat="0" applyFont="0" applyBorder="0" applyProtection="0"/>
    <xf numFmtId="0" fontId="44" fillId="0" borderId="0"/>
    <xf numFmtId="0" fontId="60" fillId="0" borderId="0" applyFill="0" applyProtection="0"/>
    <xf numFmtId="0" fontId="44" fillId="0" borderId="0"/>
    <xf numFmtId="0" fontId="82" fillId="0" borderId="0"/>
    <xf numFmtId="0" fontId="44" fillId="0" borderId="0"/>
    <xf numFmtId="0" fontId="44" fillId="0" borderId="0"/>
    <xf numFmtId="0" fontId="82" fillId="0" borderId="0"/>
    <xf numFmtId="0" fontId="44" fillId="0" borderId="0"/>
    <xf numFmtId="0" fontId="44" fillId="0" borderId="0"/>
    <xf numFmtId="0" fontId="44" fillId="0" borderId="0"/>
    <xf numFmtId="0" fontId="82" fillId="0" borderId="0"/>
    <xf numFmtId="0" fontId="82" fillId="0" borderId="0"/>
    <xf numFmtId="0" fontId="44" fillId="0" borderId="0"/>
    <xf numFmtId="0" fontId="49" fillId="0" borderId="0"/>
    <xf numFmtId="0" fontId="77" fillId="0" borderId="0"/>
    <xf numFmtId="0" fontId="44" fillId="0" borderId="0"/>
    <xf numFmtId="0" fontId="44" fillId="0" borderId="0"/>
    <xf numFmtId="0" fontId="82" fillId="0" borderId="0"/>
    <xf numFmtId="0" fontId="44" fillId="0" borderId="0"/>
    <xf numFmtId="0" fontId="44" fillId="0" borderId="0"/>
    <xf numFmtId="0" fontId="44" fillId="0" borderId="0"/>
    <xf numFmtId="0" fontId="8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7" fillId="0" borderId="0"/>
    <xf numFmtId="0" fontId="59" fillId="0" borderId="0"/>
    <xf numFmtId="0" fontId="44" fillId="0" borderId="0"/>
    <xf numFmtId="0" fontId="44" fillId="0" borderId="0"/>
    <xf numFmtId="0" fontId="44" fillId="0" borderId="0"/>
    <xf numFmtId="0" fontId="44" fillId="49" borderId="74" applyNumberFormat="0" applyFont="0" applyAlignment="0" applyProtection="0"/>
    <xf numFmtId="0" fontId="80" fillId="7" borderId="76" applyNumberFormat="0" applyAlignment="0" applyProtection="0"/>
    <xf numFmtId="9" fontId="82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</cellStyleXfs>
  <cellXfs count="1006">
    <xf numFmtId="0" fontId="0" fillId="0" borderId="0" xfId="0"/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wrapText="1"/>
    </xf>
    <xf numFmtId="3" fontId="2" fillId="0" borderId="2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 wrapText="1"/>
    </xf>
    <xf numFmtId="0" fontId="0" fillId="0" borderId="2" xfId="0" applyBorder="1"/>
    <xf numFmtId="3" fontId="4" fillId="6" borderId="2" xfId="120" applyNumberFormat="1" applyFont="1" applyFill="1" applyBorder="1" applyAlignment="1">
      <alignment horizontal="center"/>
    </xf>
    <xf numFmtId="3" fontId="4" fillId="6" borderId="2" xfId="120" applyNumberFormat="1" applyFont="1" applyFill="1" applyBorder="1" applyAlignment="1">
      <alignment horizontal="center" wrapText="1"/>
    </xf>
    <xf numFmtId="3" fontId="4" fillId="7" borderId="2" xfId="120" applyNumberFormat="1" applyFont="1" applyFill="1" applyBorder="1" applyAlignment="1">
      <alignment horizontal="center" wrapText="1"/>
    </xf>
    <xf numFmtId="3" fontId="0" fillId="0" borderId="2" xfId="0" applyNumberFormat="1" applyBorder="1"/>
    <xf numFmtId="9" fontId="0" fillId="0" borderId="2" xfId="8" applyFont="1" applyBorder="1"/>
    <xf numFmtId="3" fontId="4" fillId="7" borderId="2" xfId="120" applyNumberFormat="1" applyFont="1" applyFill="1" applyBorder="1" applyAlignment="1">
      <alignment horizontal="center"/>
    </xf>
    <xf numFmtId="3" fontId="0" fillId="0" borderId="0" xfId="0" applyNumberForma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3" fontId="0" fillId="0" borderId="0" xfId="0" applyNumberFormat="1" applyBorder="1"/>
    <xf numFmtId="0" fontId="0" fillId="0" borderId="0" xfId="0" applyBorder="1"/>
    <xf numFmtId="0" fontId="0" fillId="0" borderId="7" xfId="0" applyBorder="1"/>
    <xf numFmtId="0" fontId="0" fillId="0" borderId="6" xfId="0" applyBorder="1" applyAlignment="1">
      <alignment horizontal="left"/>
    </xf>
    <xf numFmtId="3" fontId="0" fillId="0" borderId="7" xfId="0" applyNumberFormat="1" applyBorder="1"/>
    <xf numFmtId="0" fontId="0" fillId="0" borderId="8" xfId="0" applyBorder="1" applyAlignment="1">
      <alignment horizontal="left"/>
    </xf>
    <xf numFmtId="3" fontId="0" fillId="0" borderId="9" xfId="0" applyNumberFormat="1" applyBorder="1"/>
    <xf numFmtId="3" fontId="0" fillId="0" borderId="10" xfId="0" applyNumberFormat="1" applyBorder="1"/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0" fontId="0" fillId="0" borderId="0" xfId="0" applyNumberFormat="1"/>
    <xf numFmtId="0" fontId="0" fillId="0" borderId="0" xfId="0" applyAlignment="1">
      <alignment horizontal="left"/>
    </xf>
    <xf numFmtId="3" fontId="0" fillId="8" borderId="0" xfId="0" applyNumberFormat="1" applyFill="1"/>
    <xf numFmtId="0" fontId="2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2" fillId="0" borderId="1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17" xfId="0" applyFont="1" applyFill="1" applyBorder="1" applyAlignment="1">
      <alignment wrapText="1"/>
    </xf>
    <xf numFmtId="3" fontId="2" fillId="0" borderId="18" xfId="0" applyNumberFormat="1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wrapText="1"/>
    </xf>
    <xf numFmtId="168" fontId="0" fillId="0" borderId="27" xfId="0" applyNumberForma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17" xfId="0" applyFont="1" applyFill="1" applyBorder="1" applyAlignment="1">
      <alignment horizontal="center" wrapText="1"/>
    </xf>
    <xf numFmtId="168" fontId="0" fillId="0" borderId="30" xfId="0" applyNumberFormat="1" applyBorder="1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10" fillId="0" borderId="0" xfId="0" applyFont="1" applyFill="1" applyAlignment="1">
      <alignment wrapText="1"/>
    </xf>
    <xf numFmtId="0" fontId="10" fillId="9" borderId="0" xfId="0" applyFont="1" applyFill="1" applyAlignment="1">
      <alignment wrapText="1"/>
    </xf>
    <xf numFmtId="0" fontId="11" fillId="0" borderId="0" xfId="0" applyFont="1" applyFill="1" applyAlignment="1">
      <alignment vertical="center" wrapText="1"/>
    </xf>
    <xf numFmtId="0" fontId="9" fillId="0" borderId="0" xfId="0" applyFont="1" applyFill="1" applyBorder="1" applyAlignment="1">
      <alignment wrapText="1"/>
    </xf>
    <xf numFmtId="0" fontId="9" fillId="4" borderId="0" xfId="0" applyFont="1" applyFill="1" applyBorder="1" applyAlignment="1">
      <alignment wrapText="1"/>
    </xf>
    <xf numFmtId="0" fontId="10" fillId="4" borderId="0" xfId="0" applyFont="1" applyFill="1" applyBorder="1" applyAlignment="1">
      <alignment wrapText="1"/>
    </xf>
    <xf numFmtId="0" fontId="9" fillId="0" borderId="0" xfId="0" applyFont="1" applyFill="1" applyAlignment="1">
      <alignment vertical="center" wrapText="1"/>
    </xf>
    <xf numFmtId="0" fontId="10" fillId="0" borderId="0" xfId="0" applyFont="1" applyFill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wrapText="1"/>
      <protection locked="0"/>
    </xf>
    <xf numFmtId="0" fontId="12" fillId="0" borderId="0" xfId="0" applyFont="1"/>
    <xf numFmtId="0" fontId="10" fillId="0" borderId="0" xfId="0" applyFont="1" applyFill="1" applyBorder="1" applyAlignment="1" applyProtection="1">
      <alignment wrapText="1"/>
      <protection locked="0"/>
    </xf>
    <xf numFmtId="0" fontId="9" fillId="4" borderId="0" xfId="0" applyFont="1" applyFill="1" applyBorder="1" applyAlignment="1" applyProtection="1">
      <alignment wrapText="1"/>
      <protection locked="0"/>
    </xf>
    <xf numFmtId="0" fontId="9" fillId="0" borderId="0" xfId="0" applyFont="1" applyFill="1" applyAlignment="1" applyProtection="1">
      <alignment wrapText="1"/>
      <protection locked="0"/>
    </xf>
    <xf numFmtId="0" fontId="11" fillId="0" borderId="0" xfId="0" applyFont="1" applyFill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13" fillId="0" borderId="0" xfId="0" applyFont="1" applyAlignment="1">
      <alignment horizontal="left" wrapText="1"/>
    </xf>
    <xf numFmtId="3" fontId="13" fillId="0" borderId="0" xfId="5" applyNumberFormat="1" applyFont="1" applyAlignment="1">
      <alignment horizontal="center" vertical="top" wrapText="1"/>
    </xf>
    <xf numFmtId="3" fontId="14" fillId="0" borderId="0" xfId="0" applyNumberFormat="1" applyFont="1" applyFill="1" applyAlignment="1">
      <alignment horizontal="center" vertical="center" wrapText="1"/>
    </xf>
    <xf numFmtId="3" fontId="14" fillId="0" borderId="0" xfId="0" applyNumberFormat="1" applyFont="1" applyFill="1" applyAlignment="1">
      <alignment horizontal="center" wrapText="1"/>
    </xf>
    <xf numFmtId="0" fontId="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3" fontId="8" fillId="4" borderId="0" xfId="0" applyNumberFormat="1" applyFont="1" applyFill="1" applyBorder="1" applyAlignment="1">
      <alignment horizontal="center" vertical="center" wrapText="1"/>
    </xf>
    <xf numFmtId="3" fontId="9" fillId="4" borderId="0" xfId="0" applyNumberFormat="1" applyFont="1" applyFill="1" applyBorder="1" applyAlignment="1">
      <alignment wrapText="1"/>
    </xf>
    <xf numFmtId="0" fontId="9" fillId="4" borderId="0" xfId="0" applyFont="1" applyFill="1" applyBorder="1" applyAlignment="1">
      <alignment horizontal="center" wrapText="1"/>
    </xf>
    <xf numFmtId="0" fontId="9" fillId="0" borderId="0" xfId="97" applyFont="1" applyFill="1" applyBorder="1" applyAlignment="1">
      <alignment horizontal="center" vertical="center" wrapText="1"/>
    </xf>
    <xf numFmtId="0" fontId="9" fillId="4" borderId="0" xfId="97" applyFont="1" applyFill="1" applyBorder="1" applyAlignment="1">
      <alignment horizontal="left" vertical="center" wrapText="1"/>
    </xf>
    <xf numFmtId="0" fontId="15" fillId="4" borderId="0" xfId="97" applyFont="1" applyFill="1" applyBorder="1" applyAlignment="1">
      <alignment horizontal="left" vertical="center" wrapText="1"/>
    </xf>
    <xf numFmtId="0" fontId="16" fillId="10" borderId="31" xfId="0" applyFont="1" applyFill="1" applyBorder="1" applyAlignment="1"/>
    <xf numFmtId="3" fontId="15" fillId="4" borderId="0" xfId="97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wrapText="1"/>
    </xf>
    <xf numFmtId="0" fontId="9" fillId="0" borderId="9" xfId="0" applyFont="1" applyFill="1" applyBorder="1" applyAlignment="1">
      <alignment horizontal="center" wrapText="1"/>
    </xf>
    <xf numFmtId="0" fontId="9" fillId="0" borderId="9" xfId="97" applyFont="1" applyFill="1" applyBorder="1" applyAlignment="1">
      <alignment horizontal="center" vertical="center" wrapText="1"/>
    </xf>
    <xf numFmtId="0" fontId="9" fillId="0" borderId="9" xfId="97" applyFont="1" applyFill="1" applyBorder="1" applyAlignment="1">
      <alignment horizontal="left" vertical="center" wrapText="1"/>
    </xf>
    <xf numFmtId="0" fontId="17" fillId="11" borderId="31" xfId="0" applyFont="1" applyFill="1" applyBorder="1" applyAlignment="1">
      <alignment vertical="center"/>
    </xf>
    <xf numFmtId="3" fontId="15" fillId="0" borderId="9" xfId="97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wrapText="1"/>
    </xf>
    <xf numFmtId="0" fontId="10" fillId="0" borderId="2" xfId="0" applyFont="1" applyFill="1" applyBorder="1" applyAlignment="1">
      <alignment horizontal="center" wrapText="1"/>
    </xf>
    <xf numFmtId="0" fontId="10" fillId="0" borderId="2" xfId="97" applyFont="1" applyFill="1" applyBorder="1" applyAlignment="1">
      <alignment horizontal="center" vertical="center" wrapText="1"/>
    </xf>
    <xf numFmtId="0" fontId="10" fillId="0" borderId="2" xfId="97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vertical="center"/>
    </xf>
    <xf numFmtId="3" fontId="10" fillId="0" borderId="2" xfId="1" applyNumberFormat="1" applyFont="1" applyFill="1" applyBorder="1" applyAlignment="1">
      <alignment horizontal="center" vertical="top" wrapText="1"/>
    </xf>
    <xf numFmtId="3" fontId="11" fillId="4" borderId="0" xfId="0" applyNumberFormat="1" applyFont="1" applyFill="1" applyBorder="1" applyAlignment="1">
      <alignment vertical="center" wrapText="1"/>
    </xf>
    <xf numFmtId="0" fontId="11" fillId="0" borderId="0" xfId="97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vertical="center"/>
    </xf>
    <xf numFmtId="3" fontId="18" fillId="11" borderId="1" xfId="9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wrapText="1"/>
    </xf>
    <xf numFmtId="0" fontId="9" fillId="0" borderId="0" xfId="0" applyFont="1" applyFill="1" applyBorder="1" applyAlignment="1">
      <alignment horizontal="center" wrapText="1"/>
    </xf>
    <xf numFmtId="0" fontId="9" fillId="0" borderId="0" xfId="97" applyFont="1" applyFill="1" applyBorder="1" applyAlignment="1">
      <alignment horizontal="left" vertical="center" wrapText="1"/>
    </xf>
    <xf numFmtId="0" fontId="15" fillId="0" borderId="0" xfId="97" applyFont="1" applyFill="1" applyBorder="1" applyAlignment="1">
      <alignment horizontal="left" vertical="center" wrapText="1"/>
    </xf>
    <xf numFmtId="0" fontId="19" fillId="0" borderId="0" xfId="0" applyFont="1" applyFill="1" applyBorder="1"/>
    <xf numFmtId="3" fontId="15" fillId="0" borderId="0" xfId="97" applyNumberFormat="1" applyFont="1" applyFill="1" applyBorder="1" applyAlignment="1">
      <alignment horizontal="center" vertical="center" wrapText="1"/>
    </xf>
    <xf numFmtId="0" fontId="16" fillId="12" borderId="2" xfId="0" applyFont="1" applyFill="1" applyBorder="1" applyAlignment="1">
      <alignment vertical="center"/>
    </xf>
    <xf numFmtId="3" fontId="16" fillId="12" borderId="2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 applyProtection="1">
      <alignment vertical="center" wrapText="1"/>
      <protection locked="0"/>
    </xf>
    <xf numFmtId="0" fontId="10" fillId="0" borderId="2" xfId="97" applyNumberFormat="1" applyFont="1" applyFill="1" applyBorder="1" applyAlignment="1">
      <alignment horizontal="center" vertical="center" wrapText="1"/>
    </xf>
    <xf numFmtId="0" fontId="10" fillId="4" borderId="2" xfId="97" applyFont="1" applyFill="1" applyBorder="1" applyAlignment="1">
      <alignment horizontal="left" vertical="center" wrapText="1"/>
    </xf>
    <xf numFmtId="0" fontId="10" fillId="0" borderId="2" xfId="97" applyFont="1" applyFill="1" applyBorder="1" applyAlignment="1">
      <alignment horizontal="left" vertical="center"/>
    </xf>
    <xf numFmtId="0" fontId="10" fillId="4" borderId="2" xfId="0" applyFont="1" applyFill="1" applyBorder="1" applyAlignment="1" applyProtection="1">
      <alignment vertical="center"/>
      <protection locked="0"/>
    </xf>
    <xf numFmtId="3" fontId="10" fillId="4" borderId="2" xfId="97" applyNumberFormat="1" applyFont="1" applyFill="1" applyBorder="1" applyAlignment="1">
      <alignment horizontal="center" vertical="center" wrapText="1"/>
    </xf>
    <xf numFmtId="3" fontId="11" fillId="0" borderId="4" xfId="0" applyNumberFormat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center" wrapText="1"/>
    </xf>
    <xf numFmtId="0" fontId="11" fillId="0" borderId="4" xfId="97" applyFont="1" applyFill="1" applyBorder="1" applyAlignment="1">
      <alignment horizontal="center" vertical="center" wrapText="1"/>
    </xf>
    <xf numFmtId="0" fontId="9" fillId="0" borderId="4" xfId="97" applyFont="1" applyFill="1" applyBorder="1" applyAlignment="1">
      <alignment horizontal="left" vertical="center" wrapText="1"/>
    </xf>
    <xf numFmtId="3" fontId="18" fillId="11" borderId="2" xfId="97" applyNumberFormat="1" applyFont="1" applyFill="1" applyBorder="1" applyAlignment="1">
      <alignment horizontal="center" vertical="center" wrapText="1"/>
    </xf>
    <xf numFmtId="0" fontId="15" fillId="4" borderId="0" xfId="0" applyFont="1" applyFill="1" applyBorder="1" applyAlignment="1" applyProtection="1">
      <alignment vertical="center" wrapText="1"/>
      <protection locked="0"/>
    </xf>
    <xf numFmtId="3" fontId="9" fillId="0" borderId="0" xfId="5" applyNumberFormat="1" applyFont="1" applyFill="1" applyBorder="1" applyAlignment="1">
      <alignment horizontal="center" vertical="center" wrapText="1"/>
    </xf>
    <xf numFmtId="3" fontId="10" fillId="0" borderId="2" xfId="5" applyNumberFormat="1" applyFont="1" applyFill="1" applyBorder="1" applyAlignment="1" applyProtection="1">
      <alignment horizontal="center" vertical="center" wrapText="1"/>
      <protection locked="0"/>
    </xf>
    <xf numFmtId="0" fontId="15" fillId="4" borderId="0" xfId="0" applyFont="1" applyFill="1" applyBorder="1" applyAlignment="1">
      <alignment horizontal="center" wrapText="1"/>
    </xf>
    <xf numFmtId="0" fontId="18" fillId="4" borderId="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wrapText="1"/>
    </xf>
    <xf numFmtId="0" fontId="15" fillId="4" borderId="9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wrapText="1"/>
    </xf>
    <xf numFmtId="0" fontId="10" fillId="0" borderId="1" xfId="97" applyFont="1" applyFill="1" applyBorder="1" applyAlignment="1">
      <alignment horizontal="left" vertical="center"/>
    </xf>
    <xf numFmtId="3" fontId="10" fillId="4" borderId="0" xfId="0" applyNumberFormat="1" applyFont="1" applyFill="1" applyBorder="1" applyAlignment="1">
      <alignment wrapText="1"/>
    </xf>
    <xf numFmtId="0" fontId="10" fillId="4" borderId="0" xfId="0" applyFont="1" applyFill="1" applyBorder="1" applyAlignment="1">
      <alignment horizontal="center" wrapText="1"/>
    </xf>
    <xf numFmtId="0" fontId="10" fillId="0" borderId="0" xfId="97" applyFont="1" applyFill="1" applyBorder="1" applyAlignment="1">
      <alignment horizontal="center" vertical="center" wrapText="1"/>
    </xf>
    <xf numFmtId="0" fontId="10" fillId="4" borderId="0" xfId="97" applyFont="1" applyFill="1" applyBorder="1" applyAlignment="1">
      <alignment horizontal="left" vertical="center" wrapText="1"/>
    </xf>
    <xf numFmtId="0" fontId="20" fillId="4" borderId="0" xfId="97" applyFont="1" applyFill="1" applyBorder="1" applyAlignment="1">
      <alignment horizontal="left" vertical="center" wrapText="1"/>
    </xf>
    <xf numFmtId="0" fontId="20" fillId="13" borderId="2" xfId="0" applyFont="1" applyFill="1" applyBorder="1" applyAlignment="1" applyProtection="1">
      <alignment vertical="center" wrapText="1"/>
      <protection locked="0"/>
    </xf>
    <xf numFmtId="3" fontId="20" fillId="13" borderId="2" xfId="97" applyNumberFormat="1" applyFont="1" applyFill="1" applyBorder="1" applyAlignment="1">
      <alignment horizontal="center" vertical="center" wrapText="1"/>
    </xf>
    <xf numFmtId="3" fontId="9" fillId="4" borderId="0" xfId="0" applyNumberFormat="1" applyFont="1" applyFill="1" applyBorder="1" applyAlignment="1">
      <alignment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/>
    </xf>
    <xf numFmtId="0" fontId="12" fillId="0" borderId="2" xfId="0" applyFont="1" applyBorder="1"/>
    <xf numFmtId="0" fontId="12" fillId="0" borderId="2" xfId="0" applyFont="1" applyBorder="1" applyAlignment="1"/>
    <xf numFmtId="3" fontId="12" fillId="0" borderId="2" xfId="0" applyNumberFormat="1" applyFont="1" applyBorder="1" applyAlignment="1">
      <alignment horizontal="center"/>
    </xf>
    <xf numFmtId="1" fontId="12" fillId="0" borderId="26" xfId="0" applyNumberFormat="1" applyFont="1" applyFill="1" applyBorder="1" applyAlignment="1">
      <alignment horizontal="center"/>
    </xf>
    <xf numFmtId="168" fontId="12" fillId="0" borderId="26" xfId="0" applyNumberFormat="1" applyFont="1" applyBorder="1" applyAlignment="1"/>
    <xf numFmtId="0" fontId="10" fillId="0" borderId="2" xfId="0" applyFont="1" applyFill="1" applyBorder="1" applyAlignment="1" applyProtection="1">
      <alignment vertical="center"/>
      <protection locked="0"/>
    </xf>
    <xf numFmtId="3" fontId="10" fillId="0" borderId="2" xfId="97" applyNumberFormat="1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wrapText="1"/>
    </xf>
    <xf numFmtId="3" fontId="21" fillId="14" borderId="0" xfId="0" applyNumberFormat="1" applyFont="1" applyFill="1" applyAlignment="1">
      <alignment wrapText="1"/>
    </xf>
    <xf numFmtId="170" fontId="21" fillId="14" borderId="0" xfId="8" applyNumberFormat="1" applyFont="1" applyFill="1" applyAlignment="1">
      <alignment wrapText="1"/>
    </xf>
    <xf numFmtId="0" fontId="15" fillId="4" borderId="9" xfId="0" applyFont="1" applyFill="1" applyBorder="1" applyAlignment="1">
      <alignment horizontal="center" vertical="center" wrapText="1"/>
    </xf>
    <xf numFmtId="0" fontId="16" fillId="10" borderId="32" xfId="0" applyFont="1" applyFill="1" applyBorder="1" applyAlignment="1"/>
    <xf numFmtId="0" fontId="10" fillId="0" borderId="2" xfId="97" applyFont="1" applyFill="1" applyBorder="1" applyAlignment="1" applyProtection="1">
      <alignment horizontal="left" vertical="center"/>
      <protection locked="0"/>
    </xf>
    <xf numFmtId="3" fontId="10" fillId="0" borderId="2" xfId="1" applyNumberFormat="1" applyFont="1" applyFill="1" applyBorder="1" applyAlignment="1" applyProtection="1">
      <alignment horizontal="center" vertical="top" wrapText="1"/>
      <protection locked="0"/>
    </xf>
    <xf numFmtId="1" fontId="12" fillId="0" borderId="33" xfId="0" applyNumberFormat="1" applyFont="1" applyFill="1" applyBorder="1" applyAlignment="1">
      <alignment horizontal="center"/>
    </xf>
    <xf numFmtId="0" fontId="10" fillId="0" borderId="1" xfId="97" applyFont="1" applyFill="1" applyBorder="1" applyAlignment="1">
      <alignment horizontal="left" vertical="center" wrapText="1"/>
    </xf>
    <xf numFmtId="168" fontId="12" fillId="0" borderId="34" xfId="0" applyNumberFormat="1" applyFont="1" applyBorder="1" applyAlignment="1"/>
    <xf numFmtId="3" fontId="10" fillId="0" borderId="1" xfId="1" applyNumberFormat="1" applyFont="1" applyFill="1" applyBorder="1" applyAlignment="1" applyProtection="1">
      <alignment horizontal="center" vertical="top" wrapText="1"/>
      <protection locked="0"/>
    </xf>
    <xf numFmtId="0" fontId="9" fillId="4" borderId="0" xfId="97" applyFont="1" applyFill="1" applyBorder="1" applyAlignment="1" applyProtection="1">
      <alignment horizontal="left" vertical="center" wrapText="1"/>
      <protection locked="0"/>
    </xf>
    <xf numFmtId="0" fontId="15" fillId="4" borderId="0" xfId="97" applyFont="1" applyFill="1" applyBorder="1" applyAlignment="1" applyProtection="1">
      <alignment horizontal="left" vertical="center" wrapText="1"/>
      <protection locked="0"/>
    </xf>
    <xf numFmtId="0" fontId="10" fillId="0" borderId="2" xfId="97" applyFont="1" applyFill="1" applyBorder="1" applyAlignment="1" applyProtection="1">
      <alignment horizontal="left" vertical="center" wrapText="1"/>
      <protection locked="0"/>
    </xf>
    <xf numFmtId="0" fontId="10" fillId="0" borderId="2" xfId="0" applyFont="1" applyFill="1" applyBorder="1" applyAlignment="1" applyProtection="1">
      <alignment horizontal="left" vertical="center"/>
      <protection locked="0"/>
    </xf>
    <xf numFmtId="0" fontId="9" fillId="0" borderId="0" xfId="97" applyFont="1" applyFill="1" applyBorder="1" applyAlignment="1" applyProtection="1">
      <alignment horizontal="left" vertical="center" wrapText="1"/>
      <protection locked="0"/>
    </xf>
    <xf numFmtId="0" fontId="15" fillId="0" borderId="0" xfId="97" applyFont="1" applyFill="1" applyBorder="1" applyAlignment="1" applyProtection="1">
      <alignment horizontal="left" vertical="center" wrapText="1"/>
      <protection locked="0"/>
    </xf>
    <xf numFmtId="0" fontId="12" fillId="0" borderId="2" xfId="0" applyFont="1" applyFill="1" applyBorder="1"/>
    <xf numFmtId="0" fontId="10" fillId="4" borderId="2" xfId="0" applyFont="1" applyFill="1" applyBorder="1" applyAlignment="1" applyProtection="1">
      <alignment vertical="center" wrapText="1"/>
      <protection locked="0"/>
    </xf>
    <xf numFmtId="3" fontId="9" fillId="0" borderId="0" xfId="5" applyNumberFormat="1" applyFont="1" applyFill="1" applyBorder="1" applyAlignment="1" applyProtection="1">
      <alignment horizontal="center" vertical="center" wrapText="1"/>
      <protection locked="0"/>
    </xf>
    <xf numFmtId="0" fontId="10" fillId="0" borderId="2" xfId="0" applyFont="1" applyFill="1" applyBorder="1" applyAlignment="1">
      <alignment horizontal="center" vertical="center" wrapText="1"/>
    </xf>
    <xf numFmtId="168" fontId="12" fillId="0" borderId="0" xfId="0" applyNumberFormat="1" applyFont="1" applyBorder="1"/>
    <xf numFmtId="168" fontId="12" fillId="0" borderId="35" xfId="0" applyNumberFormat="1" applyFont="1" applyBorder="1" applyAlignment="1"/>
    <xf numFmtId="3" fontId="10" fillId="0" borderId="1" xfId="1" applyNumberFormat="1" applyFont="1" applyFill="1" applyBorder="1" applyAlignment="1">
      <alignment horizontal="center" vertical="top" wrapText="1"/>
    </xf>
    <xf numFmtId="0" fontId="11" fillId="0" borderId="31" xfId="0" applyFont="1" applyFill="1" applyBorder="1" applyAlignment="1">
      <alignment horizontal="center" vertical="center" wrapText="1"/>
    </xf>
    <xf numFmtId="3" fontId="15" fillId="4" borderId="0" xfId="0" applyNumberFormat="1" applyFont="1" applyFill="1" applyBorder="1" applyAlignment="1">
      <alignment horizontal="center" wrapText="1"/>
    </xf>
    <xf numFmtId="3" fontId="10" fillId="8" borderId="2" xfId="0" applyNumberFormat="1" applyFont="1" applyFill="1" applyBorder="1" applyAlignment="1">
      <alignment wrapText="1"/>
    </xf>
    <xf numFmtId="0" fontId="10" fillId="8" borderId="2" xfId="0" applyFont="1" applyFill="1" applyBorder="1" applyAlignment="1">
      <alignment horizontal="center" wrapText="1"/>
    </xf>
    <xf numFmtId="0" fontId="10" fillId="8" borderId="2" xfId="97" applyFont="1" applyFill="1" applyBorder="1" applyAlignment="1">
      <alignment horizontal="center" vertical="center" wrapText="1"/>
    </xf>
    <xf numFmtId="0" fontId="10" fillId="8" borderId="2" xfId="97" applyFont="1" applyFill="1" applyBorder="1" applyAlignment="1">
      <alignment horizontal="left" vertical="center" wrapText="1"/>
    </xf>
    <xf numFmtId="0" fontId="10" fillId="8" borderId="2" xfId="0" applyFont="1" applyFill="1" applyBorder="1" applyAlignment="1">
      <alignment horizontal="left" vertical="center"/>
    </xf>
    <xf numFmtId="3" fontId="10" fillId="8" borderId="2" xfId="1" applyNumberFormat="1" applyFont="1" applyFill="1" applyBorder="1" applyAlignment="1">
      <alignment horizontal="center" vertical="top" wrapText="1"/>
    </xf>
    <xf numFmtId="0" fontId="12" fillId="8" borderId="2" xfId="0" applyFont="1" applyFill="1" applyBorder="1" applyAlignment="1">
      <alignment horizontal="center"/>
    </xf>
    <xf numFmtId="0" fontId="12" fillId="8" borderId="2" xfId="0" applyFont="1" applyFill="1" applyBorder="1"/>
    <xf numFmtId="0" fontId="12" fillId="8" borderId="2" xfId="0" applyFont="1" applyFill="1" applyBorder="1" applyAlignment="1"/>
    <xf numFmtId="3" fontId="12" fillId="8" borderId="2" xfId="0" applyNumberFormat="1" applyFont="1" applyFill="1" applyBorder="1" applyAlignment="1">
      <alignment horizontal="center"/>
    </xf>
    <xf numFmtId="1" fontId="12" fillId="0" borderId="26" xfId="0" applyNumberFormat="1" applyFont="1" applyFill="1" applyBorder="1"/>
    <xf numFmtId="0" fontId="10" fillId="8" borderId="2" xfId="97" applyNumberFormat="1" applyFont="1" applyFill="1" applyBorder="1" applyAlignment="1">
      <alignment horizontal="center" vertical="center" wrapText="1"/>
    </xf>
    <xf numFmtId="3" fontId="10" fillId="8" borderId="2" xfId="5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Border="1" applyAlignment="1">
      <alignment horizontal="center"/>
    </xf>
    <xf numFmtId="0" fontId="9" fillId="0" borderId="0" xfId="0" applyFont="1" applyFill="1" applyBorder="1" applyAlignment="1">
      <alignment vertical="center" wrapText="1"/>
    </xf>
    <xf numFmtId="3" fontId="9" fillId="0" borderId="0" xfId="1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wrapText="1"/>
    </xf>
    <xf numFmtId="0" fontId="10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left" wrapText="1"/>
    </xf>
    <xf numFmtId="0" fontId="20" fillId="13" borderId="2" xfId="0" applyFont="1" applyFill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0" xfId="0" applyFont="1" applyFill="1" applyAlignment="1">
      <alignment wrapText="1"/>
    </xf>
    <xf numFmtId="3" fontId="13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3" fontId="10" fillId="0" borderId="0" xfId="0" applyNumberFormat="1" applyFont="1" applyAlignment="1">
      <alignment horizontal="center" wrapText="1"/>
    </xf>
    <xf numFmtId="0" fontId="12" fillId="0" borderId="0" xfId="0" applyFont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0" fillId="0" borderId="0" xfId="0" applyFill="1"/>
    <xf numFmtId="0" fontId="22" fillId="0" borderId="0" xfId="0" applyFont="1" applyAlignment="1">
      <alignment vertical="center"/>
    </xf>
    <xf numFmtId="0" fontId="12" fillId="0" borderId="0" xfId="0" applyFont="1" applyFill="1"/>
    <xf numFmtId="0" fontId="12" fillId="0" borderId="0" xfId="0" applyFont="1" applyAlignment="1">
      <alignment vertical="center"/>
    </xf>
    <xf numFmtId="0" fontId="22" fillId="0" borderId="0" xfId="0" applyFont="1" applyFill="1" applyAlignment="1">
      <alignment vertical="center"/>
    </xf>
    <xf numFmtId="0" fontId="22" fillId="4" borderId="0" xfId="0" applyFont="1" applyFill="1" applyBorder="1"/>
    <xf numFmtId="0" fontId="0" fillId="4" borderId="0" xfId="0" applyFill="1" applyBorder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 applyBorder="1" applyAlignment="1">
      <alignment horizontal="left"/>
    </xf>
    <xf numFmtId="3" fontId="0" fillId="0" borderId="0" xfId="0" applyNumberFormat="1" applyFill="1" applyAlignment="1">
      <alignment horizontal="center"/>
    </xf>
    <xf numFmtId="3" fontId="0" fillId="0" borderId="0" xfId="0" applyNumberFormat="1" applyFill="1" applyBorder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Fill="1" applyAlignment="1">
      <alignment horizontal="center" wrapText="1"/>
    </xf>
    <xf numFmtId="0" fontId="0" fillId="0" borderId="0" xfId="0" applyAlignment="1">
      <alignment horizontal="left" wrapText="1"/>
    </xf>
    <xf numFmtId="0" fontId="8" fillId="2" borderId="31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top" wrapText="1"/>
    </xf>
    <xf numFmtId="0" fontId="24" fillId="2" borderId="1" xfId="0" applyFont="1" applyFill="1" applyBorder="1" applyAlignment="1">
      <alignment horizontal="center" vertical="center" textRotation="255" wrapText="1"/>
    </xf>
    <xf numFmtId="0" fontId="8" fillId="2" borderId="1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textRotation="255" wrapText="1"/>
    </xf>
    <xf numFmtId="0" fontId="8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left"/>
    </xf>
    <xf numFmtId="0" fontId="12" fillId="8" borderId="2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23" fillId="2" borderId="31" xfId="0" applyFont="1" applyFill="1" applyBorder="1" applyAlignment="1">
      <alignment horizontal="center" vertical="center"/>
    </xf>
    <xf numFmtId="0" fontId="27" fillId="10" borderId="0" xfId="0" applyFont="1" applyFill="1" applyBorder="1"/>
    <xf numFmtId="0" fontId="27" fillId="0" borderId="0" xfId="0" applyFont="1" applyFill="1" applyBorder="1"/>
    <xf numFmtId="0" fontId="12" fillId="0" borderId="36" xfId="0" applyFont="1" applyFill="1" applyBorder="1" applyAlignment="1">
      <alignment horizontal="center"/>
    </xf>
    <xf numFmtId="0" fontId="28" fillId="0" borderId="0" xfId="0" applyFont="1"/>
    <xf numFmtId="0" fontId="12" fillId="8" borderId="36" xfId="0" applyFont="1" applyFill="1" applyBorder="1" applyAlignment="1">
      <alignment horizontal="center"/>
    </xf>
    <xf numFmtId="0" fontId="22" fillId="0" borderId="0" xfId="0" applyFont="1" applyFill="1" applyBorder="1" applyAlignment="1">
      <alignment vertical="center"/>
    </xf>
    <xf numFmtId="0" fontId="17" fillId="11" borderId="1" xfId="0" applyFont="1" applyFill="1" applyBorder="1" applyAlignment="1">
      <alignment vertical="center"/>
    </xf>
    <xf numFmtId="0" fontId="26" fillId="0" borderId="0" xfId="0" applyFont="1" applyFill="1" applyBorder="1"/>
    <xf numFmtId="0" fontId="29" fillId="0" borderId="2" xfId="0" applyFont="1" applyFill="1" applyBorder="1"/>
    <xf numFmtId="0" fontId="12" fillId="0" borderId="0" xfId="0" applyFont="1" applyFill="1" applyBorder="1" applyAlignment="1">
      <alignment vertical="center"/>
    </xf>
    <xf numFmtId="0" fontId="27" fillId="10" borderId="9" xfId="0" applyFont="1" applyFill="1" applyBorder="1"/>
    <xf numFmtId="3" fontId="0" fillId="0" borderId="32" xfId="0" applyNumberFormat="1" applyFill="1" applyBorder="1" applyAlignment="1">
      <alignment horizontal="left"/>
    </xf>
    <xf numFmtId="3" fontId="8" fillId="2" borderId="31" xfId="0" applyNumberFormat="1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top"/>
    </xf>
    <xf numFmtId="3" fontId="8" fillId="0" borderId="0" xfId="0" applyNumberFormat="1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 applyAlignment="1">
      <alignment horizontal="left" vertical="center"/>
    </xf>
    <xf numFmtId="3" fontId="24" fillId="0" borderId="0" xfId="0" applyNumberFormat="1" applyFont="1" applyFill="1" applyBorder="1" applyAlignment="1">
      <alignment horizontal="center" vertical="center"/>
    </xf>
    <xf numFmtId="3" fontId="12" fillId="0" borderId="2" xfId="0" applyNumberFormat="1" applyFont="1" applyFill="1" applyBorder="1" applyAlignment="1">
      <alignment horizontal="left"/>
    </xf>
    <xf numFmtId="3" fontId="12" fillId="0" borderId="32" xfId="0" applyNumberFormat="1" applyFont="1" applyFill="1" applyBorder="1" applyAlignment="1">
      <alignment horizontal="left"/>
    </xf>
    <xf numFmtId="3" fontId="12" fillId="0" borderId="2" xfId="0" applyNumberFormat="1" applyFont="1" applyFill="1" applyBorder="1" applyAlignment="1">
      <alignment horizontal="center"/>
    </xf>
    <xf numFmtId="3" fontId="12" fillId="8" borderId="2" xfId="0" applyNumberFormat="1" applyFont="1" applyFill="1" applyBorder="1" applyAlignment="1">
      <alignment horizontal="left"/>
    </xf>
    <xf numFmtId="3" fontId="12" fillId="8" borderId="32" xfId="0" applyNumberFormat="1" applyFont="1" applyFill="1" applyBorder="1" applyAlignment="1">
      <alignment horizontal="left"/>
    </xf>
    <xf numFmtId="3" fontId="7" fillId="0" borderId="3" xfId="0" applyNumberFormat="1" applyFont="1" applyFill="1" applyBorder="1" applyAlignment="1">
      <alignment horizontal="left"/>
    </xf>
    <xf numFmtId="3" fontId="7" fillId="0" borderId="0" xfId="0" applyNumberFormat="1" applyFont="1" applyFill="1" applyBorder="1" applyAlignment="1">
      <alignment horizontal="left"/>
    </xf>
    <xf numFmtId="3" fontId="7" fillId="0" borderId="4" xfId="0" applyNumberFormat="1" applyFont="1" applyFill="1" applyBorder="1" applyAlignment="1">
      <alignment horizontal="left"/>
    </xf>
    <xf numFmtId="3" fontId="7" fillId="0" borderId="7" xfId="0" applyNumberFormat="1" applyFont="1" applyFill="1" applyBorder="1" applyAlignment="1">
      <alignment horizontal="left"/>
    </xf>
    <xf numFmtId="3" fontId="17" fillId="11" borderId="1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left"/>
    </xf>
    <xf numFmtId="3" fontId="26" fillId="0" borderId="0" xfId="0" applyNumberFormat="1" applyFont="1" applyFill="1" applyBorder="1" applyAlignment="1">
      <alignment horizontal="center"/>
    </xf>
    <xf numFmtId="3" fontId="22" fillId="0" borderId="0" xfId="0" applyNumberFormat="1" applyFont="1" applyFill="1" applyBorder="1" applyAlignment="1">
      <alignment horizontal="center" vertical="center"/>
    </xf>
    <xf numFmtId="3" fontId="17" fillId="11" borderId="1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center" vertical="center"/>
    </xf>
    <xf numFmtId="3" fontId="16" fillId="0" borderId="6" xfId="0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/>
    </xf>
    <xf numFmtId="3" fontId="16" fillId="0" borderId="7" xfId="0" applyNumberFormat="1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top" wrapText="1"/>
    </xf>
    <xf numFmtId="3" fontId="8" fillId="0" borderId="32" xfId="0" applyNumberFormat="1" applyFont="1" applyFill="1" applyBorder="1" applyAlignment="1">
      <alignment horizontal="center" vertical="top" wrapText="1"/>
    </xf>
    <xf numFmtId="3" fontId="8" fillId="0" borderId="0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3" fontId="12" fillId="0" borderId="32" xfId="0" applyNumberFormat="1" applyFont="1" applyFill="1" applyBorder="1" applyAlignment="1">
      <alignment horizontal="center" wrapText="1"/>
    </xf>
    <xf numFmtId="3" fontId="12" fillId="0" borderId="2" xfId="0" applyNumberFormat="1" applyFont="1" applyFill="1" applyBorder="1" applyAlignment="1">
      <alignment horizontal="center" wrapText="1"/>
    </xf>
    <xf numFmtId="3" fontId="12" fillId="8" borderId="32" xfId="0" applyNumberFormat="1" applyFont="1" applyFill="1" applyBorder="1" applyAlignment="1">
      <alignment horizontal="center" wrapText="1"/>
    </xf>
    <xf numFmtId="3" fontId="12" fillId="8" borderId="2" xfId="0" applyNumberFormat="1" applyFont="1" applyFill="1" applyBorder="1" applyAlignment="1">
      <alignment horizontal="center" wrapText="1"/>
    </xf>
    <xf numFmtId="3" fontId="17" fillId="0" borderId="32" xfId="0" applyNumberFormat="1" applyFont="1" applyFill="1" applyBorder="1" applyAlignment="1">
      <alignment horizontal="center" vertical="center"/>
    </xf>
    <xf numFmtId="3" fontId="26" fillId="0" borderId="0" xfId="0" applyNumberFormat="1" applyFont="1" applyFill="1" applyBorder="1" applyAlignment="1">
      <alignment horizontal="center" wrapText="1"/>
    </xf>
    <xf numFmtId="3" fontId="22" fillId="0" borderId="0" xfId="0" applyNumberFormat="1" applyFont="1" applyFill="1" applyBorder="1" applyAlignment="1">
      <alignment horizontal="center" vertical="center" wrapText="1"/>
    </xf>
    <xf numFmtId="3" fontId="17" fillId="0" borderId="7" xfId="0" applyNumberFormat="1" applyFont="1" applyFill="1" applyBorder="1" applyAlignment="1">
      <alignment horizontal="center" vertical="center"/>
    </xf>
    <xf numFmtId="3" fontId="16" fillId="0" borderId="32" xfId="0" applyNumberFormat="1" applyFont="1" applyFill="1" applyBorder="1" applyAlignment="1">
      <alignment horizontal="center" vertical="center"/>
    </xf>
    <xf numFmtId="3" fontId="26" fillId="0" borderId="4" xfId="0" applyNumberFormat="1" applyFont="1" applyFill="1" applyBorder="1" applyAlignment="1">
      <alignment horizontal="center" wrapText="1"/>
    </xf>
    <xf numFmtId="0" fontId="34" fillId="0" borderId="7" xfId="0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vertical="center" wrapText="1"/>
    </xf>
    <xf numFmtId="0" fontId="35" fillId="0" borderId="0" xfId="0" applyFont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19" fillId="0" borderId="0" xfId="0" applyFont="1"/>
    <xf numFmtId="0" fontId="19" fillId="0" borderId="0" xfId="0" applyFont="1" applyFill="1"/>
    <xf numFmtId="0" fontId="17" fillId="0" borderId="0" xfId="0" applyFont="1" applyAlignment="1">
      <alignment vertical="center"/>
    </xf>
    <xf numFmtId="0" fontId="12" fillId="0" borderId="2" xfId="0" applyFont="1" applyFill="1" applyBorder="1" applyAlignment="1">
      <alignment horizontal="left" wrapText="1"/>
    </xf>
    <xf numFmtId="0" fontId="12" fillId="8" borderId="2" xfId="0" applyFont="1" applyFill="1" applyBorder="1" applyAlignment="1">
      <alignment horizontal="left" wrapText="1"/>
    </xf>
    <xf numFmtId="0" fontId="2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left" wrapText="1"/>
    </xf>
    <xf numFmtId="0" fontId="26" fillId="0" borderId="0" xfId="0" applyFont="1" applyFill="1"/>
    <xf numFmtId="3" fontId="16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15" borderId="2" xfId="0" applyFont="1" applyFill="1" applyBorder="1" applyAlignment="1">
      <alignment horizontal="center"/>
    </xf>
    <xf numFmtId="0" fontId="12" fillId="15" borderId="2" xfId="0" applyFont="1" applyFill="1" applyBorder="1" applyAlignment="1">
      <alignment horizontal="left"/>
    </xf>
    <xf numFmtId="0" fontId="36" fillId="0" borderId="0" xfId="0" applyFont="1"/>
    <xf numFmtId="0" fontId="12" fillId="15" borderId="36" xfId="0" applyFont="1" applyFill="1" applyBorder="1" applyAlignment="1">
      <alignment horizontal="center"/>
    </xf>
    <xf numFmtId="0" fontId="12" fillId="15" borderId="2" xfId="0" applyFont="1" applyFill="1" applyBorder="1"/>
    <xf numFmtId="3" fontId="29" fillId="0" borderId="2" xfId="0" applyNumberFormat="1" applyFont="1" applyFill="1" applyBorder="1" applyAlignment="1">
      <alignment horizontal="center"/>
    </xf>
    <xf numFmtId="3" fontId="12" fillId="0" borderId="2" xfId="0" applyNumberFormat="1" applyFont="1" applyFill="1" applyBorder="1" applyAlignment="1">
      <alignment horizontal="right"/>
    </xf>
    <xf numFmtId="3" fontId="12" fillId="15" borderId="2" xfId="0" applyNumberFormat="1" applyFont="1" applyFill="1" applyBorder="1" applyAlignment="1">
      <alignment horizontal="left"/>
    </xf>
    <xf numFmtId="3" fontId="12" fillId="15" borderId="32" xfId="0" applyNumberFormat="1" applyFont="1" applyFill="1" applyBorder="1" applyAlignment="1">
      <alignment horizontal="left"/>
    </xf>
    <xf numFmtId="3" fontId="12" fillId="15" borderId="2" xfId="0" applyNumberFormat="1" applyFont="1" applyFill="1" applyBorder="1" applyAlignment="1">
      <alignment horizontal="center"/>
    </xf>
    <xf numFmtId="3" fontId="12" fillId="15" borderId="32" xfId="0" applyNumberFormat="1" applyFont="1" applyFill="1" applyBorder="1" applyAlignment="1">
      <alignment horizontal="center" wrapText="1"/>
    </xf>
    <xf numFmtId="3" fontId="12" fillId="15" borderId="2" xfId="0" applyNumberFormat="1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 vertical="center" wrapText="1"/>
    </xf>
    <xf numFmtId="16" fontId="12" fillId="0" borderId="0" xfId="0" applyNumberFormat="1" applyFont="1" applyFill="1"/>
    <xf numFmtId="0" fontId="12" fillId="15" borderId="2" xfId="0" applyFont="1" applyFill="1" applyBorder="1" applyAlignment="1">
      <alignment horizontal="left" wrapText="1"/>
    </xf>
    <xf numFmtId="0" fontId="12" fillId="4" borderId="2" xfId="0" applyFont="1" applyFill="1" applyBorder="1"/>
    <xf numFmtId="0" fontId="12" fillId="5" borderId="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left"/>
    </xf>
    <xf numFmtId="0" fontId="16" fillId="10" borderId="9" xfId="0" applyFont="1" applyFill="1" applyBorder="1"/>
    <xf numFmtId="0" fontId="37" fillId="0" borderId="0" xfId="0" applyFont="1" applyFill="1" applyBorder="1"/>
    <xf numFmtId="0" fontId="12" fillId="5" borderId="36" xfId="0" applyFont="1" applyFill="1" applyBorder="1" applyAlignment="1">
      <alignment horizontal="center"/>
    </xf>
    <xf numFmtId="0" fontId="12" fillId="5" borderId="2" xfId="0" applyFont="1" applyFill="1" applyBorder="1"/>
    <xf numFmtId="0" fontId="38" fillId="0" borderId="0" xfId="0" applyFont="1"/>
    <xf numFmtId="3" fontId="12" fillId="5" borderId="2" xfId="0" applyNumberFormat="1" applyFont="1" applyFill="1" applyBorder="1" applyAlignment="1">
      <alignment horizontal="left"/>
    </xf>
    <xf numFmtId="3" fontId="12" fillId="5" borderId="2" xfId="0" applyNumberFormat="1" applyFont="1" applyFill="1" applyBorder="1" applyAlignment="1">
      <alignment horizontal="center"/>
    </xf>
    <xf numFmtId="3" fontId="12" fillId="5" borderId="2" xfId="0" applyNumberFormat="1" applyFont="1" applyFill="1" applyBorder="1" applyAlignment="1">
      <alignment horizontal="center" wrapText="1"/>
    </xf>
    <xf numFmtId="0" fontId="12" fillId="5" borderId="2" xfId="0" applyFont="1" applyFill="1" applyBorder="1" applyAlignment="1">
      <alignment horizontal="left" wrapText="1"/>
    </xf>
    <xf numFmtId="0" fontId="22" fillId="4" borderId="4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/>
    </xf>
    <xf numFmtId="0" fontId="22" fillId="4" borderId="4" xfId="0" applyFont="1" applyFill="1" applyBorder="1"/>
    <xf numFmtId="0" fontId="22" fillId="4" borderId="4" xfId="0" applyFont="1" applyFill="1" applyBorder="1" applyAlignment="1">
      <alignment horizontal="left"/>
    </xf>
    <xf numFmtId="3" fontId="22" fillId="4" borderId="0" xfId="0" applyNumberFormat="1" applyFont="1" applyFill="1" applyBorder="1" applyAlignment="1">
      <alignment horizontal="center"/>
    </xf>
    <xf numFmtId="0" fontId="22" fillId="0" borderId="38" xfId="0" applyFont="1" applyFill="1" applyBorder="1" applyAlignment="1">
      <alignment horizontal="left"/>
    </xf>
    <xf numFmtId="0" fontId="22" fillId="0" borderId="38" xfId="0" applyFont="1" applyFill="1" applyBorder="1" applyAlignment="1">
      <alignment horizontal="right"/>
    </xf>
    <xf numFmtId="0" fontId="22" fillId="4" borderId="0" xfId="0" applyFont="1" applyFill="1" applyBorder="1" applyAlignment="1">
      <alignment horizontal="left"/>
    </xf>
    <xf numFmtId="0" fontId="22" fillId="0" borderId="39" xfId="0" applyFont="1" applyFill="1" applyBorder="1" applyAlignment="1">
      <alignment horizontal="left"/>
    </xf>
    <xf numFmtId="0" fontId="22" fillId="0" borderId="40" xfId="0" applyFont="1" applyFill="1" applyBorder="1" applyAlignment="1">
      <alignment horizontal="left"/>
    </xf>
    <xf numFmtId="0" fontId="22" fillId="0" borderId="40" xfId="0" applyFont="1" applyFill="1" applyBorder="1" applyAlignment="1">
      <alignment horizontal="right"/>
    </xf>
    <xf numFmtId="0" fontId="22" fillId="0" borderId="39" xfId="0" applyFont="1" applyFill="1" applyBorder="1" applyAlignment="1">
      <alignment horizontal="right"/>
    </xf>
    <xf numFmtId="0" fontId="26" fillId="4" borderId="0" xfId="0" applyFont="1" applyFill="1" applyBorder="1"/>
    <xf numFmtId="0" fontId="26" fillId="4" borderId="0" xfId="0" applyFont="1" applyFill="1" applyBorder="1" applyAlignment="1">
      <alignment horizontal="left"/>
    </xf>
    <xf numFmtId="3" fontId="26" fillId="4" borderId="0" xfId="0" applyNumberFormat="1" applyFont="1" applyFill="1" applyBorder="1" applyAlignment="1">
      <alignment horizontal="center"/>
    </xf>
    <xf numFmtId="0" fontId="12" fillId="0" borderId="9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3" fontId="22" fillId="0" borderId="0" xfId="0" applyNumberFormat="1" applyFont="1" applyFill="1" applyBorder="1" applyAlignment="1">
      <alignment horizontal="center"/>
    </xf>
    <xf numFmtId="3" fontId="22" fillId="0" borderId="38" xfId="0" applyNumberFormat="1" applyFont="1" applyFill="1" applyBorder="1" applyAlignment="1">
      <alignment horizontal="right"/>
    </xf>
    <xf numFmtId="3" fontId="22" fillId="0" borderId="38" xfId="0" applyNumberFormat="1" applyFont="1" applyFill="1" applyBorder="1" applyAlignment="1">
      <alignment horizontal="center"/>
    </xf>
    <xf numFmtId="3" fontId="22" fillId="0" borderId="38" xfId="0" applyNumberFormat="1" applyFont="1" applyFill="1" applyBorder="1" applyAlignment="1">
      <alignment horizontal="center" wrapText="1"/>
    </xf>
    <xf numFmtId="3" fontId="22" fillId="4" borderId="0" xfId="0" applyNumberFormat="1" applyFont="1" applyFill="1" applyBorder="1" applyAlignment="1">
      <alignment horizontal="center" wrapText="1"/>
    </xf>
    <xf numFmtId="3" fontId="22" fillId="4" borderId="38" xfId="0" applyNumberFormat="1" applyFont="1" applyFill="1" applyBorder="1" applyAlignment="1">
      <alignment horizontal="center" wrapText="1"/>
    </xf>
    <xf numFmtId="3" fontId="22" fillId="0" borderId="40" xfId="0" applyNumberFormat="1" applyFont="1" applyFill="1" applyBorder="1" applyAlignment="1">
      <alignment horizontal="right"/>
    </xf>
    <xf numFmtId="3" fontId="22" fillId="0" borderId="40" xfId="0" applyNumberFormat="1" applyFont="1" applyFill="1" applyBorder="1" applyAlignment="1">
      <alignment horizontal="center"/>
    </xf>
    <xf numFmtId="3" fontId="22" fillId="0" borderId="40" xfId="0" applyNumberFormat="1" applyFont="1" applyFill="1" applyBorder="1" applyAlignment="1">
      <alignment horizontal="center" wrapText="1"/>
    </xf>
    <xf numFmtId="3" fontId="22" fillId="4" borderId="40" xfId="0" applyNumberFormat="1" applyFont="1" applyFill="1" applyBorder="1" applyAlignment="1">
      <alignment horizontal="center" wrapText="1"/>
    </xf>
    <xf numFmtId="3" fontId="22" fillId="0" borderId="39" xfId="0" applyNumberFormat="1" applyFont="1" applyFill="1" applyBorder="1" applyAlignment="1">
      <alignment horizontal="right"/>
    </xf>
    <xf numFmtId="3" fontId="22" fillId="0" borderId="39" xfId="0" applyNumberFormat="1" applyFont="1" applyFill="1" applyBorder="1" applyAlignment="1">
      <alignment horizontal="center"/>
    </xf>
    <xf numFmtId="3" fontId="22" fillId="0" borderId="39" xfId="0" applyNumberFormat="1" applyFont="1" applyFill="1" applyBorder="1" applyAlignment="1">
      <alignment horizontal="center" wrapText="1"/>
    </xf>
    <xf numFmtId="3" fontId="22" fillId="4" borderId="39" xfId="0" applyNumberFormat="1" applyFont="1" applyFill="1" applyBorder="1" applyAlignment="1">
      <alignment horizontal="center" wrapText="1"/>
    </xf>
    <xf numFmtId="3" fontId="26" fillId="4" borderId="0" xfId="0" applyNumberFormat="1" applyFont="1" applyFill="1" applyBorder="1" applyAlignment="1">
      <alignment horizontal="center" wrapText="1"/>
    </xf>
    <xf numFmtId="3" fontId="22" fillId="4" borderId="4" xfId="0" applyNumberFormat="1" applyFont="1" applyFill="1" applyBorder="1" applyAlignment="1">
      <alignment horizontal="center" wrapText="1"/>
    </xf>
    <xf numFmtId="0" fontId="22" fillId="4" borderId="4" xfId="0" applyFont="1" applyFill="1" applyBorder="1" applyAlignment="1">
      <alignment horizontal="left" wrapText="1"/>
    </xf>
    <xf numFmtId="0" fontId="22" fillId="4" borderId="39" xfId="0" applyFont="1" applyFill="1" applyBorder="1"/>
    <xf numFmtId="0" fontId="22" fillId="4" borderId="39" xfId="0" applyFont="1" applyFill="1" applyBorder="1" applyAlignment="1">
      <alignment horizontal="left" wrapText="1"/>
    </xf>
    <xf numFmtId="3" fontId="22" fillId="4" borderId="39" xfId="0" applyNumberFormat="1" applyFont="1" applyFill="1" applyBorder="1" applyAlignment="1">
      <alignment horizontal="center"/>
    </xf>
    <xf numFmtId="0" fontId="26" fillId="4" borderId="0" xfId="0" applyFont="1" applyFill="1" applyBorder="1" applyAlignment="1">
      <alignment horizontal="left" wrapText="1"/>
    </xf>
    <xf numFmtId="0" fontId="28" fillId="15" borderId="0" xfId="0" applyFont="1" applyFill="1"/>
    <xf numFmtId="0" fontId="10" fillId="0" borderId="2" xfId="0" applyFont="1" applyFill="1" applyBorder="1" applyAlignment="1">
      <alignment horizontal="left"/>
    </xf>
    <xf numFmtId="16" fontId="22" fillId="0" borderId="0" xfId="0" applyNumberFormat="1" applyFont="1" applyAlignment="1">
      <alignment vertical="center"/>
    </xf>
    <xf numFmtId="0" fontId="22" fillId="14" borderId="0" xfId="0" applyFont="1" applyFill="1" applyBorder="1" applyAlignment="1">
      <alignment horizontal="left" vertical="center" wrapText="1"/>
    </xf>
    <xf numFmtId="14" fontId="12" fillId="0" borderId="0" xfId="0" applyNumberFormat="1" applyFont="1" applyFill="1"/>
    <xf numFmtId="3" fontId="17" fillId="11" borderId="2" xfId="0" applyNumberFormat="1" applyFont="1" applyFill="1" applyBorder="1" applyAlignment="1">
      <alignment horizontal="center" vertical="center"/>
    </xf>
    <xf numFmtId="3" fontId="12" fillId="5" borderId="32" xfId="0" applyNumberFormat="1" applyFont="1" applyFill="1" applyBorder="1" applyAlignment="1">
      <alignment horizontal="center" wrapText="1"/>
    </xf>
    <xf numFmtId="0" fontId="39" fillId="0" borderId="0" xfId="0" applyFont="1" applyFill="1"/>
    <xf numFmtId="0" fontId="19" fillId="0" borderId="37" xfId="0" applyFont="1" applyFill="1" applyBorder="1"/>
    <xf numFmtId="0" fontId="28" fillId="0" borderId="2" xfId="0" applyFont="1" applyBorder="1"/>
    <xf numFmtId="0" fontId="28" fillId="15" borderId="2" xfId="0" applyFont="1" applyFill="1" applyBorder="1"/>
    <xf numFmtId="0" fontId="12" fillId="16" borderId="2" xfId="0" applyFont="1" applyFill="1" applyBorder="1" applyAlignment="1">
      <alignment horizontal="center"/>
    </xf>
    <xf numFmtId="14" fontId="22" fillId="0" borderId="0" xfId="0" applyNumberFormat="1" applyFont="1" applyAlignment="1">
      <alignment vertical="center"/>
    </xf>
    <xf numFmtId="3" fontId="7" fillId="0" borderId="6" xfId="0" applyNumberFormat="1" applyFont="1" applyFill="1" applyBorder="1" applyAlignment="1">
      <alignment horizontal="left"/>
    </xf>
    <xf numFmtId="3" fontId="12" fillId="0" borderId="31" xfId="0" applyNumberFormat="1" applyFont="1" applyFill="1" applyBorder="1" applyAlignment="1">
      <alignment horizontal="left"/>
    </xf>
    <xf numFmtId="0" fontId="16" fillId="10" borderId="9" xfId="0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left" vertical="center"/>
    </xf>
    <xf numFmtId="16" fontId="12" fillId="0" borderId="0" xfId="0" applyNumberFormat="1" applyFont="1"/>
    <xf numFmtId="0" fontId="41" fillId="0" borderId="0" xfId="0" applyFont="1"/>
    <xf numFmtId="3" fontId="26" fillId="0" borderId="4" xfId="0" applyNumberFormat="1" applyFont="1" applyFill="1" applyBorder="1" applyAlignment="1">
      <alignment horizontal="center"/>
    </xf>
    <xf numFmtId="0" fontId="37" fillId="10" borderId="9" xfId="0" applyFont="1" applyFill="1" applyBorder="1"/>
    <xf numFmtId="0" fontId="26" fillId="4" borderId="4" xfId="0" applyFont="1" applyFill="1" applyBorder="1" applyAlignment="1">
      <alignment horizontal="center"/>
    </xf>
    <xf numFmtId="9" fontId="12" fillId="0" borderId="2" xfId="0" applyNumberFormat="1" applyFont="1" applyFill="1" applyBorder="1" applyAlignment="1">
      <alignment horizontal="left"/>
    </xf>
    <xf numFmtId="0" fontId="26" fillId="4" borderId="4" xfId="0" applyFont="1" applyFill="1" applyBorder="1"/>
    <xf numFmtId="0" fontId="26" fillId="4" borderId="4" xfId="0" applyFont="1" applyFill="1" applyBorder="1" applyAlignment="1">
      <alignment horizontal="left"/>
    </xf>
    <xf numFmtId="0" fontId="26" fillId="0" borderId="2" xfId="0" applyFont="1" applyFill="1" applyBorder="1" applyAlignment="1">
      <alignment horizontal="left"/>
    </xf>
    <xf numFmtId="0" fontId="26" fillId="0" borderId="4" xfId="0" applyFont="1" applyFill="1" applyBorder="1" applyAlignment="1">
      <alignment horizontal="left"/>
    </xf>
    <xf numFmtId="0" fontId="26" fillId="0" borderId="38" xfId="0" applyFont="1" applyFill="1" applyBorder="1" applyAlignment="1">
      <alignment horizontal="right"/>
    </xf>
    <xf numFmtId="0" fontId="26" fillId="0" borderId="39" xfId="0" applyFont="1" applyFill="1" applyBorder="1" applyAlignment="1">
      <alignment horizontal="right"/>
    </xf>
    <xf numFmtId="0" fontId="26" fillId="4" borderId="9" xfId="0" applyFont="1" applyFill="1" applyBorder="1"/>
    <xf numFmtId="3" fontId="26" fillId="4" borderId="9" xfId="0" applyNumberFormat="1" applyFont="1" applyFill="1" applyBorder="1" applyAlignment="1">
      <alignment horizontal="center"/>
    </xf>
    <xf numFmtId="3" fontId="26" fillId="0" borderId="9" xfId="0" applyNumberFormat="1" applyFont="1" applyFill="1" applyBorder="1" applyAlignment="1">
      <alignment horizontal="left"/>
    </xf>
    <xf numFmtId="3" fontId="26" fillId="0" borderId="38" xfId="0" applyNumberFormat="1" applyFont="1" applyFill="1" applyBorder="1" applyAlignment="1">
      <alignment horizontal="right"/>
    </xf>
    <xf numFmtId="3" fontId="26" fillId="0" borderId="38" xfId="0" applyNumberFormat="1" applyFont="1" applyFill="1" applyBorder="1" applyAlignment="1">
      <alignment horizontal="center" wrapText="1"/>
    </xf>
    <xf numFmtId="3" fontId="26" fillId="4" borderId="4" xfId="0" applyNumberFormat="1" applyFont="1" applyFill="1" applyBorder="1" applyAlignment="1">
      <alignment horizontal="right" wrapText="1"/>
    </xf>
    <xf numFmtId="3" fontId="26" fillId="0" borderId="39" xfId="0" applyNumberFormat="1" applyFont="1" applyFill="1" applyBorder="1" applyAlignment="1">
      <alignment horizontal="right"/>
    </xf>
    <xf numFmtId="3" fontId="26" fillId="0" borderId="39" xfId="0" applyNumberFormat="1" applyFont="1" applyFill="1" applyBorder="1" applyAlignment="1">
      <alignment horizontal="center" wrapText="1"/>
    </xf>
    <xf numFmtId="3" fontId="26" fillId="4" borderId="39" xfId="0" applyNumberFormat="1" applyFont="1" applyFill="1" applyBorder="1" applyAlignment="1">
      <alignment horizontal="right" wrapText="1"/>
    </xf>
    <xf numFmtId="3" fontId="26" fillId="0" borderId="9" xfId="0" applyNumberFormat="1" applyFont="1" applyFill="1" applyBorder="1" applyAlignment="1">
      <alignment horizontal="center"/>
    </xf>
    <xf numFmtId="3" fontId="26" fillId="0" borderId="9" xfId="0" applyNumberFormat="1" applyFont="1" applyFill="1" applyBorder="1" applyAlignment="1">
      <alignment horizontal="center" wrapText="1"/>
    </xf>
    <xf numFmtId="3" fontId="26" fillId="4" borderId="9" xfId="0" applyNumberFormat="1" applyFont="1" applyFill="1" applyBorder="1" applyAlignment="1">
      <alignment horizontal="center" wrapText="1"/>
    </xf>
    <xf numFmtId="3" fontId="26" fillId="0" borderId="39" xfId="0" applyNumberFormat="1" applyFont="1" applyFill="1" applyBorder="1" applyAlignment="1">
      <alignment horizontal="right" wrapText="1"/>
    </xf>
    <xf numFmtId="3" fontId="26" fillId="4" borderId="0" xfId="0" applyNumberFormat="1" applyFont="1" applyFill="1" applyBorder="1" applyAlignment="1">
      <alignment horizontal="right" wrapText="1"/>
    </xf>
    <xf numFmtId="3" fontId="26" fillId="0" borderId="38" xfId="0" applyNumberFormat="1" applyFont="1" applyFill="1" applyBorder="1" applyAlignment="1">
      <alignment horizontal="center"/>
    </xf>
    <xf numFmtId="3" fontId="26" fillId="4" borderId="38" xfId="0" applyNumberFormat="1" applyFont="1" applyFill="1" applyBorder="1" applyAlignment="1">
      <alignment horizontal="center" wrapText="1"/>
    </xf>
    <xf numFmtId="3" fontId="26" fillId="0" borderId="39" xfId="0" applyNumberFormat="1" applyFont="1" applyFill="1" applyBorder="1" applyAlignment="1">
      <alignment horizontal="center"/>
    </xf>
    <xf numFmtId="3" fontId="26" fillId="4" borderId="39" xfId="0" applyNumberFormat="1" applyFont="1" applyFill="1" applyBorder="1" applyAlignment="1">
      <alignment horizontal="center" wrapText="1"/>
    </xf>
    <xf numFmtId="0" fontId="26" fillId="4" borderId="38" xfId="0" applyFont="1" applyFill="1" applyBorder="1" applyAlignment="1">
      <alignment horizontal="left" wrapText="1"/>
    </xf>
    <xf numFmtId="0" fontId="26" fillId="4" borderId="39" xfId="0" applyFont="1" applyFill="1" applyBorder="1" applyAlignment="1">
      <alignment horizontal="left" wrapText="1"/>
    </xf>
    <xf numFmtId="0" fontId="26" fillId="4" borderId="9" xfId="0" applyFont="1" applyFill="1" applyBorder="1" applyAlignment="1">
      <alignment horizontal="left" wrapText="1"/>
    </xf>
    <xf numFmtId="3" fontId="16" fillId="0" borderId="6" xfId="0" applyNumberFormat="1" applyFont="1" applyFill="1" applyBorder="1" applyAlignment="1">
      <alignment horizontal="center" vertical="center"/>
    </xf>
    <xf numFmtId="3" fontId="26" fillId="4" borderId="38" xfId="0" applyNumberFormat="1" applyFont="1" applyFill="1" applyBorder="1" applyAlignment="1">
      <alignment horizontal="center"/>
    </xf>
    <xf numFmtId="3" fontId="26" fillId="4" borderId="39" xfId="0" applyNumberFormat="1" applyFont="1" applyFill="1" applyBorder="1" applyAlignment="1">
      <alignment horizontal="center"/>
    </xf>
    <xf numFmtId="3" fontId="26" fillId="4" borderId="38" xfId="0" applyNumberFormat="1" applyFont="1" applyFill="1" applyBorder="1" applyAlignment="1">
      <alignment horizontal="right" wrapText="1"/>
    </xf>
    <xf numFmtId="0" fontId="12" fillId="0" borderId="2" xfId="0" applyFont="1" applyFill="1" applyBorder="1" applyAlignment="1">
      <alignment wrapText="1"/>
    </xf>
    <xf numFmtId="3" fontId="26" fillId="4" borderId="0" xfId="0" applyNumberFormat="1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0" fillId="0" borderId="0" xfId="0" applyFill="1" applyAlignment="1">
      <alignment horizontal="center"/>
    </xf>
    <xf numFmtId="0" fontId="26" fillId="0" borderId="9" xfId="0" applyFont="1" applyFill="1" applyBorder="1"/>
    <xf numFmtId="3" fontId="16" fillId="12" borderId="36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0" fillId="0" borderId="0" xfId="0" applyFill="1" applyAlignment="1">
      <alignment horizontal="left"/>
    </xf>
    <xf numFmtId="3" fontId="16" fillId="12" borderId="0" xfId="0" applyNumberFormat="1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12" fillId="0" borderId="7" xfId="0" applyFont="1" applyBorder="1"/>
    <xf numFmtId="0" fontId="0" fillId="8" borderId="2" xfId="0" applyFont="1" applyFill="1" applyBorder="1" applyAlignment="1">
      <alignment horizontal="left"/>
    </xf>
    <xf numFmtId="0" fontId="0" fillId="5" borderId="2" xfId="0" applyFont="1" applyFill="1" applyBorder="1" applyAlignment="1">
      <alignment horizontal="left"/>
    </xf>
    <xf numFmtId="0" fontId="0" fillId="15" borderId="2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42" fillId="0" borderId="2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left"/>
    </xf>
    <xf numFmtId="0" fontId="0" fillId="0" borderId="8" xfId="0" applyBorder="1"/>
    <xf numFmtId="0" fontId="0" fillId="0" borderId="9" xfId="0" applyBorder="1" applyAlignment="1">
      <alignment horizontal="left"/>
    </xf>
    <xf numFmtId="0" fontId="0" fillId="0" borderId="10" xfId="0" applyBorder="1"/>
    <xf numFmtId="0" fontId="12" fillId="0" borderId="0" xfId="0" applyFont="1" applyFill="1" applyBorder="1"/>
    <xf numFmtId="3" fontId="16" fillId="12" borderId="36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left"/>
    </xf>
    <xf numFmtId="3" fontId="12" fillId="0" borderId="0" xfId="0" applyNumberFormat="1" applyFont="1" applyFill="1" applyAlignment="1">
      <alignment horizontal="center"/>
    </xf>
    <xf numFmtId="3" fontId="16" fillId="0" borderId="7" xfId="0" applyNumberFormat="1" applyFont="1" applyFill="1" applyBorder="1" applyAlignment="1">
      <alignment horizontal="center" vertical="center"/>
    </xf>
    <xf numFmtId="3" fontId="42" fillId="0" borderId="0" xfId="0" applyNumberFormat="1" applyFont="1" applyAlignment="1">
      <alignment horizontal="center" wrapText="1"/>
    </xf>
    <xf numFmtId="3" fontId="17" fillId="0" borderId="0" xfId="0" applyNumberFormat="1" applyFont="1" applyAlignment="1">
      <alignment horizontal="center" wrapText="1"/>
    </xf>
    <xf numFmtId="3" fontId="12" fillId="0" borderId="0" xfId="0" applyNumberFormat="1" applyFont="1" applyAlignment="1">
      <alignment horizontal="center" wrapText="1"/>
    </xf>
    <xf numFmtId="3" fontId="43" fillId="0" borderId="0" xfId="0" applyNumberFormat="1" applyFont="1" applyAlignment="1">
      <alignment horizontal="center" wrapText="1"/>
    </xf>
    <xf numFmtId="3" fontId="22" fillId="0" borderId="0" xfId="0" applyNumberFormat="1" applyFont="1" applyAlignment="1">
      <alignment horizontal="center" wrapText="1"/>
    </xf>
    <xf numFmtId="3" fontId="12" fillId="0" borderId="0" xfId="0" applyNumberFormat="1" applyFont="1" applyFill="1" applyAlignment="1">
      <alignment horizontal="center" wrapText="1"/>
    </xf>
    <xf numFmtId="0" fontId="12" fillId="0" borderId="0" xfId="0" applyFont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44" fillId="4" borderId="0" xfId="120" applyFill="1"/>
    <xf numFmtId="9" fontId="44" fillId="4" borderId="0" xfId="148" applyFill="1"/>
    <xf numFmtId="0" fontId="4" fillId="3" borderId="20" xfId="120" applyFont="1" applyFill="1" applyBorder="1" applyAlignment="1">
      <alignment vertical="center"/>
    </xf>
    <xf numFmtId="3" fontId="4" fillId="3" borderId="45" xfId="120" applyNumberFormat="1" applyFont="1" applyFill="1" applyBorder="1" applyAlignment="1">
      <alignment horizontal="center" vertical="center"/>
    </xf>
    <xf numFmtId="9" fontId="4" fillId="3" borderId="46" xfId="148" applyFont="1" applyFill="1" applyBorder="1" applyAlignment="1">
      <alignment horizontal="center" vertical="center"/>
    </xf>
    <xf numFmtId="3" fontId="4" fillId="3" borderId="21" xfId="120" applyNumberFormat="1" applyFont="1" applyFill="1" applyBorder="1" applyAlignment="1">
      <alignment horizontal="center" vertical="center" wrapText="1"/>
    </xf>
    <xf numFmtId="3" fontId="4" fillId="3" borderId="45" xfId="120" applyNumberFormat="1" applyFont="1" applyFill="1" applyBorder="1" applyAlignment="1">
      <alignment horizontal="center" vertical="center" wrapText="1"/>
    </xf>
    <xf numFmtId="3" fontId="4" fillId="3" borderId="47" xfId="120" applyNumberFormat="1" applyFont="1" applyFill="1" applyBorder="1" applyAlignment="1">
      <alignment horizontal="center" vertical="center" wrapText="1"/>
    </xf>
    <xf numFmtId="3" fontId="4" fillId="3" borderId="48" xfId="120" applyNumberFormat="1" applyFont="1" applyFill="1" applyBorder="1" applyAlignment="1">
      <alignment horizontal="center" vertical="center" wrapText="1"/>
    </xf>
    <xf numFmtId="0" fontId="4" fillId="4" borderId="8" xfId="120" applyFont="1" applyFill="1" applyBorder="1" applyAlignment="1">
      <alignment horizontal="center"/>
    </xf>
    <xf numFmtId="3" fontId="44" fillId="4" borderId="49" xfId="120" applyNumberFormat="1" applyFill="1" applyBorder="1"/>
    <xf numFmtId="9" fontId="44" fillId="4" borderId="50" xfId="148" applyFill="1" applyBorder="1"/>
    <xf numFmtId="3" fontId="44" fillId="4" borderId="9" xfId="120" applyNumberFormat="1" applyFill="1" applyBorder="1"/>
    <xf numFmtId="3" fontId="44" fillId="4" borderId="49" xfId="120" applyNumberFormat="1" applyFont="1" applyFill="1" applyBorder="1" applyAlignment="1">
      <alignment wrapText="1"/>
    </xf>
    <xf numFmtId="3" fontId="44" fillId="4" borderId="1" xfId="120" applyNumberFormat="1" applyFill="1" applyBorder="1"/>
    <xf numFmtId="10" fontId="44" fillId="4" borderId="8" xfId="148" applyNumberFormat="1" applyFill="1" applyBorder="1" applyAlignment="1">
      <alignment wrapText="1"/>
    </xf>
    <xf numFmtId="0" fontId="4" fillId="4" borderId="14" xfId="120" applyFont="1" applyFill="1" applyBorder="1" applyAlignment="1">
      <alignment horizontal="center"/>
    </xf>
    <xf numFmtId="3" fontId="44" fillId="4" borderId="15" xfId="120" applyNumberFormat="1" applyFill="1" applyBorder="1"/>
    <xf numFmtId="9" fontId="44" fillId="4" borderId="16" xfId="148" applyFill="1" applyBorder="1"/>
    <xf numFmtId="3" fontId="44" fillId="4" borderId="37" xfId="120" applyNumberFormat="1" applyFill="1" applyBorder="1"/>
    <xf numFmtId="3" fontId="44" fillId="4" borderId="15" xfId="120" applyNumberFormat="1" applyFont="1" applyFill="1" applyBorder="1"/>
    <xf numFmtId="10" fontId="44" fillId="4" borderId="14" xfId="148" applyNumberFormat="1" applyFill="1" applyBorder="1" applyAlignment="1">
      <alignment wrapText="1"/>
    </xf>
    <xf numFmtId="0" fontId="4" fillId="3" borderId="14" xfId="120" applyFont="1" applyFill="1" applyBorder="1" applyAlignment="1">
      <alignment horizontal="right" vertical="center"/>
    </xf>
    <xf numFmtId="3" fontId="4" fillId="3" borderId="17" xfId="120" applyNumberFormat="1" applyFont="1" applyFill="1" applyBorder="1" applyAlignment="1">
      <alignment vertical="center"/>
    </xf>
    <xf numFmtId="9" fontId="4" fillId="3" borderId="19" xfId="148" applyFont="1" applyFill="1" applyBorder="1" applyAlignment="1">
      <alignment vertical="center"/>
    </xf>
    <xf numFmtId="3" fontId="4" fillId="3" borderId="51" xfId="120" applyNumberFormat="1" applyFont="1" applyFill="1" applyBorder="1" applyAlignment="1">
      <alignment vertical="center"/>
    </xf>
    <xf numFmtId="3" fontId="4" fillId="3" borderId="18" xfId="120" applyNumberFormat="1" applyFont="1" applyFill="1" applyBorder="1" applyAlignment="1">
      <alignment vertical="center"/>
    </xf>
    <xf numFmtId="9" fontId="4" fillId="3" borderId="52" xfId="147" applyFont="1" applyFill="1" applyBorder="1" applyAlignment="1">
      <alignment vertical="center"/>
    </xf>
    <xf numFmtId="3" fontId="4" fillId="17" borderId="47" xfId="120" applyNumberFormat="1" applyFont="1" applyFill="1" applyBorder="1" applyAlignment="1">
      <alignment horizontal="center" vertical="center" wrapText="1"/>
    </xf>
    <xf numFmtId="3" fontId="4" fillId="3" borderId="46" xfId="120" applyNumberFormat="1" applyFont="1" applyFill="1" applyBorder="1" applyAlignment="1">
      <alignment horizontal="center" vertical="center" wrapText="1"/>
    </xf>
    <xf numFmtId="3" fontId="44" fillId="18" borderId="1" xfId="120" applyNumberFormat="1" applyFill="1" applyBorder="1"/>
    <xf numFmtId="3" fontId="44" fillId="19" borderId="1" xfId="120" applyNumberFormat="1" applyFill="1" applyBorder="1"/>
    <xf numFmtId="3" fontId="44" fillId="4" borderId="0" xfId="120" applyNumberFormat="1" applyFill="1"/>
    <xf numFmtId="0" fontId="44" fillId="4" borderId="0" xfId="120" applyFill="1" applyAlignment="1">
      <alignment wrapText="1"/>
    </xf>
    <xf numFmtId="3" fontId="4" fillId="3" borderId="52" xfId="120" applyNumberFormat="1" applyFont="1" applyFill="1" applyBorder="1" applyAlignment="1">
      <alignment vertical="center"/>
    </xf>
    <xf numFmtId="3" fontId="4" fillId="3" borderId="19" xfId="120" applyNumberFormat="1" applyFont="1" applyFill="1" applyBorder="1" applyAlignment="1">
      <alignment vertical="center"/>
    </xf>
    <xf numFmtId="0" fontId="44" fillId="4" borderId="0" xfId="120" applyFill="1" applyAlignment="1">
      <alignment vertical="center"/>
    </xf>
    <xf numFmtId="0" fontId="4" fillId="20" borderId="20" xfId="120" applyFont="1" applyFill="1" applyBorder="1" applyAlignment="1">
      <alignment horizontal="center" vertical="center"/>
    </xf>
    <xf numFmtId="3" fontId="4" fillId="20" borderId="45" xfId="120" applyNumberFormat="1" applyFont="1" applyFill="1" applyBorder="1" applyAlignment="1">
      <alignment horizontal="center" vertical="center"/>
    </xf>
    <xf numFmtId="3" fontId="4" fillId="20" borderId="46" xfId="120" applyNumberFormat="1" applyFont="1" applyFill="1" applyBorder="1" applyAlignment="1">
      <alignment horizontal="center" vertical="center"/>
    </xf>
    <xf numFmtId="3" fontId="4" fillId="20" borderId="21" xfId="120" applyNumberFormat="1" applyFont="1" applyFill="1" applyBorder="1" applyAlignment="1">
      <alignment horizontal="center" vertical="center" wrapText="1"/>
    </xf>
    <xf numFmtId="3" fontId="4" fillId="20" borderId="45" xfId="120" applyNumberFormat="1" applyFont="1" applyFill="1" applyBorder="1" applyAlignment="1">
      <alignment horizontal="center" vertical="center" wrapText="1"/>
    </xf>
    <xf numFmtId="3" fontId="4" fillId="20" borderId="48" xfId="120" applyNumberFormat="1" applyFont="1" applyFill="1" applyBorder="1" applyAlignment="1">
      <alignment horizontal="center" vertical="center" wrapText="1"/>
    </xf>
    <xf numFmtId="3" fontId="4" fillId="21" borderId="47" xfId="120" applyNumberFormat="1" applyFont="1" applyFill="1" applyBorder="1" applyAlignment="1">
      <alignment horizontal="center" vertical="center" wrapText="1"/>
    </xf>
    <xf numFmtId="0" fontId="4" fillId="4" borderId="11" xfId="120" applyFont="1" applyFill="1" applyBorder="1"/>
    <xf numFmtId="3" fontId="44" fillId="4" borderId="23" xfId="120" applyNumberFormat="1" applyFill="1" applyBorder="1"/>
    <xf numFmtId="10" fontId="44" fillId="4" borderId="25" xfId="148" applyNumberFormat="1" applyFill="1" applyBorder="1" applyAlignment="1">
      <alignment horizontal="center"/>
    </xf>
    <xf numFmtId="3" fontId="44" fillId="4" borderId="12" xfId="120" applyNumberFormat="1" applyFill="1" applyBorder="1"/>
    <xf numFmtId="9" fontId="44" fillId="4" borderId="24" xfId="148" applyFill="1" applyBorder="1" applyAlignment="1">
      <alignment horizontal="center" wrapText="1"/>
    </xf>
    <xf numFmtId="3" fontId="44" fillId="4" borderId="24" xfId="120" applyNumberFormat="1" applyFill="1" applyBorder="1"/>
    <xf numFmtId="0" fontId="4" fillId="4" borderId="54" xfId="120" applyFont="1" applyFill="1" applyBorder="1"/>
    <xf numFmtId="10" fontId="44" fillId="4" borderId="16" xfId="148" applyNumberFormat="1" applyFill="1" applyBorder="1" applyAlignment="1">
      <alignment horizontal="center"/>
    </xf>
    <xf numFmtId="9" fontId="44" fillId="4" borderId="2" xfId="148" applyFill="1" applyBorder="1" applyAlignment="1">
      <alignment horizontal="center" wrapText="1"/>
    </xf>
    <xf numFmtId="3" fontId="44" fillId="4" borderId="2" xfId="120" applyNumberFormat="1" applyFill="1" applyBorder="1"/>
    <xf numFmtId="0" fontId="4" fillId="21" borderId="20" xfId="120" applyFont="1" applyFill="1" applyBorder="1" applyAlignment="1">
      <alignment horizontal="center"/>
    </xf>
    <xf numFmtId="3" fontId="4" fillId="21" borderId="45" xfId="120" applyNumberFormat="1" applyFont="1" applyFill="1" applyBorder="1"/>
    <xf numFmtId="9" fontId="4" fillId="21" borderId="46" xfId="148" applyFont="1" applyFill="1" applyBorder="1" applyAlignment="1">
      <alignment horizontal="center"/>
    </xf>
    <xf numFmtId="3" fontId="4" fillId="21" borderId="20" xfId="120" applyNumberFormat="1" applyFont="1" applyFill="1" applyBorder="1"/>
    <xf numFmtId="9" fontId="4" fillId="21" borderId="48" xfId="8" applyFont="1" applyFill="1" applyBorder="1" applyAlignment="1">
      <alignment horizontal="center"/>
    </xf>
    <xf numFmtId="3" fontId="4" fillId="21" borderId="47" xfId="120" applyNumberFormat="1" applyFont="1" applyFill="1" applyBorder="1"/>
    <xf numFmtId="3" fontId="4" fillId="20" borderId="47" xfId="120" applyNumberFormat="1" applyFont="1" applyFill="1" applyBorder="1" applyAlignment="1">
      <alignment horizontal="center" vertical="center" wrapText="1"/>
    </xf>
    <xf numFmtId="3" fontId="4" fillId="21" borderId="46" xfId="120" applyNumberFormat="1" applyFont="1" applyFill="1" applyBorder="1" applyAlignment="1">
      <alignment horizontal="center" vertical="center" wrapText="1"/>
    </xf>
    <xf numFmtId="3" fontId="44" fillId="4" borderId="25" xfId="120" applyNumberFormat="1" applyFill="1" applyBorder="1"/>
    <xf numFmtId="3" fontId="44" fillId="4" borderId="16" xfId="120" applyNumberFormat="1" applyFill="1" applyBorder="1"/>
    <xf numFmtId="3" fontId="4" fillId="21" borderId="47" xfId="120" applyNumberFormat="1" applyFont="1" applyFill="1" applyBorder="1" applyAlignment="1">
      <alignment horizontal="right"/>
    </xf>
    <xf numFmtId="3" fontId="4" fillId="21" borderId="46" xfId="120" applyNumberFormat="1" applyFont="1" applyFill="1" applyBorder="1"/>
    <xf numFmtId="0" fontId="44" fillId="4" borderId="0" xfId="120" applyFill="1" applyAlignment="1">
      <alignment horizontal="center" vertical="center"/>
    </xf>
    <xf numFmtId="0" fontId="44" fillId="4" borderId="0" xfId="120" applyFill="1" applyBorder="1"/>
    <xf numFmtId="0" fontId="45" fillId="4" borderId="0" xfId="120" applyFont="1" applyFill="1" applyBorder="1" applyAlignment="1"/>
    <xf numFmtId="0" fontId="47" fillId="22" borderId="2" xfId="120" applyFont="1" applyFill="1" applyBorder="1" applyAlignment="1">
      <alignment horizontal="center" vertical="center"/>
    </xf>
    <xf numFmtId="0" fontId="47" fillId="4" borderId="7" xfId="120" applyFont="1" applyFill="1" applyBorder="1" applyAlignment="1">
      <alignment horizontal="center" vertical="center"/>
    </xf>
    <xf numFmtId="3" fontId="47" fillId="22" borderId="15" xfId="120" applyNumberFormat="1" applyFont="1" applyFill="1" applyBorder="1" applyAlignment="1">
      <alignment horizontal="center" vertical="center" wrapText="1"/>
    </xf>
    <xf numFmtId="3" fontId="47" fillId="22" borderId="2" xfId="120" applyNumberFormat="1" applyFont="1" applyFill="1" applyBorder="1" applyAlignment="1">
      <alignment horizontal="center" vertical="center" wrapText="1"/>
    </xf>
    <xf numFmtId="3" fontId="47" fillId="22" borderId="16" xfId="120" applyNumberFormat="1" applyFont="1" applyFill="1" applyBorder="1" applyAlignment="1">
      <alignment horizontal="center" vertical="center" wrapText="1"/>
    </xf>
    <xf numFmtId="3" fontId="47" fillId="4" borderId="6" xfId="120" applyNumberFormat="1" applyFont="1" applyFill="1" applyBorder="1" applyAlignment="1">
      <alignment horizontal="center" vertical="center" wrapText="1"/>
    </xf>
    <xf numFmtId="0" fontId="4" fillId="4" borderId="2" xfId="120" applyFont="1" applyFill="1" applyBorder="1" applyAlignment="1">
      <alignment horizontal="center" vertical="center"/>
    </xf>
    <xf numFmtId="0" fontId="4" fillId="4" borderId="7" xfId="120" applyFont="1" applyFill="1" applyBorder="1" applyAlignment="1">
      <alignment horizontal="center" vertical="center"/>
    </xf>
    <xf numFmtId="3" fontId="44" fillId="4" borderId="15" xfId="120" applyNumberFormat="1" applyFont="1" applyFill="1" applyBorder="1" applyAlignment="1">
      <alignment horizontal="center" vertical="center"/>
    </xf>
    <xf numFmtId="3" fontId="44" fillId="4" borderId="2" xfId="120" applyNumberFormat="1" applyFill="1" applyBorder="1" applyAlignment="1">
      <alignment horizontal="center" vertical="center"/>
    </xf>
    <xf numFmtId="10" fontId="44" fillId="4" borderId="2" xfId="148" applyNumberFormat="1" applyFill="1" applyBorder="1" applyAlignment="1">
      <alignment horizontal="center" vertical="center" wrapText="1"/>
    </xf>
    <xf numFmtId="3" fontId="44" fillId="4" borderId="16" xfId="120" applyNumberFormat="1" applyFill="1" applyBorder="1" applyAlignment="1">
      <alignment horizontal="center" vertical="center" wrapText="1"/>
    </xf>
    <xf numFmtId="3" fontId="44" fillId="4" borderId="6" xfId="120" applyNumberFormat="1" applyFill="1" applyBorder="1" applyAlignment="1">
      <alignment horizontal="center" vertical="center" wrapText="1"/>
    </xf>
    <xf numFmtId="3" fontId="44" fillId="0" borderId="15" xfId="120" applyNumberFormat="1" applyFont="1" applyFill="1" applyBorder="1" applyAlignment="1">
      <alignment horizontal="center" vertical="center"/>
    </xf>
    <xf numFmtId="0" fontId="4" fillId="22" borderId="2" xfId="120" applyFont="1" applyFill="1" applyBorder="1" applyAlignment="1">
      <alignment horizontal="center" vertical="center"/>
    </xf>
    <xf numFmtId="3" fontId="4" fillId="22" borderId="17" xfId="120" applyNumberFormat="1" applyFont="1" applyFill="1" applyBorder="1" applyAlignment="1">
      <alignment horizontal="right" vertical="center"/>
    </xf>
    <xf numFmtId="3" fontId="4" fillId="22" borderId="18" xfId="120" applyNumberFormat="1" applyFont="1" applyFill="1" applyBorder="1" applyAlignment="1">
      <alignment horizontal="right" vertical="center"/>
    </xf>
    <xf numFmtId="9" fontId="4" fillId="22" borderId="18" xfId="8" applyFont="1" applyFill="1" applyBorder="1" applyAlignment="1">
      <alignment horizontal="center" vertical="center"/>
    </xf>
    <xf numFmtId="3" fontId="4" fillId="22" borderId="19" xfId="120" applyNumberFormat="1" applyFont="1" applyFill="1" applyBorder="1" applyAlignment="1">
      <alignment horizontal="center" vertical="center"/>
    </xf>
    <xf numFmtId="3" fontId="4" fillId="4" borderId="6" xfId="120" applyNumberFormat="1" applyFont="1" applyFill="1" applyBorder="1" applyAlignment="1">
      <alignment horizontal="right" vertical="center"/>
    </xf>
    <xf numFmtId="3" fontId="44" fillId="4" borderId="0" xfId="120" applyNumberFormat="1" applyFill="1" applyBorder="1"/>
    <xf numFmtId="3" fontId="47" fillId="23" borderId="1" xfId="120" applyNumberFormat="1" applyFont="1" applyFill="1" applyBorder="1" applyAlignment="1">
      <alignment horizontal="center" vertical="center" wrapText="1"/>
    </xf>
    <xf numFmtId="3" fontId="47" fillId="22" borderId="1" xfId="120" applyNumberFormat="1" applyFont="1" applyFill="1" applyBorder="1" applyAlignment="1">
      <alignment horizontal="center" vertical="center" wrapText="1"/>
    </xf>
    <xf numFmtId="3" fontId="47" fillId="22" borderId="55" xfId="120" applyNumberFormat="1" applyFont="1" applyFill="1" applyBorder="1" applyAlignment="1">
      <alignment horizontal="center" vertical="center"/>
    </xf>
    <xf numFmtId="0" fontId="48" fillId="4" borderId="0" xfId="120" applyFont="1" applyFill="1" applyBorder="1"/>
    <xf numFmtId="3" fontId="48" fillId="4" borderId="0" xfId="120" applyNumberFormat="1" applyFont="1" applyFill="1" applyBorder="1"/>
    <xf numFmtId="3" fontId="47" fillId="23" borderId="50" xfId="120" applyNumberFormat="1" applyFont="1" applyFill="1" applyBorder="1" applyAlignment="1">
      <alignment horizontal="center" vertical="center" wrapText="1"/>
    </xf>
    <xf numFmtId="3" fontId="44" fillId="4" borderId="15" xfId="120" applyNumberFormat="1" applyFill="1" applyBorder="1" applyAlignment="1">
      <alignment horizontal="center" vertical="center"/>
    </xf>
    <xf numFmtId="3" fontId="49" fillId="4" borderId="2" xfId="109" applyNumberFormat="1" applyFill="1" applyBorder="1" applyAlignment="1">
      <alignment horizontal="center" vertical="center"/>
    </xf>
    <xf numFmtId="10" fontId="49" fillId="4" borderId="14" xfId="8" applyNumberFormat="1" applyFont="1" applyFill="1" applyBorder="1" applyAlignment="1">
      <alignment horizontal="center" vertical="center"/>
    </xf>
    <xf numFmtId="3" fontId="44" fillId="4" borderId="56" xfId="120" applyNumberFormat="1" applyFill="1" applyBorder="1" applyAlignment="1">
      <alignment horizontal="center" vertical="center"/>
    </xf>
    <xf numFmtId="3" fontId="44" fillId="4" borderId="0" xfId="120" applyNumberFormat="1" applyFont="1" applyFill="1" applyBorder="1" applyAlignment="1">
      <alignment horizontal="center" vertical="center"/>
    </xf>
    <xf numFmtId="3" fontId="44" fillId="4" borderId="0" xfId="120" applyNumberFormat="1" applyFill="1" applyBorder="1" applyAlignment="1">
      <alignment horizontal="center" vertical="center"/>
    </xf>
    <xf numFmtId="3" fontId="49" fillId="4" borderId="16" xfId="109" applyNumberFormat="1" applyFill="1" applyBorder="1" applyAlignment="1">
      <alignment horizontal="center" vertical="center"/>
    </xf>
    <xf numFmtId="3" fontId="44" fillId="4" borderId="36" xfId="120" applyNumberFormat="1" applyFont="1" applyFill="1" applyBorder="1" applyAlignment="1">
      <alignment horizontal="center" vertical="center"/>
    </xf>
    <xf numFmtId="3" fontId="4" fillId="4" borderId="0" xfId="120" applyNumberFormat="1" applyFont="1" applyFill="1" applyBorder="1" applyAlignment="1">
      <alignment horizontal="center" vertical="center"/>
    </xf>
    <xf numFmtId="3" fontId="4" fillId="22" borderId="18" xfId="120" applyNumberFormat="1" applyFont="1" applyFill="1" applyBorder="1" applyAlignment="1">
      <alignment horizontal="center" vertical="center"/>
    </xf>
    <xf numFmtId="9" fontId="4" fillId="22" borderId="52" xfId="8" applyFont="1" applyFill="1" applyBorder="1" applyAlignment="1">
      <alignment horizontal="center" vertical="center"/>
    </xf>
    <xf numFmtId="3" fontId="4" fillId="22" borderId="57" xfId="120" applyNumberFormat="1" applyFont="1" applyFill="1" applyBorder="1" applyAlignment="1">
      <alignment horizontal="right" vertical="center"/>
    </xf>
    <xf numFmtId="3" fontId="4" fillId="4" borderId="58" xfId="120" applyNumberFormat="1" applyFont="1" applyFill="1" applyBorder="1"/>
    <xf numFmtId="3" fontId="44" fillId="4" borderId="58" xfId="120" applyNumberFormat="1" applyFill="1" applyBorder="1"/>
    <xf numFmtId="0" fontId="44" fillId="4" borderId="0" xfId="120" applyFont="1" applyFill="1"/>
    <xf numFmtId="3" fontId="44" fillId="4" borderId="0" xfId="120" applyNumberFormat="1" applyFont="1" applyFill="1"/>
    <xf numFmtId="3" fontId="44" fillId="4" borderId="0" xfId="120" applyNumberFormat="1" applyFill="1" applyAlignment="1">
      <alignment horizontal="center" vertical="center"/>
    </xf>
    <xf numFmtId="0" fontId="4" fillId="4" borderId="0" xfId="120" applyFont="1" applyFill="1" applyAlignment="1">
      <alignment horizontal="center" vertical="center"/>
    </xf>
    <xf numFmtId="10" fontId="4" fillId="4" borderId="0" xfId="8" applyNumberFormat="1" applyFont="1" applyFill="1" applyAlignment="1">
      <alignment horizontal="center" vertical="center"/>
    </xf>
    <xf numFmtId="0" fontId="3" fillId="4" borderId="0" xfId="0" applyFont="1" applyFill="1"/>
    <xf numFmtId="0" fontId="0" fillId="4" borderId="0" xfId="0" applyFill="1" applyAlignment="1">
      <alignment vertical="center"/>
    </xf>
    <xf numFmtId="0" fontId="50" fillId="4" borderId="0" xfId="0" applyFont="1" applyFill="1"/>
    <xf numFmtId="0" fontId="0" fillId="4" borderId="0" xfId="0" applyFill="1"/>
    <xf numFmtId="0" fontId="0" fillId="4" borderId="0" xfId="0" applyFill="1" applyAlignment="1">
      <alignment horizontal="center"/>
    </xf>
    <xf numFmtId="0" fontId="51" fillId="4" borderId="0" xfId="120" applyFont="1" applyFill="1"/>
    <xf numFmtId="0" fontId="51" fillId="4" borderId="0" xfId="120" applyFont="1" applyFill="1" applyAlignment="1">
      <alignment horizontal="center"/>
    </xf>
    <xf numFmtId="0" fontId="4" fillId="24" borderId="20" xfId="120" applyFont="1" applyFill="1" applyBorder="1" applyAlignment="1">
      <alignment horizontal="center" vertical="center"/>
    </xf>
    <xf numFmtId="0" fontId="4" fillId="24" borderId="46" xfId="120" applyFont="1" applyFill="1" applyBorder="1" applyAlignment="1">
      <alignment horizontal="center" vertical="center"/>
    </xf>
    <xf numFmtId="3" fontId="4" fillId="24" borderId="45" xfId="120" applyNumberFormat="1" applyFont="1" applyFill="1" applyBorder="1" applyAlignment="1">
      <alignment horizontal="center" vertical="center"/>
    </xf>
    <xf numFmtId="3" fontId="4" fillId="24" borderId="46" xfId="120" applyNumberFormat="1" applyFont="1" applyFill="1" applyBorder="1" applyAlignment="1">
      <alignment horizontal="center" vertical="center"/>
    </xf>
    <xf numFmtId="3" fontId="4" fillId="24" borderId="46" xfId="120" applyNumberFormat="1" applyFont="1" applyFill="1" applyBorder="1" applyAlignment="1">
      <alignment horizontal="center" vertical="center" wrapText="1"/>
    </xf>
    <xf numFmtId="0" fontId="47" fillId="4" borderId="59" xfId="120" applyFont="1" applyFill="1" applyBorder="1"/>
    <xf numFmtId="3" fontId="48" fillId="4" borderId="50" xfId="120" applyNumberFormat="1" applyFont="1" applyFill="1" applyBorder="1" applyAlignment="1">
      <alignment horizontal="center"/>
    </xf>
    <xf numFmtId="3" fontId="48" fillId="4" borderId="49" xfId="120" applyNumberFormat="1" applyFont="1" applyFill="1" applyBorder="1"/>
    <xf numFmtId="9" fontId="48" fillId="4" borderId="50" xfId="148" applyFont="1" applyFill="1" applyBorder="1" applyAlignment="1">
      <alignment horizontal="center"/>
    </xf>
    <xf numFmtId="3" fontId="48" fillId="4" borderId="59" xfId="120" applyNumberFormat="1" applyFont="1" applyFill="1" applyBorder="1"/>
    <xf numFmtId="9" fontId="48" fillId="4" borderId="8" xfId="148" applyFont="1" applyFill="1" applyBorder="1" applyAlignment="1">
      <alignment horizontal="center" wrapText="1"/>
    </xf>
    <xf numFmtId="0" fontId="47" fillId="4" borderId="54" xfId="120" applyFont="1" applyFill="1" applyBorder="1"/>
    <xf numFmtId="3" fontId="48" fillId="4" borderId="16" xfId="120" applyNumberFormat="1" applyFont="1" applyFill="1" applyBorder="1" applyAlignment="1">
      <alignment horizontal="center"/>
    </xf>
    <xf numFmtId="3" fontId="48" fillId="4" borderId="15" xfId="120" applyNumberFormat="1" applyFont="1" applyFill="1" applyBorder="1"/>
    <xf numFmtId="9" fontId="48" fillId="4" borderId="16" xfId="148" applyFont="1" applyFill="1" applyBorder="1" applyAlignment="1">
      <alignment horizontal="center"/>
    </xf>
    <xf numFmtId="3" fontId="48" fillId="4" borderId="54" xfId="120" applyNumberFormat="1" applyFont="1" applyFill="1" applyBorder="1"/>
    <xf numFmtId="9" fontId="48" fillId="4" borderId="14" xfId="148" applyFont="1" applyFill="1" applyBorder="1" applyAlignment="1">
      <alignment horizontal="center" wrapText="1"/>
    </xf>
    <xf numFmtId="0" fontId="47" fillId="4" borderId="60" xfId="120" applyFont="1" applyFill="1" applyBorder="1"/>
    <xf numFmtId="3" fontId="48" fillId="4" borderId="61" xfId="120" applyNumberFormat="1" applyFont="1" applyFill="1" applyBorder="1" applyAlignment="1">
      <alignment horizontal="center"/>
    </xf>
    <xf numFmtId="3" fontId="48" fillId="4" borderId="62" xfId="120" applyNumberFormat="1" applyFont="1" applyFill="1" applyBorder="1"/>
    <xf numFmtId="9" fontId="48" fillId="4" borderId="61" xfId="148" applyFont="1" applyFill="1" applyBorder="1" applyAlignment="1">
      <alignment horizontal="center"/>
    </xf>
    <xf numFmtId="3" fontId="48" fillId="4" borderId="60" xfId="120" applyNumberFormat="1" applyFont="1" applyFill="1" applyBorder="1"/>
    <xf numFmtId="9" fontId="48" fillId="4" borderId="3" xfId="148" applyFont="1" applyFill="1" applyBorder="1" applyAlignment="1">
      <alignment horizontal="center" wrapText="1"/>
    </xf>
    <xf numFmtId="0" fontId="4" fillId="24" borderId="20" xfId="120" applyFont="1" applyFill="1" applyBorder="1" applyAlignment="1">
      <alignment horizontal="right"/>
    </xf>
    <xf numFmtId="3" fontId="4" fillId="24" borderId="46" xfId="120" applyNumberFormat="1" applyFont="1" applyFill="1" applyBorder="1" applyAlignment="1">
      <alignment horizontal="center"/>
    </xf>
    <xf numFmtId="3" fontId="4" fillId="24" borderId="45" xfId="120" applyNumberFormat="1" applyFont="1" applyFill="1" applyBorder="1" applyAlignment="1">
      <alignment horizontal="center"/>
    </xf>
    <xf numFmtId="9" fontId="4" fillId="24" borderId="46" xfId="148" applyFont="1" applyFill="1" applyBorder="1" applyAlignment="1">
      <alignment horizontal="center"/>
    </xf>
    <xf numFmtId="3" fontId="4" fillId="24" borderId="20" xfId="120" applyNumberFormat="1" applyFont="1" applyFill="1" applyBorder="1" applyAlignment="1">
      <alignment horizontal="center" vertical="center" wrapText="1"/>
    </xf>
    <xf numFmtId="9" fontId="4" fillId="24" borderId="48" xfId="148" applyFont="1" applyFill="1" applyBorder="1" applyAlignment="1">
      <alignment horizontal="center" wrapText="1"/>
    </xf>
    <xf numFmtId="0" fontId="44" fillId="4" borderId="0" xfId="120" applyFill="1" applyAlignment="1">
      <alignment horizontal="center"/>
    </xf>
    <xf numFmtId="0" fontId="46" fillId="4" borderId="0" xfId="120" applyFont="1" applyFill="1" applyBorder="1" applyAlignment="1">
      <alignment vertical="center"/>
    </xf>
    <xf numFmtId="3" fontId="48" fillId="19" borderId="1" xfId="120" applyNumberFormat="1" applyFont="1" applyFill="1" applyBorder="1"/>
    <xf numFmtId="3" fontId="48" fillId="4" borderId="1" xfId="120" applyNumberFormat="1" applyFont="1" applyFill="1" applyBorder="1"/>
    <xf numFmtId="3" fontId="48" fillId="25" borderId="1" xfId="120" applyNumberFormat="1" applyFont="1" applyFill="1" applyBorder="1"/>
    <xf numFmtId="10" fontId="47" fillId="14" borderId="50" xfId="148" applyNumberFormat="1" applyFont="1" applyFill="1" applyBorder="1" applyAlignment="1">
      <alignment horizontal="center" wrapText="1"/>
    </xf>
    <xf numFmtId="3" fontId="48" fillId="4" borderId="55" xfId="120" applyNumberFormat="1" applyFont="1" applyFill="1" applyBorder="1"/>
    <xf numFmtId="3" fontId="48" fillId="4" borderId="2" xfId="120" applyNumberFormat="1" applyFont="1" applyFill="1" applyBorder="1"/>
    <xf numFmtId="10" fontId="47" fillId="14" borderId="16" xfId="148" applyNumberFormat="1" applyFont="1" applyFill="1" applyBorder="1" applyAlignment="1">
      <alignment horizontal="center" wrapText="1"/>
    </xf>
    <xf numFmtId="3" fontId="48" fillId="4" borderId="56" xfId="120" applyNumberFormat="1" applyFont="1" applyFill="1" applyBorder="1"/>
    <xf numFmtId="3" fontId="48" fillId="4" borderId="31" xfId="120" applyNumberFormat="1" applyFont="1" applyFill="1" applyBorder="1"/>
    <xf numFmtId="10" fontId="47" fillId="14" borderId="61" xfId="148" applyNumberFormat="1" applyFont="1" applyFill="1" applyBorder="1" applyAlignment="1">
      <alignment horizontal="center" wrapText="1"/>
    </xf>
    <xf numFmtId="3" fontId="48" fillId="4" borderId="63" xfId="120" applyNumberFormat="1" applyFont="1" applyFill="1" applyBorder="1"/>
    <xf numFmtId="3" fontId="4" fillId="24" borderId="47" xfId="120" applyNumberFormat="1" applyFont="1" applyFill="1" applyBorder="1" applyAlignment="1">
      <alignment horizontal="center"/>
    </xf>
    <xf numFmtId="3" fontId="52" fillId="24" borderId="47" xfId="109" applyNumberFormat="1" applyFont="1" applyFill="1" applyBorder="1" applyAlignment="1">
      <alignment horizontal="center"/>
    </xf>
    <xf numFmtId="10" fontId="4" fillId="24" borderId="46" xfId="148" applyNumberFormat="1" applyFont="1" applyFill="1" applyBorder="1" applyAlignment="1">
      <alignment horizontal="center" wrapText="1"/>
    </xf>
    <xf numFmtId="3" fontId="4" fillId="24" borderId="22" xfId="120" applyNumberFormat="1" applyFont="1" applyFill="1" applyBorder="1" applyAlignment="1">
      <alignment horizontal="center"/>
    </xf>
    <xf numFmtId="0" fontId="4" fillId="26" borderId="20" xfId="120" applyFont="1" applyFill="1" applyBorder="1" applyAlignment="1">
      <alignment horizontal="center" vertical="center"/>
    </xf>
    <xf numFmtId="0" fontId="4" fillId="26" borderId="46" xfId="120" applyFont="1" applyFill="1" applyBorder="1" applyAlignment="1">
      <alignment horizontal="center" vertical="center"/>
    </xf>
    <xf numFmtId="3" fontId="4" fillId="26" borderId="45" xfId="120" applyNumberFormat="1" applyFont="1" applyFill="1" applyBorder="1" applyAlignment="1">
      <alignment horizontal="center" vertical="center"/>
    </xf>
    <xf numFmtId="3" fontId="4" fillId="26" borderId="46" xfId="120" applyNumberFormat="1" applyFont="1" applyFill="1" applyBorder="1" applyAlignment="1">
      <alignment horizontal="center" vertical="center"/>
    </xf>
    <xf numFmtId="3" fontId="4" fillId="26" borderId="46" xfId="120" applyNumberFormat="1" applyFont="1" applyFill="1" applyBorder="1" applyAlignment="1">
      <alignment horizontal="center" vertical="center" wrapText="1"/>
    </xf>
    <xf numFmtId="0" fontId="47" fillId="4" borderId="8" xfId="120" applyFont="1" applyFill="1" applyBorder="1"/>
    <xf numFmtId="0" fontId="47" fillId="4" borderId="14" xfId="120" applyFont="1" applyFill="1" applyBorder="1"/>
    <xf numFmtId="0" fontId="47" fillId="4" borderId="3" xfId="120" applyFont="1" applyFill="1" applyBorder="1"/>
    <xf numFmtId="0" fontId="4" fillId="26" borderId="20" xfId="120" applyFont="1" applyFill="1" applyBorder="1" applyAlignment="1">
      <alignment horizontal="right"/>
    </xf>
    <xf numFmtId="3" fontId="4" fillId="26" borderId="46" xfId="120" applyNumberFormat="1" applyFont="1" applyFill="1" applyBorder="1" applyAlignment="1">
      <alignment horizontal="center"/>
    </xf>
    <xf numFmtId="3" fontId="4" fillId="26" borderId="45" xfId="120" applyNumberFormat="1" applyFont="1" applyFill="1" applyBorder="1" applyAlignment="1">
      <alignment horizontal="center"/>
    </xf>
    <xf numFmtId="9" fontId="4" fillId="26" borderId="46" xfId="148" applyFont="1" applyFill="1" applyBorder="1" applyAlignment="1">
      <alignment horizontal="center"/>
    </xf>
    <xf numFmtId="3" fontId="4" fillId="26" borderId="20" xfId="120" applyNumberFormat="1" applyFont="1" applyFill="1" applyBorder="1" applyAlignment="1">
      <alignment horizontal="center" vertical="center" wrapText="1"/>
    </xf>
    <xf numFmtId="9" fontId="4" fillId="26" borderId="48" xfId="148" applyFont="1" applyFill="1" applyBorder="1" applyAlignment="1">
      <alignment horizontal="center" vertical="center" wrapText="1"/>
    </xf>
    <xf numFmtId="3" fontId="4" fillId="26" borderId="47" xfId="120" applyNumberFormat="1" applyFont="1" applyFill="1" applyBorder="1" applyAlignment="1">
      <alignment horizontal="center"/>
    </xf>
    <xf numFmtId="3" fontId="52" fillId="26" borderId="47" xfId="109" applyNumberFormat="1" applyFont="1" applyFill="1" applyBorder="1" applyAlignment="1">
      <alignment horizontal="center"/>
    </xf>
    <xf numFmtId="10" fontId="4" fillId="26" borderId="46" xfId="148" applyNumberFormat="1" applyFont="1" applyFill="1" applyBorder="1" applyAlignment="1">
      <alignment horizontal="center" wrapText="1"/>
    </xf>
    <xf numFmtId="3" fontId="4" fillId="26" borderId="22" xfId="120" applyNumberFormat="1" applyFont="1" applyFill="1" applyBorder="1" applyAlignment="1">
      <alignment horizontal="center"/>
    </xf>
    <xf numFmtId="0" fontId="4" fillId="19" borderId="20" xfId="120" applyFont="1" applyFill="1" applyBorder="1" applyAlignment="1">
      <alignment horizontal="center" vertical="center"/>
    </xf>
    <xf numFmtId="0" fontId="4" fillId="19" borderId="46" xfId="120" applyFont="1" applyFill="1" applyBorder="1" applyAlignment="1">
      <alignment horizontal="center" vertical="center"/>
    </xf>
    <xf numFmtId="3" fontId="4" fillId="19" borderId="45" xfId="120" applyNumberFormat="1" applyFont="1" applyFill="1" applyBorder="1" applyAlignment="1">
      <alignment horizontal="center" vertical="center"/>
    </xf>
    <xf numFmtId="3" fontId="4" fillId="19" borderId="46" xfId="120" applyNumberFormat="1" applyFont="1" applyFill="1" applyBorder="1" applyAlignment="1">
      <alignment horizontal="center" vertical="center"/>
    </xf>
    <xf numFmtId="3" fontId="4" fillId="19" borderId="46" xfId="120" applyNumberFormat="1" applyFont="1" applyFill="1" applyBorder="1" applyAlignment="1">
      <alignment horizontal="center" vertical="center" wrapText="1"/>
    </xf>
    <xf numFmtId="0" fontId="4" fillId="19" borderId="20" xfId="120" applyFont="1" applyFill="1" applyBorder="1" applyAlignment="1">
      <alignment horizontal="right"/>
    </xf>
    <xf numFmtId="3" fontId="4" fillId="19" borderId="46" xfId="120" applyNumberFormat="1" applyFont="1" applyFill="1" applyBorder="1" applyAlignment="1">
      <alignment horizontal="center"/>
    </xf>
    <xf numFmtId="3" fontId="4" fillId="19" borderId="45" xfId="120" applyNumberFormat="1" applyFont="1" applyFill="1" applyBorder="1" applyAlignment="1">
      <alignment horizontal="center"/>
    </xf>
    <xf numFmtId="9" fontId="4" fillId="19" borderId="46" xfId="148" applyFont="1" applyFill="1" applyBorder="1" applyAlignment="1">
      <alignment horizontal="center"/>
    </xf>
    <xf numFmtId="3" fontId="4" fillId="19" borderId="20" xfId="120" applyNumberFormat="1" applyFont="1" applyFill="1" applyBorder="1" applyAlignment="1">
      <alignment horizontal="center" vertical="center" wrapText="1"/>
    </xf>
    <xf numFmtId="9" fontId="4" fillId="19" borderId="48" xfId="148" applyFont="1" applyFill="1" applyBorder="1" applyAlignment="1">
      <alignment horizontal="center" wrapText="1"/>
    </xf>
    <xf numFmtId="3" fontId="48" fillId="25" borderId="2" xfId="120" applyNumberFormat="1" applyFont="1" applyFill="1" applyBorder="1"/>
    <xf numFmtId="3" fontId="48" fillId="27" borderId="1" xfId="120" applyNumberFormat="1" applyFont="1" applyFill="1" applyBorder="1"/>
    <xf numFmtId="3" fontId="4" fillId="19" borderId="47" xfId="120" applyNumberFormat="1" applyFont="1" applyFill="1" applyBorder="1" applyAlignment="1">
      <alignment horizontal="center"/>
    </xf>
    <xf numFmtId="3" fontId="52" fillId="19" borderId="47" xfId="109" applyNumberFormat="1" applyFont="1" applyFill="1" applyBorder="1" applyAlignment="1">
      <alignment horizontal="center"/>
    </xf>
    <xf numFmtId="10" fontId="4" fillId="19" borderId="46" xfId="148" applyNumberFormat="1" applyFont="1" applyFill="1" applyBorder="1" applyAlignment="1">
      <alignment horizontal="center" wrapText="1"/>
    </xf>
    <xf numFmtId="3" fontId="4" fillId="19" borderId="22" xfId="120" applyNumberFormat="1" applyFont="1" applyFill="1" applyBorder="1" applyAlignment="1">
      <alignment horizontal="center"/>
    </xf>
    <xf numFmtId="0" fontId="4" fillId="28" borderId="20" xfId="120" applyFont="1" applyFill="1" applyBorder="1" applyAlignment="1">
      <alignment horizontal="center" vertical="center"/>
    </xf>
    <xf numFmtId="0" fontId="4" fillId="28" borderId="46" xfId="120" applyFont="1" applyFill="1" applyBorder="1" applyAlignment="1">
      <alignment horizontal="center" vertical="center"/>
    </xf>
    <xf numFmtId="3" fontId="4" fillId="28" borderId="45" xfId="120" applyNumberFormat="1" applyFont="1" applyFill="1" applyBorder="1" applyAlignment="1">
      <alignment horizontal="center" vertical="center"/>
    </xf>
    <xf numFmtId="3" fontId="4" fillId="28" borderId="46" xfId="120" applyNumberFormat="1" applyFont="1" applyFill="1" applyBorder="1" applyAlignment="1">
      <alignment horizontal="center" vertical="center"/>
    </xf>
    <xf numFmtId="3" fontId="4" fillId="28" borderId="46" xfId="120" applyNumberFormat="1" applyFont="1" applyFill="1" applyBorder="1" applyAlignment="1">
      <alignment horizontal="center" vertical="center" wrapText="1"/>
    </xf>
    <xf numFmtId="0" fontId="4" fillId="28" borderId="51" xfId="120" applyFont="1" applyFill="1" applyBorder="1" applyAlignment="1">
      <alignment horizontal="right"/>
    </xf>
    <xf numFmtId="3" fontId="4" fillId="28" borderId="19" xfId="120" applyNumberFormat="1" applyFont="1" applyFill="1" applyBorder="1" applyAlignment="1">
      <alignment horizontal="center"/>
    </xf>
    <xf numFmtId="3" fontId="4" fillId="28" borderId="17" xfId="120" applyNumberFormat="1" applyFont="1" applyFill="1" applyBorder="1" applyAlignment="1">
      <alignment horizontal="center"/>
    </xf>
    <xf numFmtId="9" fontId="4" fillId="28" borderId="19" xfId="148" applyFont="1" applyFill="1" applyBorder="1" applyAlignment="1">
      <alignment horizontal="center"/>
    </xf>
    <xf numFmtId="3" fontId="4" fillId="28" borderId="51" xfId="120" applyNumberFormat="1" applyFont="1" applyFill="1" applyBorder="1" applyAlignment="1">
      <alignment horizontal="center" vertical="center" wrapText="1"/>
    </xf>
    <xf numFmtId="9" fontId="4" fillId="28" borderId="52" xfId="148" applyFont="1" applyFill="1" applyBorder="1" applyAlignment="1">
      <alignment horizontal="center" wrapText="1"/>
    </xf>
    <xf numFmtId="0" fontId="46" fillId="4" borderId="64" xfId="120" applyFont="1" applyFill="1" applyBorder="1" applyAlignment="1">
      <alignment vertical="center"/>
    </xf>
    <xf numFmtId="3" fontId="48" fillId="27" borderId="2" xfId="120" applyNumberFormat="1" applyFont="1" applyFill="1" applyBorder="1"/>
    <xf numFmtId="3" fontId="4" fillId="28" borderId="18" xfId="120" applyNumberFormat="1" applyFont="1" applyFill="1" applyBorder="1" applyAlignment="1">
      <alignment horizontal="center"/>
    </xf>
    <xf numFmtId="3" fontId="52" fillId="28" borderId="18" xfId="109" applyNumberFormat="1" applyFont="1" applyFill="1" applyBorder="1" applyAlignment="1">
      <alignment horizontal="center"/>
    </xf>
    <xf numFmtId="10" fontId="4" fillId="28" borderId="19" xfId="148" applyNumberFormat="1" applyFont="1" applyFill="1" applyBorder="1" applyAlignment="1">
      <alignment horizontal="center" wrapText="1"/>
    </xf>
    <xf numFmtId="3" fontId="4" fillId="28" borderId="57" xfId="120" applyNumberFormat="1" applyFont="1" applyFill="1" applyBorder="1" applyAlignment="1">
      <alignment horizontal="center"/>
    </xf>
    <xf numFmtId="0" fontId="4" fillId="25" borderId="20" xfId="120" applyFont="1" applyFill="1" applyBorder="1" applyAlignment="1">
      <alignment horizontal="center" vertical="center"/>
    </xf>
    <xf numFmtId="3" fontId="4" fillId="25" borderId="45" xfId="120" applyNumberFormat="1" applyFont="1" applyFill="1" applyBorder="1" applyAlignment="1">
      <alignment horizontal="center" vertical="center"/>
    </xf>
    <xf numFmtId="3" fontId="4" fillId="25" borderId="46" xfId="120" applyNumberFormat="1" applyFont="1" applyFill="1" applyBorder="1" applyAlignment="1">
      <alignment horizontal="center" vertical="center"/>
    </xf>
    <xf numFmtId="3" fontId="4" fillId="25" borderId="21" xfId="120" applyNumberFormat="1" applyFont="1" applyFill="1" applyBorder="1" applyAlignment="1">
      <alignment horizontal="center" vertical="center" wrapText="1"/>
    </xf>
    <xf numFmtId="3" fontId="4" fillId="25" borderId="20" xfId="120" applyNumberFormat="1" applyFont="1" applyFill="1" applyBorder="1" applyAlignment="1">
      <alignment horizontal="center" vertical="center" wrapText="1"/>
    </xf>
    <xf numFmtId="3" fontId="4" fillId="25" borderId="48" xfId="120" applyNumberFormat="1" applyFont="1" applyFill="1" applyBorder="1" applyAlignment="1">
      <alignment horizontal="center" vertical="center" wrapText="1"/>
    </xf>
    <xf numFmtId="3" fontId="4" fillId="25" borderId="47" xfId="120" applyNumberFormat="1" applyFont="1" applyFill="1" applyBorder="1" applyAlignment="1">
      <alignment horizontal="center" vertical="center" wrapText="1"/>
    </xf>
    <xf numFmtId="0" fontId="4" fillId="4" borderId="59" xfId="120" applyFont="1" applyFill="1" applyBorder="1"/>
    <xf numFmtId="9" fontId="44" fillId="4" borderId="50" xfId="148" applyFill="1" applyBorder="1" applyAlignment="1">
      <alignment horizontal="center"/>
    </xf>
    <xf numFmtId="3" fontId="44" fillId="4" borderId="9" xfId="120" applyNumberFormat="1" applyFill="1" applyBorder="1" applyAlignment="1">
      <alignment wrapText="1"/>
    </xf>
    <xf numFmtId="3" fontId="44" fillId="4" borderId="59" xfId="120" applyNumberFormat="1" applyFill="1" applyBorder="1"/>
    <xf numFmtId="9" fontId="44" fillId="4" borderId="8" xfId="148" applyFill="1" applyBorder="1" applyAlignment="1">
      <alignment horizontal="center" wrapText="1"/>
    </xf>
    <xf numFmtId="9" fontId="44" fillId="4" borderId="16" xfId="148" applyFill="1" applyBorder="1" applyAlignment="1">
      <alignment horizontal="center"/>
    </xf>
    <xf numFmtId="3" fontId="44" fillId="4" borderId="37" xfId="120" applyNumberFormat="1" applyFill="1" applyBorder="1" applyAlignment="1">
      <alignment wrapText="1"/>
    </xf>
    <xf numFmtId="3" fontId="44" fillId="4" borderId="54" xfId="120" applyNumberFormat="1" applyFill="1" applyBorder="1"/>
    <xf numFmtId="9" fontId="44" fillId="4" borderId="14" xfId="148" applyFill="1" applyBorder="1" applyAlignment="1">
      <alignment horizontal="center" wrapText="1"/>
    </xf>
    <xf numFmtId="3" fontId="44" fillId="19" borderId="2" xfId="120" applyNumberFormat="1" applyFill="1" applyBorder="1"/>
    <xf numFmtId="0" fontId="4" fillId="4" borderId="60" xfId="120" applyFont="1" applyFill="1" applyBorder="1"/>
    <xf numFmtId="3" fontId="44" fillId="4" borderId="62" xfId="120" applyNumberFormat="1" applyFill="1" applyBorder="1"/>
    <xf numFmtId="9" fontId="44" fillId="4" borderId="61" xfId="148" applyFill="1" applyBorder="1" applyAlignment="1">
      <alignment horizontal="center"/>
    </xf>
    <xf numFmtId="3" fontId="44" fillId="4" borderId="4" xfId="120" applyNumberFormat="1" applyFill="1" applyBorder="1" applyAlignment="1">
      <alignment wrapText="1"/>
    </xf>
    <xf numFmtId="3" fontId="44" fillId="4" borderId="60" xfId="120" applyNumberFormat="1" applyFill="1" applyBorder="1"/>
    <xf numFmtId="9" fontId="44" fillId="4" borderId="3" xfId="148" applyFill="1" applyBorder="1" applyAlignment="1">
      <alignment horizontal="center" wrapText="1"/>
    </xf>
    <xf numFmtId="3" fontId="44" fillId="19" borderId="31" xfId="120" applyNumberFormat="1" applyFill="1" applyBorder="1"/>
    <xf numFmtId="0" fontId="4" fillId="25" borderId="20" xfId="120" applyFont="1" applyFill="1" applyBorder="1" applyAlignment="1">
      <alignment horizontal="left"/>
    </xf>
    <xf numFmtId="3" fontId="4" fillId="25" borderId="45" xfId="120" applyNumberFormat="1" applyFont="1" applyFill="1" applyBorder="1" applyAlignment="1">
      <alignment horizontal="center"/>
    </xf>
    <xf numFmtId="9" fontId="4" fillId="25" borderId="46" xfId="148" applyFont="1" applyFill="1" applyBorder="1" applyAlignment="1">
      <alignment horizontal="center"/>
    </xf>
    <xf numFmtId="3" fontId="4" fillId="25" borderId="20" xfId="120" applyNumberFormat="1" applyFont="1" applyFill="1" applyBorder="1" applyAlignment="1">
      <alignment horizontal="center"/>
    </xf>
    <xf numFmtId="9" fontId="4" fillId="25" borderId="48" xfId="148" applyFont="1" applyFill="1" applyBorder="1" applyAlignment="1">
      <alignment horizontal="center" wrapText="1"/>
    </xf>
    <xf numFmtId="3" fontId="4" fillId="25" borderId="47" xfId="120" applyNumberFormat="1" applyFont="1" applyFill="1" applyBorder="1" applyAlignment="1">
      <alignment horizontal="center"/>
    </xf>
    <xf numFmtId="0" fontId="45" fillId="4" borderId="64" xfId="120" applyFont="1" applyFill="1" applyBorder="1" applyAlignment="1">
      <alignment vertical="center"/>
    </xf>
    <xf numFmtId="3" fontId="4" fillId="25" borderId="65" xfId="120" applyNumberFormat="1" applyFont="1" applyFill="1" applyBorder="1" applyAlignment="1">
      <alignment horizontal="center" vertical="center" wrapText="1"/>
    </xf>
    <xf numFmtId="3" fontId="4" fillId="29" borderId="47" xfId="120" applyNumberFormat="1" applyFont="1" applyFill="1" applyBorder="1" applyAlignment="1">
      <alignment horizontal="center" vertical="center" wrapText="1"/>
    </xf>
    <xf numFmtId="0" fontId="4" fillId="25" borderId="22" xfId="120" applyFont="1" applyFill="1" applyBorder="1" applyAlignment="1">
      <alignment horizontal="center" vertical="center" wrapText="1"/>
    </xf>
    <xf numFmtId="3" fontId="44" fillId="4" borderId="10" xfId="120" applyNumberFormat="1" applyFill="1" applyBorder="1"/>
    <xf numFmtId="3" fontId="49" fillId="11" borderId="1" xfId="109" applyNumberFormat="1" applyFill="1" applyBorder="1" applyAlignment="1">
      <alignment horizontal="center"/>
    </xf>
    <xf numFmtId="10" fontId="4" fillId="4" borderId="1" xfId="148" applyNumberFormat="1" applyFont="1" applyFill="1" applyBorder="1" applyAlignment="1">
      <alignment horizontal="center" wrapText="1"/>
    </xf>
    <xf numFmtId="3" fontId="44" fillId="4" borderId="55" xfId="120" applyNumberFormat="1" applyFill="1" applyBorder="1"/>
    <xf numFmtId="3" fontId="44" fillId="4" borderId="36" xfId="120" applyNumberFormat="1" applyFill="1" applyBorder="1"/>
    <xf numFmtId="3" fontId="49" fillId="11" borderId="2" xfId="109" applyNumberFormat="1" applyFill="1" applyBorder="1" applyAlignment="1">
      <alignment horizontal="center"/>
    </xf>
    <xf numFmtId="10" fontId="4" fillId="4" borderId="2" xfId="148" applyNumberFormat="1" applyFont="1" applyFill="1" applyBorder="1" applyAlignment="1">
      <alignment horizontal="center" wrapText="1"/>
    </xf>
    <xf numFmtId="3" fontId="44" fillId="4" borderId="56" xfId="120" applyNumberFormat="1" applyFill="1" applyBorder="1"/>
    <xf numFmtId="3" fontId="44" fillId="4" borderId="5" xfId="120" applyNumberFormat="1" applyFill="1" applyBorder="1"/>
    <xf numFmtId="3" fontId="49" fillId="11" borderId="31" xfId="109" applyNumberFormat="1" applyFill="1" applyBorder="1" applyAlignment="1">
      <alignment horizontal="center"/>
    </xf>
    <xf numFmtId="10" fontId="4" fillId="4" borderId="18" xfId="148" applyNumberFormat="1" applyFont="1" applyFill="1" applyBorder="1" applyAlignment="1">
      <alignment horizontal="center" wrapText="1"/>
    </xf>
    <xf numFmtId="3" fontId="44" fillId="4" borderId="63" xfId="120" applyNumberFormat="1" applyFill="1" applyBorder="1"/>
    <xf numFmtId="3" fontId="4" fillId="25" borderId="65" xfId="120" applyNumberFormat="1" applyFont="1" applyFill="1" applyBorder="1" applyAlignment="1">
      <alignment horizontal="center"/>
    </xf>
    <xf numFmtId="3" fontId="52" fillId="25" borderId="46" xfId="109" applyNumberFormat="1" applyFont="1" applyFill="1" applyBorder="1" applyAlignment="1">
      <alignment horizontal="center"/>
    </xf>
    <xf numFmtId="10" fontId="4" fillId="0" borderId="0" xfId="148" applyNumberFormat="1" applyFont="1" applyFill="1" applyBorder="1" applyAlignment="1">
      <alignment horizontal="center" wrapText="1"/>
    </xf>
    <xf numFmtId="3" fontId="4" fillId="25" borderId="66" xfId="120" applyNumberFormat="1" applyFont="1" applyFill="1" applyBorder="1" applyAlignment="1">
      <alignment horizontal="center"/>
    </xf>
    <xf numFmtId="0" fontId="53" fillId="4" borderId="0" xfId="120" applyFont="1" applyFill="1"/>
    <xf numFmtId="3" fontId="53" fillId="4" borderId="0" xfId="148" applyNumberFormat="1" applyFont="1" applyFill="1" applyAlignment="1">
      <alignment horizontal="center" vertical="center" wrapText="1"/>
    </xf>
    <xf numFmtId="10" fontId="53" fillId="4" borderId="0" xfId="148" applyNumberFormat="1" applyFont="1" applyFill="1" applyAlignment="1">
      <alignment horizontal="center" vertical="center" wrapText="1"/>
    </xf>
    <xf numFmtId="9" fontId="53" fillId="4" borderId="0" xfId="120" applyNumberFormat="1" applyFont="1" applyFill="1"/>
    <xf numFmtId="3" fontId="44" fillId="4" borderId="0" xfId="147" applyNumberFormat="1" applyFont="1" applyFill="1"/>
    <xf numFmtId="3" fontId="53" fillId="4" borderId="0" xfId="147" applyNumberFormat="1" applyFont="1" applyFill="1"/>
    <xf numFmtId="3" fontId="44" fillId="4" borderId="0" xfId="8" applyNumberFormat="1" applyFont="1" applyFill="1"/>
    <xf numFmtId="3" fontId="54" fillId="4" borderId="67" xfId="109" applyNumberFormat="1" applyFont="1" applyFill="1" applyBorder="1" applyAlignment="1">
      <alignment horizontal="right" wrapText="1" readingOrder="1"/>
    </xf>
    <xf numFmtId="10" fontId="54" fillId="4" borderId="68" xfId="109" applyNumberFormat="1" applyFont="1" applyFill="1" applyBorder="1" applyAlignment="1">
      <alignment horizontal="center" wrapText="1" readingOrder="1"/>
    </xf>
    <xf numFmtId="171" fontId="53" fillId="4" borderId="0" xfId="64" applyNumberFormat="1" applyFont="1" applyFill="1"/>
    <xf numFmtId="43" fontId="53" fillId="4" borderId="0" xfId="64" applyFont="1" applyFill="1"/>
    <xf numFmtId="9" fontId="44" fillId="4" borderId="0" xfId="120" applyNumberFormat="1" applyFill="1"/>
    <xf numFmtId="3" fontId="53" fillId="4" borderId="0" xfId="120" applyNumberFormat="1" applyFont="1" applyFill="1"/>
    <xf numFmtId="3" fontId="44" fillId="4" borderId="0" xfId="147" applyNumberFormat="1" applyFont="1" applyFill="1" applyAlignment="1">
      <alignment wrapText="1"/>
    </xf>
    <xf numFmtId="9" fontId="53" fillId="4" borderId="0" xfId="147" applyFont="1" applyFill="1"/>
    <xf numFmtId="10" fontId="44" fillId="4" borderId="0" xfId="147" applyNumberFormat="1" applyFont="1" applyFill="1"/>
    <xf numFmtId="0" fontId="4" fillId="4" borderId="0" xfId="120" applyFont="1" applyFill="1"/>
    <xf numFmtId="0" fontId="55" fillId="4" borderId="2" xfId="120" applyFont="1" applyFill="1" applyBorder="1" applyAlignment="1">
      <alignment vertical="center" wrapText="1"/>
    </xf>
    <xf numFmtId="3" fontId="56" fillId="4" borderId="2" xfId="120" applyNumberFormat="1" applyFont="1" applyFill="1" applyBorder="1" applyAlignment="1">
      <alignment horizontal="center" vertical="center" wrapText="1"/>
    </xf>
    <xf numFmtId="0" fontId="56" fillId="4" borderId="2" xfId="120" applyFont="1" applyFill="1" applyBorder="1" applyAlignment="1">
      <alignment horizontal="center" vertical="center" wrapText="1"/>
    </xf>
    <xf numFmtId="0" fontId="44" fillId="4" borderId="6" xfId="120" applyFill="1" applyBorder="1"/>
    <xf numFmtId="0" fontId="56" fillId="4" borderId="2" xfId="120" applyFont="1" applyFill="1" applyBorder="1"/>
    <xf numFmtId="3" fontId="44" fillId="4" borderId="2" xfId="120" applyNumberFormat="1" applyFill="1" applyBorder="1" applyAlignment="1">
      <alignment vertical="center"/>
    </xf>
    <xf numFmtId="170" fontId="44" fillId="4" borderId="2" xfId="8" applyNumberFormat="1" applyFont="1" applyFill="1" applyBorder="1" applyAlignment="1">
      <alignment vertical="center" wrapText="1"/>
    </xf>
    <xf numFmtId="170" fontId="44" fillId="4" borderId="2" xfId="8" applyNumberFormat="1" applyFont="1" applyFill="1" applyBorder="1"/>
    <xf numFmtId="166" fontId="4" fillId="4" borderId="6" xfId="120" applyNumberFormat="1" applyFont="1" applyFill="1" applyBorder="1"/>
    <xf numFmtId="10" fontId="4" fillId="4" borderId="6" xfId="8" applyNumberFormat="1" applyFont="1" applyFill="1" applyBorder="1"/>
    <xf numFmtId="10" fontId="44" fillId="4" borderId="0" xfId="120" applyNumberFormat="1" applyFill="1"/>
    <xf numFmtId="9" fontId="44" fillId="4" borderId="2" xfId="8" applyFont="1" applyFill="1" applyBorder="1"/>
    <xf numFmtId="10" fontId="44" fillId="4" borderId="2" xfId="8" applyNumberFormat="1" applyFont="1" applyFill="1" applyBorder="1" applyAlignment="1">
      <alignment vertical="center" wrapText="1"/>
    </xf>
    <xf numFmtId="10" fontId="44" fillId="4" borderId="0" xfId="8" applyNumberFormat="1" applyFont="1" applyFill="1"/>
    <xf numFmtId="9" fontId="44" fillId="4" borderId="0" xfId="8" applyNumberFormat="1" applyFont="1" applyFill="1"/>
    <xf numFmtId="9" fontId="44" fillId="4" borderId="0" xfId="8" applyFont="1" applyFill="1"/>
    <xf numFmtId="0" fontId="4" fillId="4" borderId="2" xfId="120" applyFont="1" applyFill="1" applyBorder="1" applyAlignment="1">
      <alignment horizontal="center" vertical="center" wrapText="1"/>
    </xf>
    <xf numFmtId="0" fontId="4" fillId="4" borderId="2" xfId="120" applyFont="1" applyFill="1" applyBorder="1"/>
    <xf numFmtId="166" fontId="44" fillId="4" borderId="2" xfId="120" applyNumberFormat="1" applyFill="1" applyBorder="1" applyAlignment="1">
      <alignment vertical="center"/>
    </xf>
    <xf numFmtId="0" fontId="44" fillId="4" borderId="0" xfId="120" applyNumberFormat="1" applyFill="1"/>
    <xf numFmtId="166" fontId="44" fillId="4" borderId="2" xfId="120" applyNumberFormat="1" applyFill="1" applyBorder="1"/>
    <xf numFmtId="3" fontId="44" fillId="4" borderId="0" xfId="8" applyNumberFormat="1" applyFont="1" applyFill="1" applyBorder="1"/>
    <xf numFmtId="166" fontId="44" fillId="4" borderId="0" xfId="120" applyNumberFormat="1" applyFill="1"/>
    <xf numFmtId="170" fontId="44" fillId="4" borderId="0" xfId="8" applyNumberFormat="1" applyFont="1" applyFill="1"/>
    <xf numFmtId="0" fontId="6" fillId="0" borderId="0" xfId="0" applyFont="1" applyAlignment="1">
      <alignment horizontal="center"/>
    </xf>
    <xf numFmtId="0" fontId="2" fillId="51" borderId="2" xfId="0" applyFont="1" applyFill="1" applyBorder="1" applyAlignment="1">
      <alignment horizontal="center"/>
    </xf>
    <xf numFmtId="0" fontId="2" fillId="51" borderId="14" xfId="0" applyFont="1" applyFill="1" applyBorder="1" applyAlignment="1">
      <alignment horizontal="center"/>
    </xf>
    <xf numFmtId="0" fontId="2" fillId="51" borderId="2" xfId="0" applyFont="1" applyFill="1" applyBorder="1" applyAlignment="1">
      <alignment horizontal="left"/>
    </xf>
    <xf numFmtId="0" fontId="2" fillId="51" borderId="0" xfId="0" applyFont="1" applyFill="1" applyBorder="1" applyAlignment="1">
      <alignment horizontal="left"/>
    </xf>
    <xf numFmtId="0" fontId="2" fillId="51" borderId="17" xfId="0" applyFont="1" applyFill="1" applyBorder="1" applyAlignment="1">
      <alignment wrapText="1"/>
    </xf>
    <xf numFmtId="3" fontId="2" fillId="51" borderId="18" xfId="0" applyNumberFormat="1" applyFont="1" applyFill="1" applyBorder="1" applyAlignment="1">
      <alignment horizontal="center"/>
    </xf>
    <xf numFmtId="0" fontId="2" fillId="51" borderId="19" xfId="0" applyFont="1" applyFill="1" applyBorder="1" applyAlignment="1">
      <alignment horizontal="center" wrapText="1"/>
    </xf>
    <xf numFmtId="0" fontId="2" fillId="51" borderId="0" xfId="0" applyFont="1" applyFill="1" applyBorder="1"/>
    <xf numFmtId="0" fontId="2" fillId="51" borderId="17" xfId="0" applyFont="1" applyFill="1" applyBorder="1" applyAlignment="1">
      <alignment horizontal="center" wrapText="1"/>
    </xf>
    <xf numFmtId="168" fontId="0" fillId="51" borderId="30" xfId="0" applyNumberFormat="1" applyFill="1" applyBorder="1" applyAlignment="1">
      <alignment wrapText="1"/>
    </xf>
    <xf numFmtId="0" fontId="0" fillId="0" borderId="0" xfId="0" pivotButton="1"/>
    <xf numFmtId="0" fontId="0" fillId="0" borderId="4" xfId="0" pivotButton="1" applyBorder="1"/>
    <xf numFmtId="0" fontId="0" fillId="0" borderId="6" xfId="0" pivotButton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168" fontId="0" fillId="0" borderId="0" xfId="0" applyNumberFormat="1" applyFill="1" applyBorder="1" applyAlignment="1">
      <alignment wrapText="1"/>
    </xf>
    <xf numFmtId="0" fontId="2" fillId="0" borderId="0" xfId="0" applyFont="1" applyFill="1"/>
    <xf numFmtId="9" fontId="12" fillId="0" borderId="2" xfId="0" applyNumberFormat="1" applyFont="1" applyFill="1" applyBorder="1" applyAlignment="1">
      <alignment horizontal="left" wrapText="1"/>
    </xf>
    <xf numFmtId="0" fontId="10" fillId="8" borderId="2" xfId="97" applyFont="1" applyFill="1" applyBorder="1" applyAlignment="1">
      <alignment horizontal="center" vertical="center"/>
    </xf>
    <xf numFmtId="0" fontId="31" fillId="8" borderId="31" xfId="0" applyFont="1" applyFill="1" applyBorder="1" applyAlignment="1">
      <alignment horizontal="center" vertical="center"/>
    </xf>
    <xf numFmtId="0" fontId="88" fillId="0" borderId="0" xfId="0" applyFont="1"/>
    <xf numFmtId="0" fontId="31" fillId="8" borderId="5" xfId="0" applyFont="1" applyFill="1" applyBorder="1" applyAlignment="1">
      <alignment horizontal="center" vertical="center"/>
    </xf>
    <xf numFmtId="0" fontId="31" fillId="8" borderId="2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9" fillId="4" borderId="0" xfId="97" applyFont="1" applyFill="1" applyBorder="1" applyAlignment="1">
      <alignment horizontal="center" vertical="center" wrapText="1"/>
    </xf>
    <xf numFmtId="0" fontId="10" fillId="4" borderId="0" xfId="97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left" wrapText="1"/>
    </xf>
    <xf numFmtId="0" fontId="13" fillId="4" borderId="0" xfId="0" applyFont="1" applyFill="1" applyBorder="1" applyAlignment="1">
      <alignment wrapText="1"/>
    </xf>
    <xf numFmtId="0" fontId="13" fillId="4" borderId="0" xfId="0" applyFont="1" applyFill="1" applyBorder="1" applyAlignment="1">
      <alignment horizontal="center" wrapText="1"/>
    </xf>
    <xf numFmtId="0" fontId="13" fillId="4" borderId="0" xfId="0" applyFont="1" applyFill="1" applyBorder="1" applyAlignment="1">
      <alignment horizontal="left" wrapText="1"/>
    </xf>
    <xf numFmtId="0" fontId="13" fillId="4" borderId="0" xfId="0" applyFont="1" applyFill="1" applyAlignment="1">
      <alignment wrapText="1"/>
    </xf>
    <xf numFmtId="0" fontId="13" fillId="4" borderId="0" xfId="0" applyFont="1" applyFill="1" applyAlignment="1">
      <alignment horizontal="center" wrapText="1"/>
    </xf>
    <xf numFmtId="0" fontId="13" fillId="4" borderId="0" xfId="0" applyFont="1" applyFill="1" applyAlignment="1">
      <alignment horizontal="left" wrapText="1"/>
    </xf>
    <xf numFmtId="3" fontId="9" fillId="4" borderId="0" xfId="5" applyNumberFormat="1" applyFont="1" applyFill="1" applyBorder="1" applyAlignment="1">
      <alignment horizontal="center" vertical="center" wrapText="1"/>
    </xf>
    <xf numFmtId="0" fontId="20" fillId="13" borderId="77" xfId="0" applyFont="1" applyFill="1" applyBorder="1" applyAlignment="1" applyProtection="1">
      <alignment vertical="center" wrapText="1"/>
      <protection locked="0"/>
    </xf>
    <xf numFmtId="3" fontId="20" fillId="13" borderId="77" xfId="97" applyNumberFormat="1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vertical="center"/>
    </xf>
    <xf numFmtId="0" fontId="10" fillId="8" borderId="2" xfId="0" applyFont="1" applyFill="1" applyBorder="1" applyAlignment="1" applyProtection="1">
      <alignment vertical="center"/>
      <protection locked="0"/>
    </xf>
    <xf numFmtId="3" fontId="10" fillId="8" borderId="2" xfId="97" applyNumberFormat="1" applyFont="1" applyFill="1" applyBorder="1" applyAlignment="1">
      <alignment horizontal="center" vertical="center" wrapText="1"/>
    </xf>
    <xf numFmtId="0" fontId="10" fillId="8" borderId="2" xfId="97" applyFont="1" applyFill="1" applyBorder="1" applyAlignment="1">
      <alignment horizontal="left" vertical="center"/>
    </xf>
    <xf numFmtId="0" fontId="10" fillId="8" borderId="2" xfId="0" applyFont="1" applyFill="1" applyBorder="1" applyAlignment="1">
      <alignment horizontal="center"/>
    </xf>
    <xf numFmtId="0" fontId="10" fillId="8" borderId="1" xfId="97" applyFont="1" applyFill="1" applyBorder="1" applyAlignment="1">
      <alignment horizontal="left" vertical="center"/>
    </xf>
    <xf numFmtId="0" fontId="10" fillId="8" borderId="2" xfId="0" applyNumberFormat="1" applyFont="1" applyFill="1" applyBorder="1" applyAlignment="1">
      <alignment horizontal="center" vertical="center" wrapText="1"/>
    </xf>
    <xf numFmtId="1" fontId="12" fillId="8" borderId="26" xfId="0" applyNumberFormat="1" applyFont="1" applyFill="1" applyBorder="1" applyAlignment="1">
      <alignment horizontal="center"/>
    </xf>
    <xf numFmtId="168" fontId="12" fillId="8" borderId="35" xfId="0" applyNumberFormat="1" applyFont="1" applyFill="1" applyBorder="1" applyAlignment="1"/>
    <xf numFmtId="3" fontId="10" fillId="8" borderId="77" xfId="1" applyNumberFormat="1" applyFont="1" applyFill="1" applyBorder="1" applyAlignment="1" applyProtection="1">
      <alignment horizontal="center" vertical="top" wrapText="1"/>
      <protection locked="0"/>
    </xf>
    <xf numFmtId="0" fontId="10" fillId="8" borderId="2" xfId="0" applyFont="1" applyFill="1" applyBorder="1" applyAlignment="1" applyProtection="1">
      <alignment horizontal="left" vertical="center"/>
      <protection locked="0"/>
    </xf>
    <xf numFmtId="3" fontId="10" fillId="8" borderId="2" xfId="1" applyNumberFormat="1" applyFont="1" applyFill="1" applyBorder="1" applyAlignment="1" applyProtection="1">
      <alignment horizontal="center" vertical="top" wrapText="1"/>
      <protection locked="0"/>
    </xf>
    <xf numFmtId="168" fontId="12" fillId="8" borderId="26" xfId="0" applyNumberFormat="1" applyFont="1" applyFill="1" applyBorder="1" applyAlignment="1"/>
    <xf numFmtId="3" fontId="10" fillId="8" borderId="77" xfId="1" applyNumberFormat="1" applyFont="1" applyFill="1" applyBorder="1" applyAlignment="1">
      <alignment horizontal="center" vertical="top" wrapText="1"/>
    </xf>
    <xf numFmtId="0" fontId="10" fillId="8" borderId="2" xfId="97" applyFont="1" applyFill="1" applyBorder="1" applyAlignment="1" applyProtection="1">
      <alignment horizontal="left" vertical="center" wrapText="1"/>
      <protection locked="0"/>
    </xf>
    <xf numFmtId="3" fontId="14" fillId="8" borderId="0" xfId="0" applyNumberFormat="1" applyFont="1" applyFill="1" applyAlignment="1">
      <alignment horizontal="center" vertical="center" wrapText="1"/>
    </xf>
    <xf numFmtId="49" fontId="31" fillId="8" borderId="2" xfId="0" applyNumberFormat="1" applyFont="1" applyFill="1" applyBorder="1" applyAlignment="1">
      <alignment horizontal="center" vertical="center" wrapText="1"/>
    </xf>
    <xf numFmtId="3" fontId="31" fillId="8" borderId="2" xfId="0" applyNumberFormat="1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31" fillId="0" borderId="31" xfId="0" applyFont="1" applyFill="1" applyBorder="1" applyAlignment="1">
      <alignment horizontal="center" vertical="center"/>
    </xf>
    <xf numFmtId="0" fontId="10" fillId="0" borderId="2" xfId="97" applyFont="1" applyFill="1" applyBorder="1" applyAlignment="1">
      <alignment horizontal="right" vertical="center" wrapText="1"/>
    </xf>
    <xf numFmtId="49" fontId="31" fillId="0" borderId="2" xfId="0" applyNumberFormat="1" applyFont="1" applyFill="1" applyBorder="1" applyAlignment="1">
      <alignment horizontal="center" vertical="center" wrapText="1"/>
    </xf>
    <xf numFmtId="3" fontId="31" fillId="0" borderId="2" xfId="0" applyNumberFormat="1" applyFont="1" applyFill="1" applyBorder="1" applyAlignment="1">
      <alignment horizontal="center" vertical="center" wrapText="1"/>
    </xf>
    <xf numFmtId="0" fontId="12" fillId="0" borderId="77" xfId="0" applyFont="1" applyFill="1" applyBorder="1" applyAlignment="1">
      <alignment horizontal="center"/>
    </xf>
    <xf numFmtId="0" fontId="12" fillId="0" borderId="77" xfId="0" applyFont="1" applyFill="1" applyBorder="1" applyAlignment="1">
      <alignment horizontal="left"/>
    </xf>
    <xf numFmtId="0" fontId="12" fillId="0" borderId="77" xfId="0" applyFont="1" applyFill="1" applyBorder="1"/>
    <xf numFmtId="3" fontId="12" fillId="0" borderId="77" xfId="0" applyNumberFormat="1" applyFont="1" applyFill="1" applyBorder="1" applyAlignment="1">
      <alignment horizontal="left"/>
    </xf>
    <xf numFmtId="3" fontId="12" fillId="0" borderId="77" xfId="0" applyNumberFormat="1" applyFont="1" applyFill="1" applyBorder="1" applyAlignment="1">
      <alignment horizontal="center"/>
    </xf>
    <xf numFmtId="3" fontId="12" fillId="0" borderId="77" xfId="0" applyNumberFormat="1" applyFont="1" applyFill="1" applyBorder="1" applyAlignment="1">
      <alignment horizontal="center" wrapText="1"/>
    </xf>
    <xf numFmtId="0" fontId="12" fillId="0" borderId="77" xfId="0" applyFont="1" applyFill="1" applyBorder="1" applyAlignment="1">
      <alignment horizontal="left" wrapText="1"/>
    </xf>
    <xf numFmtId="0" fontId="12" fillId="8" borderId="77" xfId="0" applyFont="1" applyFill="1" applyBorder="1" applyAlignment="1">
      <alignment horizontal="left"/>
    </xf>
    <xf numFmtId="0" fontId="12" fillId="15" borderId="77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0" fillId="5" borderId="0" xfId="0" applyFont="1" applyFill="1" applyBorder="1" applyAlignment="1">
      <alignment horizontal="left"/>
    </xf>
    <xf numFmtId="0" fontId="0" fillId="15" borderId="0" xfId="0" applyFont="1" applyFill="1" applyBorder="1" applyAlignment="1">
      <alignment horizontal="left"/>
    </xf>
    <xf numFmtId="0" fontId="42" fillId="0" borderId="0" xfId="0" applyFont="1" applyFill="1" applyBorder="1" applyAlignment="1">
      <alignment horizontal="left"/>
    </xf>
    <xf numFmtId="0" fontId="29" fillId="0" borderId="77" xfId="0" applyFont="1" applyFill="1" applyBorder="1"/>
    <xf numFmtId="3" fontId="29" fillId="15" borderId="2" xfId="0" applyNumberFormat="1" applyFont="1" applyFill="1" applyBorder="1" applyAlignment="1">
      <alignment horizontal="center"/>
    </xf>
    <xf numFmtId="0" fontId="29" fillId="15" borderId="2" xfId="0" applyFont="1" applyFill="1" applyBorder="1"/>
    <xf numFmtId="0" fontId="12" fillId="0" borderId="77" xfId="0" applyFont="1" applyBorder="1" applyAlignment="1"/>
    <xf numFmtId="3" fontId="12" fillId="0" borderId="77" xfId="0" applyNumberFormat="1" applyFont="1" applyBorder="1" applyAlignment="1">
      <alignment horizontal="center"/>
    </xf>
    <xf numFmtId="3" fontId="10" fillId="0" borderId="77" xfId="1" applyNumberFormat="1" applyFont="1" applyFill="1" applyBorder="1" applyAlignment="1">
      <alignment horizontal="center" vertical="top" wrapText="1"/>
    </xf>
    <xf numFmtId="3" fontId="10" fillId="0" borderId="77" xfId="5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Fill="1" applyBorder="1" applyAlignment="1">
      <alignment horizontal="center" wrapText="1"/>
    </xf>
    <xf numFmtId="168" fontId="12" fillId="0" borderId="0" xfId="0" applyNumberFormat="1" applyFont="1" applyBorder="1" applyAlignment="1"/>
    <xf numFmtId="0" fontId="10" fillId="0" borderId="77" xfId="97" applyFont="1" applyFill="1" applyBorder="1" applyAlignment="1">
      <alignment horizontal="left" vertical="center"/>
    </xf>
    <xf numFmtId="0" fontId="10" fillId="0" borderId="77" xfId="0" applyFont="1" applyFill="1" applyBorder="1" applyAlignment="1" applyProtection="1">
      <alignment vertical="center"/>
      <protection locked="0"/>
    </xf>
    <xf numFmtId="3" fontId="10" fillId="0" borderId="77" xfId="1" applyNumberFormat="1" applyFont="1" applyFill="1" applyBorder="1" applyAlignment="1" applyProtection="1">
      <alignment horizontal="center" vertical="top" wrapText="1"/>
      <protection locked="0"/>
    </xf>
    <xf numFmtId="0" fontId="10" fillId="0" borderId="77" xfId="0" applyFont="1" applyFill="1" applyBorder="1" applyAlignment="1" applyProtection="1">
      <alignment horizontal="left" vertical="center"/>
      <protection locked="0"/>
    </xf>
    <xf numFmtId="0" fontId="31" fillId="0" borderId="31" xfId="0" applyFont="1" applyFill="1" applyBorder="1" applyAlignment="1">
      <alignment horizontal="right" vertical="center" wrapText="1"/>
    </xf>
    <xf numFmtId="0" fontId="8" fillId="4" borderId="0" xfId="0" applyFont="1" applyFill="1" applyBorder="1" applyAlignment="1">
      <alignment horizontal="right" vertical="center"/>
    </xf>
    <xf numFmtId="0" fontId="15" fillId="4" borderId="0" xfId="97" applyFont="1" applyFill="1" applyBorder="1" applyAlignment="1">
      <alignment horizontal="right" vertical="center" wrapText="1"/>
    </xf>
    <xf numFmtId="0" fontId="9" fillId="0" borderId="0" xfId="97" applyFont="1" applyFill="1" applyBorder="1" applyAlignment="1">
      <alignment horizontal="right" vertical="center" wrapText="1"/>
    </xf>
    <xf numFmtId="0" fontId="15" fillId="0" borderId="0" xfId="97" applyFont="1" applyFill="1" applyBorder="1" applyAlignment="1">
      <alignment horizontal="right" vertical="center" wrapText="1"/>
    </xf>
    <xf numFmtId="0" fontId="9" fillId="0" borderId="4" xfId="97" applyFont="1" applyFill="1" applyBorder="1" applyAlignment="1">
      <alignment horizontal="right" vertical="center" wrapText="1"/>
    </xf>
    <xf numFmtId="0" fontId="20" fillId="4" borderId="0" xfId="97" applyFont="1" applyFill="1" applyBorder="1" applyAlignment="1">
      <alignment horizontal="right" vertical="center" wrapText="1"/>
    </xf>
    <xf numFmtId="0" fontId="15" fillId="4" borderId="0" xfId="97" applyFont="1" applyFill="1" applyBorder="1" applyAlignment="1" applyProtection="1">
      <alignment horizontal="right" vertical="center" wrapText="1"/>
      <protection locked="0"/>
    </xf>
    <xf numFmtId="0" fontId="15" fillId="0" borderId="0" xfId="97" applyFont="1" applyFill="1" applyBorder="1" applyAlignment="1" applyProtection="1">
      <alignment horizontal="right" vertical="center" wrapText="1"/>
      <protection locked="0"/>
    </xf>
    <xf numFmtId="0" fontId="12" fillId="0" borderId="2" xfId="0" applyFont="1" applyBorder="1" applyAlignment="1">
      <alignment horizontal="right"/>
    </xf>
    <xf numFmtId="0" fontId="10" fillId="0" borderId="0" xfId="0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 wrapText="1"/>
    </xf>
    <xf numFmtId="0" fontId="13" fillId="0" borderId="0" xfId="0" applyFont="1" applyAlignment="1">
      <alignment horizontal="right" wrapText="1"/>
    </xf>
    <xf numFmtId="0" fontId="31" fillId="0" borderId="2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/>
    </xf>
    <xf numFmtId="0" fontId="11" fillId="0" borderId="0" xfId="97" applyFont="1" applyFill="1" applyBorder="1" applyAlignment="1">
      <alignment horizontal="left" vertical="center" wrapText="1"/>
    </xf>
    <xf numFmtId="0" fontId="11" fillId="0" borderId="4" xfId="97" applyFont="1" applyFill="1" applyBorder="1" applyAlignment="1">
      <alignment horizontal="left" vertical="center" wrapText="1"/>
    </xf>
    <xf numFmtId="0" fontId="10" fillId="0" borderId="0" xfId="97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left" wrapText="1"/>
    </xf>
    <xf numFmtId="3" fontId="10" fillId="0" borderId="77" xfId="97" applyNumberFormat="1" applyFont="1" applyFill="1" applyBorder="1" applyAlignment="1">
      <alignment horizontal="center" vertical="center" wrapText="1"/>
    </xf>
    <xf numFmtId="0" fontId="10" fillId="0" borderId="77" xfId="0" applyFont="1" applyFill="1" applyBorder="1" applyAlignment="1">
      <alignment vertical="center"/>
    </xf>
    <xf numFmtId="0" fontId="8" fillId="0" borderId="3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top"/>
    </xf>
    <xf numFmtId="0" fontId="31" fillId="0" borderId="1" xfId="0" applyFont="1" applyFill="1" applyBorder="1" applyAlignment="1">
      <alignment horizontal="center" vertical="top" wrapText="1"/>
    </xf>
    <xf numFmtId="0" fontId="87" fillId="0" borderId="31" xfId="0" applyFont="1" applyFill="1" applyBorder="1" applyAlignment="1">
      <alignment horizontal="center" vertical="center"/>
    </xf>
    <xf numFmtId="3" fontId="0" fillId="0" borderId="31" xfId="0" applyNumberFormat="1" applyFill="1" applyBorder="1" applyAlignment="1">
      <alignment horizontal="left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vertical="center" wrapText="1"/>
    </xf>
    <xf numFmtId="3" fontId="31" fillId="0" borderId="1" xfId="0" applyNumberFormat="1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10" fillId="0" borderId="77" xfId="97" applyFont="1" applyFill="1" applyBorder="1" applyAlignment="1">
      <alignment horizontal="center" vertical="center" wrapText="1"/>
    </xf>
    <xf numFmtId="0" fontId="10" fillId="0" borderId="77" xfId="97" applyFont="1" applyFill="1" applyBorder="1" applyAlignment="1">
      <alignment horizontal="left" vertical="center" wrapText="1"/>
    </xf>
    <xf numFmtId="3" fontId="44" fillId="4" borderId="2" xfId="147" applyNumberFormat="1" applyFont="1" applyFill="1" applyBorder="1"/>
    <xf numFmtId="0" fontId="2" fillId="0" borderId="2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2" fillId="0" borderId="0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77" xfId="0" applyFont="1" applyFill="1" applyBorder="1" applyAlignment="1">
      <alignment horizontal="center" wrapText="1"/>
    </xf>
    <xf numFmtId="168" fontId="0" fillId="0" borderId="77" xfId="0" applyNumberFormat="1" applyBorder="1" applyAlignment="1">
      <alignment wrapText="1"/>
    </xf>
    <xf numFmtId="3" fontId="4" fillId="4" borderId="2" xfId="120" applyNumberFormat="1" applyFont="1" applyFill="1" applyBorder="1" applyAlignment="1">
      <alignment horizontal="center" vertical="center" wrapText="1"/>
    </xf>
    <xf numFmtId="3" fontId="4" fillId="4" borderId="2" xfId="120" applyNumberFormat="1" applyFont="1" applyFill="1" applyBorder="1"/>
    <xf numFmtId="0" fontId="6" fillId="0" borderId="0" xfId="0" applyFont="1" applyAlignment="1">
      <alignment horizontal="center"/>
    </xf>
    <xf numFmtId="3" fontId="5" fillId="0" borderId="24" xfId="0" applyNumberFormat="1" applyFont="1" applyBorder="1" applyAlignment="1">
      <alignment horizontal="center" vertical="center" wrapText="1"/>
    </xf>
    <xf numFmtId="3" fontId="0" fillId="0" borderId="26" xfId="0" applyNumberFormat="1" applyBorder="1"/>
    <xf numFmtId="3" fontId="0" fillId="0" borderId="29" xfId="0" applyNumberFormat="1" applyBorder="1"/>
    <xf numFmtId="3" fontId="6" fillId="0" borderId="0" xfId="0" applyNumberFormat="1" applyFont="1" applyAlignment="1">
      <alignment horizontal="center"/>
    </xf>
    <xf numFmtId="3" fontId="0" fillId="51" borderId="29" xfId="0" applyNumberFormat="1" applyFill="1" applyBorder="1"/>
    <xf numFmtId="3" fontId="1" fillId="0" borderId="77" xfId="0" applyNumberFormat="1" applyFont="1" applyBorder="1" applyAlignment="1">
      <alignment wrapText="1"/>
    </xf>
    <xf numFmtId="3" fontId="0" fillId="0" borderId="77" xfId="0" applyNumberFormat="1" applyBorder="1" applyAlignment="1">
      <alignment wrapText="1"/>
    </xf>
    <xf numFmtId="3" fontId="2" fillId="0" borderId="0" xfId="0" applyNumberFormat="1" applyFont="1"/>
    <xf numFmtId="3" fontId="16" fillId="12" borderId="0" xfId="0" applyNumberFormat="1" applyFont="1" applyFill="1" applyBorder="1" applyAlignment="1">
      <alignment horizontal="center" vertical="center"/>
    </xf>
    <xf numFmtId="3" fontId="35" fillId="12" borderId="0" xfId="0" applyNumberFormat="1" applyFont="1" applyFill="1" applyBorder="1" applyAlignment="1">
      <alignment horizontal="center" vertical="center"/>
    </xf>
    <xf numFmtId="3" fontId="0" fillId="4" borderId="0" xfId="0" applyNumberFormat="1" applyFill="1"/>
    <xf numFmtId="3" fontId="0" fillId="4" borderId="0" xfId="0" applyNumberFormat="1" applyFill="1" applyAlignment="1">
      <alignment vertical="center"/>
    </xf>
    <xf numFmtId="3" fontId="50" fillId="4" borderId="0" xfId="0" applyNumberFormat="1" applyFont="1" applyFill="1"/>
    <xf numFmtId="168" fontId="12" fillId="0" borderId="77" xfId="0" applyNumberFormat="1" applyFont="1" applyBorder="1"/>
    <xf numFmtId="168" fontId="12" fillId="0" borderId="2" xfId="0" applyNumberFormat="1" applyFont="1" applyBorder="1"/>
    <xf numFmtId="168" fontId="12" fillId="0" borderId="78" xfId="0" applyNumberFormat="1" applyFont="1" applyBorder="1" applyAlignment="1"/>
    <xf numFmtId="168" fontId="12" fillId="0" borderId="77" xfId="0" applyNumberFormat="1" applyFont="1" applyBorder="1" applyAlignment="1"/>
    <xf numFmtId="3" fontId="29" fillId="0" borderId="77" xfId="0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3" fontId="16" fillId="0" borderId="0" xfId="0" applyNumberFormat="1" applyFont="1" applyFill="1" applyBorder="1" applyAlignment="1">
      <alignment vertical="center"/>
    </xf>
    <xf numFmtId="0" fontId="12" fillId="0" borderId="0" xfId="0" applyFont="1" applyFill="1" applyAlignment="1">
      <alignment horizontal="left" vertical="center" wrapText="1"/>
    </xf>
    <xf numFmtId="3" fontId="90" fillId="0" borderId="0" xfId="0" applyNumberFormat="1" applyFont="1" applyFill="1" applyBorder="1" applyAlignment="1">
      <alignment vertical="center"/>
    </xf>
    <xf numFmtId="3" fontId="27" fillId="12" borderId="36" xfId="0" applyNumberFormat="1" applyFont="1" applyFill="1" applyBorder="1" applyAlignment="1">
      <alignment vertical="center"/>
    </xf>
    <xf numFmtId="0" fontId="12" fillId="15" borderId="77" xfId="0" applyFont="1" applyFill="1" applyBorder="1"/>
    <xf numFmtId="3" fontId="12" fillId="15" borderId="77" xfId="0" applyNumberFormat="1" applyFont="1" applyFill="1" applyBorder="1" applyAlignment="1">
      <alignment horizontal="center"/>
    </xf>
    <xf numFmtId="3" fontId="12" fillId="15" borderId="77" xfId="0" applyNumberFormat="1" applyFont="1" applyFill="1" applyBorder="1" applyAlignment="1">
      <alignment horizontal="center" wrapText="1"/>
    </xf>
    <xf numFmtId="0" fontId="31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3" fontId="8" fillId="0" borderId="0" xfId="0" applyNumberFormat="1" applyFont="1" applyFill="1" applyBorder="1" applyAlignment="1">
      <alignment horizontal="center" vertical="top" wrapText="1"/>
    </xf>
    <xf numFmtId="3" fontId="31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textRotation="90"/>
    </xf>
    <xf numFmtId="0" fontId="8" fillId="0" borderId="0" xfId="0" applyFont="1" applyFill="1" applyBorder="1" applyAlignment="1">
      <alignment horizontal="center" vertical="top" wrapText="1"/>
    </xf>
    <xf numFmtId="0" fontId="24" fillId="0" borderId="0" xfId="0" applyFont="1" applyFill="1" applyBorder="1" applyAlignment="1">
      <alignment horizontal="center" vertical="center" textRotation="255" wrapText="1"/>
    </xf>
    <xf numFmtId="0" fontId="8" fillId="0" borderId="0" xfId="0" applyFont="1" applyFill="1" applyBorder="1" applyAlignment="1">
      <alignment horizontal="center" vertical="top"/>
    </xf>
    <xf numFmtId="3" fontId="8" fillId="0" borderId="0" xfId="0" applyNumberFormat="1" applyFont="1" applyFill="1" applyBorder="1" applyAlignment="1">
      <alignment horizontal="center" vertical="top"/>
    </xf>
    <xf numFmtId="0" fontId="3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15" borderId="77" xfId="0" applyFont="1" applyFill="1" applyBorder="1" applyAlignment="1">
      <alignment horizontal="center"/>
    </xf>
    <xf numFmtId="3" fontId="12" fillId="15" borderId="77" xfId="0" applyNumberFormat="1" applyFont="1" applyFill="1" applyBorder="1" applyAlignment="1">
      <alignment horizontal="left"/>
    </xf>
    <xf numFmtId="3" fontId="27" fillId="0" borderId="0" xfId="0" applyNumberFormat="1" applyFont="1" applyFill="1" applyBorder="1" applyAlignment="1">
      <alignment vertical="center"/>
    </xf>
    <xf numFmtId="0" fontId="45" fillId="4" borderId="41" xfId="120" applyFont="1" applyFill="1" applyBorder="1" applyAlignment="1">
      <alignment horizontal="center" vertical="center"/>
    </xf>
    <xf numFmtId="0" fontId="45" fillId="4" borderId="42" xfId="120" applyFont="1" applyFill="1" applyBorder="1" applyAlignment="1">
      <alignment horizontal="center" vertical="center"/>
    </xf>
    <xf numFmtId="0" fontId="45" fillId="4" borderId="20" xfId="120" applyFont="1" applyFill="1" applyBorder="1" applyAlignment="1">
      <alignment horizontal="center" vertical="center"/>
    </xf>
    <xf numFmtId="0" fontId="45" fillId="4" borderId="21" xfId="120" applyFont="1" applyFill="1" applyBorder="1" applyAlignment="1">
      <alignment horizontal="center" vertical="center"/>
    </xf>
    <xf numFmtId="0" fontId="45" fillId="4" borderId="22" xfId="120" applyFont="1" applyFill="1" applyBorder="1" applyAlignment="1">
      <alignment horizontal="center" vertical="center"/>
    </xf>
    <xf numFmtId="0" fontId="46" fillId="4" borderId="41" xfId="120" applyFont="1" applyFill="1" applyBorder="1" applyAlignment="1">
      <alignment horizontal="center" vertical="center"/>
    </xf>
    <xf numFmtId="0" fontId="46" fillId="4" borderId="42" xfId="120" applyFont="1" applyFill="1" applyBorder="1" applyAlignment="1">
      <alignment horizontal="center" vertical="center"/>
    </xf>
    <xf numFmtId="0" fontId="46" fillId="4" borderId="43" xfId="120" applyFont="1" applyFill="1" applyBorder="1" applyAlignment="1">
      <alignment horizontal="center" vertical="center"/>
    </xf>
    <xf numFmtId="0" fontId="46" fillId="4" borderId="44" xfId="120" applyFont="1" applyFill="1" applyBorder="1" applyAlignment="1">
      <alignment horizontal="center" vertical="center"/>
    </xf>
    <xf numFmtId="0" fontId="46" fillId="4" borderId="53" xfId="120" applyFont="1" applyFill="1" applyBorder="1" applyAlignment="1">
      <alignment horizontal="center" vertical="center"/>
    </xf>
    <xf numFmtId="0" fontId="46" fillId="4" borderId="11" xfId="120" applyFont="1" applyFill="1" applyBorder="1" applyAlignment="1">
      <alignment horizontal="center"/>
    </xf>
    <xf numFmtId="0" fontId="46" fillId="4" borderId="12" xfId="120" applyFont="1" applyFill="1" applyBorder="1" applyAlignment="1">
      <alignment horizontal="center"/>
    </xf>
    <xf numFmtId="0" fontId="46" fillId="4" borderId="13" xfId="120" applyFont="1" applyFill="1" applyBorder="1" applyAlignment="1">
      <alignment horizontal="center"/>
    </xf>
    <xf numFmtId="0" fontId="46" fillId="4" borderId="20" xfId="120" applyFont="1" applyFill="1" applyBorder="1" applyAlignment="1">
      <alignment horizontal="center"/>
    </xf>
    <xf numFmtId="0" fontId="46" fillId="4" borderId="21" xfId="120" applyFont="1" applyFill="1" applyBorder="1" applyAlignment="1">
      <alignment horizontal="center"/>
    </xf>
    <xf numFmtId="0" fontId="46" fillId="4" borderId="22" xfId="120" applyFont="1" applyFill="1" applyBorder="1" applyAlignment="1">
      <alignment horizontal="center"/>
    </xf>
    <xf numFmtId="0" fontId="45" fillId="4" borderId="41" xfId="120" applyFont="1" applyFill="1" applyBorder="1" applyAlignment="1">
      <alignment horizontal="center"/>
    </xf>
    <xf numFmtId="0" fontId="45" fillId="4" borderId="42" xfId="120" applyFont="1" applyFill="1" applyBorder="1" applyAlignment="1">
      <alignment horizontal="center"/>
    </xf>
    <xf numFmtId="0" fontId="45" fillId="4" borderId="43" xfId="120" applyFont="1" applyFill="1" applyBorder="1" applyAlignment="1">
      <alignment horizontal="center" wrapText="1"/>
    </xf>
    <xf numFmtId="0" fontId="45" fillId="4" borderId="44" xfId="120" applyFont="1" applyFill="1" applyBorder="1" applyAlignment="1">
      <alignment horizontal="center" wrapText="1"/>
    </xf>
    <xf numFmtId="0" fontId="45" fillId="4" borderId="53" xfId="120" applyFont="1" applyFill="1" applyBorder="1" applyAlignment="1">
      <alignment horizontal="center" wrapText="1"/>
    </xf>
    <xf numFmtId="0" fontId="45" fillId="4" borderId="43" xfId="120" applyFont="1" applyFill="1" applyBorder="1" applyAlignment="1">
      <alignment horizontal="center"/>
    </xf>
    <xf numFmtId="0" fontId="45" fillId="4" borderId="44" xfId="120" applyFont="1" applyFill="1" applyBorder="1" applyAlignment="1">
      <alignment horizontal="center"/>
    </xf>
    <xf numFmtId="0" fontId="45" fillId="4" borderId="53" xfId="120" applyFont="1" applyFill="1" applyBorder="1" applyAlignment="1">
      <alignment horizontal="center"/>
    </xf>
    <xf numFmtId="3" fontId="30" fillId="0" borderId="14" xfId="0" applyNumberFormat="1" applyFont="1" applyFill="1" applyBorder="1" applyAlignment="1">
      <alignment horizontal="center" vertical="center"/>
    </xf>
    <xf numFmtId="3" fontId="30" fillId="0" borderId="37" xfId="0" applyNumberFormat="1" applyFont="1" applyFill="1" applyBorder="1" applyAlignment="1">
      <alignment horizontal="center" vertical="center"/>
    </xf>
    <xf numFmtId="3" fontId="30" fillId="0" borderId="36" xfId="0" applyNumberFormat="1" applyFont="1" applyFill="1" applyBorder="1" applyAlignment="1">
      <alignment horizontal="center" vertical="center"/>
    </xf>
    <xf numFmtId="0" fontId="32" fillId="2" borderId="3" xfId="0" applyFont="1" applyFill="1" applyBorder="1" applyAlignment="1">
      <alignment horizontal="center" vertical="center"/>
    </xf>
    <xf numFmtId="0" fontId="32" fillId="2" borderId="4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152">
    <cellStyle name="20% - Accent1" xfId="12"/>
    <cellStyle name="20% - Accent2" xfId="14"/>
    <cellStyle name="20% - Accent3" xfId="16"/>
    <cellStyle name="20% - Accent4" xfId="17"/>
    <cellStyle name="20% - Accent5" xfId="20"/>
    <cellStyle name="20% - Accent6" xfId="4"/>
    <cellStyle name="40% - Accent1" xfId="21"/>
    <cellStyle name="40% - Accent2" xfId="22"/>
    <cellStyle name="40% - Accent3" xfId="7"/>
    <cellStyle name="40% - Accent4" xfId="23"/>
    <cellStyle name="40% - Accent5" xfId="24"/>
    <cellStyle name="40% - Accent6" xfId="25"/>
    <cellStyle name="60% - Accent1" xfId="19"/>
    <cellStyle name="60% - Accent2" xfId="3"/>
    <cellStyle name="60% - Accent3" xfId="27"/>
    <cellStyle name="60% - Accent4" xfId="10"/>
    <cellStyle name="60% - Accent5" xfId="29"/>
    <cellStyle name="60% - Accent6" xfId="30"/>
    <cellStyle name="Accent1" xfId="31"/>
    <cellStyle name="Accent2" xfId="32"/>
    <cellStyle name="Accent3" xfId="33"/>
    <cellStyle name="Accent4" xfId="34"/>
    <cellStyle name="Accent5" xfId="35"/>
    <cellStyle name="Accent6" xfId="36"/>
    <cellStyle name="Bad" xfId="38"/>
    <cellStyle name="Calculation" xfId="39"/>
    <cellStyle name="Check Cell" xfId="40"/>
    <cellStyle name="Euro" xfId="41"/>
    <cellStyle name="Explanatory Text" xfId="42"/>
    <cellStyle name="Good" xfId="44"/>
    <cellStyle name="Heading 1" xfId="45"/>
    <cellStyle name="Heading 2" xfId="46"/>
    <cellStyle name="Heading 3" xfId="47"/>
    <cellStyle name="Heading 4" xfId="48"/>
    <cellStyle name="Hipervínculo 2" xfId="49"/>
    <cellStyle name="Hipervínculo 3" xfId="18"/>
    <cellStyle name="Hipervínculo 4" xfId="2"/>
    <cellStyle name="Hipervínculo 5" xfId="26"/>
    <cellStyle name="Hipervínculo 6" xfId="9"/>
    <cellStyle name="Hipervínculo 7" xfId="28"/>
    <cellStyle name="Hyperlink" xfId="50"/>
    <cellStyle name="Incorrecto 2" xfId="52"/>
    <cellStyle name="Input" xfId="53"/>
    <cellStyle name="Linked Cell" xfId="54"/>
    <cellStyle name="Millares" xfId="5" builtinId="3"/>
    <cellStyle name="Millares [0]" xfId="1" builtinId="6"/>
    <cellStyle name="Millares 10" xfId="55"/>
    <cellStyle name="Millares 2" xfId="56"/>
    <cellStyle name="Millares 2 2" xfId="57"/>
    <cellStyle name="Millares 2 3" xfId="58"/>
    <cellStyle name="Millares 3" xfId="59"/>
    <cellStyle name="Millares 3 2" xfId="60"/>
    <cellStyle name="Millares 4" xfId="61"/>
    <cellStyle name="Millares 5" xfId="62"/>
    <cellStyle name="Millares 6" xfId="37"/>
    <cellStyle name="Millares 7" xfId="63"/>
    <cellStyle name="Millares 8" xfId="64"/>
    <cellStyle name="Millares 9" xfId="65"/>
    <cellStyle name="Moneda [0] 2" xfId="66"/>
    <cellStyle name="Moneda 2" xfId="68"/>
    <cellStyle name="Moneda 2 2" xfId="69"/>
    <cellStyle name="Moneda 3" xfId="70"/>
    <cellStyle name="Moneda 4" xfId="71"/>
    <cellStyle name="Moneda 5" xfId="72"/>
    <cellStyle name="Moneda 6" xfId="73"/>
    <cellStyle name="Moneda 7" xfId="74"/>
    <cellStyle name="Moneda 8" xfId="75"/>
    <cellStyle name="Neutral 2" xfId="78"/>
    <cellStyle name="Normal" xfId="0" builtinId="0"/>
    <cellStyle name="Normal 10" xfId="79"/>
    <cellStyle name="Normal 11" xfId="80"/>
    <cellStyle name="Normal 12" xfId="81"/>
    <cellStyle name="Normal 13" xfId="82"/>
    <cellStyle name="Normal 14" xfId="83"/>
    <cellStyle name="Normal 15" xfId="85"/>
    <cellStyle name="Normal 16" xfId="87"/>
    <cellStyle name="Normal 17" xfId="77"/>
    <cellStyle name="Normal 18" xfId="89"/>
    <cellStyle name="Normal 19" xfId="91"/>
    <cellStyle name="Normal 2" xfId="92"/>
    <cellStyle name="Normal 2 2" xfId="93"/>
    <cellStyle name="Normal 2 2 2" xfId="94"/>
    <cellStyle name="Normal 2 3" xfId="95"/>
    <cellStyle name="Normal 2 3 2" xfId="96"/>
    <cellStyle name="Normal 2 4" xfId="97"/>
    <cellStyle name="Normal 2_FLUJOS AAC- DACG" xfId="98"/>
    <cellStyle name="Normal 20" xfId="84"/>
    <cellStyle name="Normal 21" xfId="86"/>
    <cellStyle name="Normal 22" xfId="76"/>
    <cellStyle name="Normal 23" xfId="88"/>
    <cellStyle name="Normal 24" xfId="90"/>
    <cellStyle name="Normal 25" xfId="100"/>
    <cellStyle name="Normal 26" xfId="102"/>
    <cellStyle name="Normal 27" xfId="104"/>
    <cellStyle name="Normal 28" xfId="106"/>
    <cellStyle name="Normal 29" xfId="108"/>
    <cellStyle name="Normal 3" xfId="109"/>
    <cellStyle name="Normal 3 2" xfId="13"/>
    <cellStyle name="Normal 3 3" xfId="15"/>
    <cellStyle name="Normal 30" xfId="99"/>
    <cellStyle name="Normal 31" xfId="101"/>
    <cellStyle name="Normal 32" xfId="103"/>
    <cellStyle name="Normal 33" xfId="105"/>
    <cellStyle name="Normal 34" xfId="107"/>
    <cellStyle name="Normal 35" xfId="111"/>
    <cellStyle name="Normal 36" xfId="113"/>
    <cellStyle name="Normal 37" xfId="115"/>
    <cellStyle name="Normal 38" xfId="117"/>
    <cellStyle name="Normal 39" xfId="119"/>
    <cellStyle name="Normal 4" xfId="120"/>
    <cellStyle name="Normal 40" xfId="110"/>
    <cellStyle name="Normal 41" xfId="112"/>
    <cellStyle name="Normal 42" xfId="114"/>
    <cellStyle name="Normal 43" xfId="116"/>
    <cellStyle name="Normal 44" xfId="118"/>
    <cellStyle name="Normal 45" xfId="122"/>
    <cellStyle name="Normal 46" xfId="124"/>
    <cellStyle name="Normal 47" xfId="126"/>
    <cellStyle name="Normal 48" xfId="128"/>
    <cellStyle name="Normal 49" xfId="130"/>
    <cellStyle name="Normal 5" xfId="131"/>
    <cellStyle name="Normal 5 2" xfId="11"/>
    <cellStyle name="Normal 50" xfId="121"/>
    <cellStyle name="Normal 51" xfId="123"/>
    <cellStyle name="Normal 52" xfId="125"/>
    <cellStyle name="Normal 53" xfId="127"/>
    <cellStyle name="Normal 54" xfId="129"/>
    <cellStyle name="Normal 55" xfId="133"/>
    <cellStyle name="Normal 56" xfId="6"/>
    <cellStyle name="Normal 57" xfId="43"/>
    <cellStyle name="Normal 58" xfId="134"/>
    <cellStyle name="Normal 58 2" xfId="135"/>
    <cellStyle name="Normal 59" xfId="136"/>
    <cellStyle name="Normal 59 2" xfId="137"/>
    <cellStyle name="Normal 6" xfId="138"/>
    <cellStyle name="Normal 6 2" xfId="139"/>
    <cellStyle name="Normal 60" xfId="132"/>
    <cellStyle name="Normal 7" xfId="140"/>
    <cellStyle name="Normal 8" xfId="141"/>
    <cellStyle name="Normal 9" xfId="142"/>
    <cellStyle name="Notas 2" xfId="143"/>
    <cellStyle name="Note" xfId="51"/>
    <cellStyle name="Output" xfId="144"/>
    <cellStyle name="Porcentaje" xfId="8" builtinId="5"/>
    <cellStyle name="Porcentaje 2" xfId="145"/>
    <cellStyle name="Porcentaje 2 2" xfId="146"/>
    <cellStyle name="Porcentaje 3" xfId="67"/>
    <cellStyle name="Porcentual 2" xfId="147"/>
    <cellStyle name="Porcentual 3" xfId="148"/>
    <cellStyle name="Porcentual 4" xfId="149"/>
    <cellStyle name="Title" xfId="150"/>
    <cellStyle name="Warning Text" xfId="151"/>
  </cellStyles>
  <dxfs count="25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3" formatCode="#,##0"/>
    </dxf>
    <dxf>
      <numFmt numFmtId="3" formatCode="#,##0"/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66"/>
      <color rgb="FFCCFF66"/>
      <color rgb="FFDEEE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MARCO DECRETADO</c:v>
          </c:tx>
          <c:dLbls>
            <c:dLbl>
              <c:idx val="0"/>
              <c:layout>
                <c:manualLayout>
                  <c:x val="-5.6329095563287697E-2"/>
                  <c:y val="3.473413518963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3F4-415E-9A82-76C2BA1F5FD2}"/>
                </c:ext>
              </c:extLst>
            </c:dLbl>
            <c:dLbl>
              <c:idx val="1"/>
              <c:layout>
                <c:manualLayout>
                  <c:x val="-5.7902888357375601E-2"/>
                  <c:y val="-3.66635116235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3F4-415E-9A82-76C2BA1F5FD2}"/>
                </c:ext>
              </c:extLst>
            </c:dLbl>
            <c:dLbl>
              <c:idx val="2"/>
              <c:layout>
                <c:manualLayout>
                  <c:x val="-4.7356993662829298E-2"/>
                  <c:y val="-2.933094910873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3F4-415E-9A82-76C2BA1F5FD2}"/>
                </c:ext>
              </c:extLst>
            </c:dLbl>
            <c:dLbl>
              <c:idx val="3"/>
              <c:layout>
                <c:manualLayout>
                  <c:x val="-4.06547976683636E-2"/>
                  <c:y val="-4.52422334561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3F4-415E-9A82-76C2BA1F5FD2}"/>
                </c:ext>
              </c:extLst>
            </c:dLbl>
            <c:dLbl>
              <c:idx val="4"/>
              <c:layout>
                <c:manualLayout>
                  <c:x val="-3.3040782927801444E-2"/>
                  <c:y val="-4.530972946167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BA-4F58-B7EB-277C87915471}"/>
                </c:ext>
              </c:extLst>
            </c:dLbl>
            <c:dLbl>
              <c:idx val="5"/>
              <c:layout>
                <c:manualLayout>
                  <c:x val="-3.028738435048476E-2"/>
                  <c:y val="-4.2477871370316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1D8-48A9-BB9A-5309D466E555}"/>
                </c:ext>
              </c:extLst>
            </c:dLbl>
            <c:dLbl>
              <c:idx val="6"/>
              <c:layout>
                <c:manualLayout>
                  <c:x val="-2.0650489329875902E-2"/>
                  <c:y val="-3.3982297096252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1D8-48A9-BB9A-5309D466E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GASTO!$B$37:$B$43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GASTO!$C$37:$C$43</c:f>
              <c:numCache>
                <c:formatCode>_-"$"\ * #,##0_-;\-"$"\ * #,##0_-;_-"$"\ * "-"??_-;_-@_-</c:formatCode>
                <c:ptCount val="7"/>
                <c:pt idx="0">
                  <c:v>80474279</c:v>
                </c:pt>
                <c:pt idx="1">
                  <c:v>83942858</c:v>
                </c:pt>
                <c:pt idx="2">
                  <c:v>83398189</c:v>
                </c:pt>
                <c:pt idx="3">
                  <c:v>79761344</c:v>
                </c:pt>
                <c:pt idx="4">
                  <c:v>76043871</c:v>
                </c:pt>
                <c:pt idx="5">
                  <c:v>77158129</c:v>
                </c:pt>
                <c:pt idx="6">
                  <c:v>73848948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3F4-415E-9A82-76C2BA1F5FD2}"/>
            </c:ext>
          </c:extLst>
        </c:ser>
        <c:ser>
          <c:idx val="2"/>
          <c:order val="1"/>
          <c:tx>
            <c:strRef>
              <c:f>GASTO!$D$36</c:f>
              <c:strCache>
                <c:ptCount val="1"/>
                <c:pt idx="0">
                  <c:v>PAGADO </c:v>
                </c:pt>
              </c:strCache>
            </c:strRef>
          </c:tx>
          <c:dLbls>
            <c:dLbl>
              <c:idx val="0"/>
              <c:layout>
                <c:manualLayout>
                  <c:x val="-6.7597845450041605E-2"/>
                  <c:y val="-2.3674504404986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D3F4-415E-9A82-76C2BA1F5FD2}"/>
                </c:ext>
              </c:extLst>
            </c:dLbl>
            <c:dLbl>
              <c:idx val="1"/>
              <c:layout>
                <c:manualLayout>
                  <c:x val="-4.7114147882276497E-2"/>
                  <c:y val="4.3798666352686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D3F4-415E-9A82-76C2BA1F5FD2}"/>
                </c:ext>
              </c:extLst>
            </c:dLbl>
            <c:dLbl>
              <c:idx val="2"/>
              <c:layout>
                <c:manualLayout>
                  <c:x val="-4.8060486294287899E-2"/>
                  <c:y val="-5.03082574981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D3F4-415E-9A82-76C2BA1F5FD2}"/>
                </c:ext>
              </c:extLst>
            </c:dLbl>
            <c:dLbl>
              <c:idx val="3"/>
              <c:layout>
                <c:manualLayout>
                  <c:x val="-6.4346924751893297E-2"/>
                  <c:y val="-4.814158755302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3F4-415E-9A82-76C2BA1F5FD2}"/>
                </c:ext>
              </c:extLst>
            </c:dLbl>
            <c:dLbl>
              <c:idx val="4"/>
              <c:layout>
                <c:manualLayout>
                  <c:x val="-4.541048023715661E-2"/>
                  <c:y val="-2.8318580913544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BBA-4F58-B7EB-277C87915471}"/>
                </c:ext>
              </c:extLst>
            </c:dLbl>
            <c:dLbl>
              <c:idx val="5"/>
              <c:layout>
                <c:manualLayout>
                  <c:x val="-4.5804953364040495E-2"/>
                  <c:y val="-5.38053037357337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D8-48A9-BB9A-5309D466E555}"/>
                </c:ext>
              </c:extLst>
            </c:dLbl>
            <c:dLbl>
              <c:idx val="6"/>
              <c:layout>
                <c:manualLayout>
                  <c:x val="-4.0450351941790988E-2"/>
                  <c:y val="-2.265486473083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1D8-48A9-BB9A-5309D466E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GASTO!$B$37:$B$43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GASTO!$D$37:$D$43</c:f>
              <c:numCache>
                <c:formatCode>#,##0</c:formatCode>
                <c:ptCount val="7"/>
                <c:pt idx="0">
                  <c:v>5523424.2520000003</c:v>
                </c:pt>
                <c:pt idx="1">
                  <c:v>7082868.5310000004</c:v>
                </c:pt>
                <c:pt idx="2">
                  <c:v>6589090.6370000001</c:v>
                </c:pt>
                <c:pt idx="3">
                  <c:v>6520346.324</c:v>
                </c:pt>
                <c:pt idx="4">
                  <c:v>5022881.1229999997</c:v>
                </c:pt>
                <c:pt idx="5">
                  <c:v>5684834.7139999997</c:v>
                </c:pt>
                <c:pt idx="6">
                  <c:v>3666740.6880000001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3F4-415E-9A82-76C2BA1F5FD2}"/>
            </c:ext>
          </c:extLst>
        </c:ser>
        <c:ser>
          <c:idx val="1"/>
          <c:order val="2"/>
          <c:tx>
            <c:strRef>
              <c:f>GASTO!$E$36</c:f>
              <c:strCache>
                <c:ptCount val="1"/>
                <c:pt idx="0">
                  <c:v>ACUMULADO </c:v>
                </c:pt>
              </c:strCache>
            </c:strRef>
          </c:tx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F4-415E-9A82-76C2BA1F5FD2}"/>
                </c:ext>
              </c:extLst>
            </c:dLbl>
            <c:dLbl>
              <c:idx val="1"/>
              <c:layout>
                <c:manualLayout>
                  <c:x val="-8.5145925110132206E-2"/>
                  <c:y val="-3.98847437063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3F4-415E-9A82-76C2BA1F5FD2}"/>
                </c:ext>
              </c:extLst>
            </c:dLbl>
            <c:dLbl>
              <c:idx val="2"/>
              <c:layout>
                <c:manualLayout>
                  <c:x val="-5.4240088105726898E-2"/>
                  <c:y val="-5.686988171064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3F4-415E-9A82-76C2BA1F5FD2}"/>
                </c:ext>
              </c:extLst>
            </c:dLbl>
            <c:dLbl>
              <c:idx val="3"/>
              <c:layout>
                <c:manualLayout>
                  <c:x val="-6.3129789499204295E-2"/>
                  <c:y val="-5.940153127023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D3F4-415E-9A82-76C2BA1F5FD2}"/>
                </c:ext>
              </c:extLst>
            </c:dLbl>
            <c:dLbl>
              <c:idx val="4"/>
              <c:layout>
                <c:manualLayout>
                  <c:x val="-3.7170880793776624E-2"/>
                  <c:y val="-4.530972946167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BA-4F58-B7EB-277C87915471}"/>
                </c:ext>
              </c:extLst>
            </c:dLbl>
            <c:dLbl>
              <c:idx val="5"/>
              <c:layout>
                <c:manualLayout>
                  <c:x val="-4.4054377237068593E-2"/>
                  <c:y val="-5.380530373573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1D8-48A9-BB9A-5309D466E555}"/>
                </c:ext>
              </c:extLst>
            </c:dLbl>
            <c:dLbl>
              <c:idx val="6"/>
              <c:layout>
                <c:manualLayout>
                  <c:x val="-4.1300978659751908E-2"/>
                  <c:y val="-5.0973445644379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D8-48A9-BB9A-5309D466E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GASTO!$B$37:$B$43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GASTO!$E$37:$E$43</c:f>
              <c:numCache>
                <c:formatCode>#,##0</c:formatCode>
                <c:ptCount val="7"/>
                <c:pt idx="0">
                  <c:v>5523424.2520000003</c:v>
                </c:pt>
                <c:pt idx="1">
                  <c:v>12606292.783</c:v>
                </c:pt>
                <c:pt idx="2">
                  <c:v>19195383.420000002</c:v>
                </c:pt>
                <c:pt idx="3">
                  <c:v>25715729.744000003</c:v>
                </c:pt>
                <c:pt idx="4">
                  <c:v>30738610.867000002</c:v>
                </c:pt>
                <c:pt idx="5">
                  <c:v>36423445.581</c:v>
                </c:pt>
                <c:pt idx="6">
                  <c:v>40090186.269000001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D3F4-415E-9A82-76C2BA1F5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38112"/>
        <c:axId val="146972672"/>
      </c:lineChart>
      <c:catAx>
        <c:axId val="14693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6972672"/>
        <c:crosses val="autoZero"/>
        <c:auto val="1"/>
        <c:lblAlgn val="ctr"/>
        <c:lblOffset val="100"/>
        <c:noMultiLvlLbl val="0"/>
      </c:catAx>
      <c:valAx>
        <c:axId val="146972672"/>
        <c:scaling>
          <c:orientation val="minMax"/>
        </c:scaling>
        <c:delete val="0"/>
        <c:axPos val="l"/>
        <c:majorGridlines/>
        <c:numFmt formatCode="_-&quot;$&quot;\ * #,##0_-;\-&quot;$&quot;\ * #,##0_-;_-&quot;$&quot;\ * &quot;-&quot;??_-;_-@_-" sourceLinked="1"/>
        <c:majorTickMark val="none"/>
        <c:minorTickMark val="none"/>
        <c:tickLblPos val="nextTo"/>
        <c:spPr>
          <a:ln w="9525" cap="flat" cmpd="sng" algn="ctr">
            <a:noFill/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46938112"/>
        <c:crosses val="autoZero"/>
        <c:crossBetween val="between"/>
      </c:valAx>
    </c:plotArea>
    <c:legend>
      <c:legendPos val="b"/>
      <c:layout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zero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Gasto Acumulado por Sector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484534766655505E-2"/>
          <c:y val="0.11840526263331"/>
          <c:w val="0.91889236899413096"/>
          <c:h val="0.43328801621316299"/>
        </c:manualLayout>
      </c:layout>
      <c:bar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2.2584014122960798E-3"/>
                  <c:y val="-8.43881856540083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26-4114-8A3E-D072F29528D5}"/>
                </c:ext>
              </c:extLst>
            </c:dLbl>
            <c:dLbl>
              <c:idx val="1"/>
              <c:layout>
                <c:manualLayout>
                  <c:x val="-2.5375775426138801E-3"/>
                  <c:y val="-3.37555400511644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926-4114-8A3E-D072F29528D5}"/>
                </c:ext>
              </c:extLst>
            </c:dLbl>
            <c:dLbl>
              <c:idx val="2"/>
              <c:layout>
                <c:manualLayout>
                  <c:x val="0"/>
                  <c:y val="-3.37552742616033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26-4114-8A3E-D072F29528D5}"/>
                </c:ext>
              </c:extLst>
            </c:dLbl>
            <c:dLbl>
              <c:idx val="3"/>
              <c:layout>
                <c:manualLayout>
                  <c:x val="0"/>
                  <c:y val="-5.40084388185654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926-4114-8A3E-D072F29528D5}"/>
                </c:ext>
              </c:extLst>
            </c:dLbl>
            <c:dLbl>
              <c:idx val="4"/>
              <c:layout>
                <c:manualLayout>
                  <c:x val="-1.0692758195793299E-3"/>
                  <c:y val="-4.050632911392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926-4114-8A3E-D072F29528D5}"/>
                </c:ext>
              </c:extLst>
            </c:dLbl>
            <c:dLbl>
              <c:idx val="5"/>
              <c:layout>
                <c:manualLayout>
                  <c:x val="1.2022844540644001E-3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926-4114-8A3E-D072F29528D5}"/>
                </c:ext>
              </c:extLst>
            </c:dLbl>
            <c:dLbl>
              <c:idx val="6"/>
              <c:layout>
                <c:manualLayout>
                  <c:x val="-2.1487757904215601E-3"/>
                  <c:y val="-2.3628691983122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926-4114-8A3E-D072F29528D5}"/>
                </c:ext>
              </c:extLst>
            </c:dLbl>
            <c:dLbl>
              <c:idx val="7"/>
              <c:layout>
                <c:manualLayout>
                  <c:x val="1.06918115151216E-3"/>
                  <c:y val="-2.70042194092827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926-4114-8A3E-D072F29528D5}"/>
                </c:ext>
              </c:extLst>
            </c:dLbl>
            <c:dLbl>
              <c:idx val="8"/>
              <c:layout>
                <c:manualLayout>
                  <c:x val="1.0692758195793299E-3"/>
                  <c:y val="-1.35021097046414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0926-4114-8A3E-D072F29528D5}"/>
                </c:ext>
              </c:extLst>
            </c:dLbl>
            <c:dLbl>
              <c:idx val="9"/>
              <c:layout>
                <c:manualLayout>
                  <c:x val="-1.0692758195793299E-3"/>
                  <c:y val="-1.68779029203626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0926-4114-8A3E-D072F29528D5}"/>
                </c:ext>
              </c:extLst>
            </c:dLbl>
            <c:dLbl>
              <c:idx val="10"/>
              <c:layout>
                <c:manualLayout>
                  <c:x val="1.0692329154681299E-3"/>
                  <c:y val="-1.0126582278481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0926-4114-8A3E-D072F2952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SECTOR!$H$10:$H$20</c:f>
              <c:numCache>
                <c:formatCode>#,##0</c:formatCode>
                <c:ptCount val="11"/>
                <c:pt idx="0">
                  <c:v>16244621022</c:v>
                </c:pt>
                <c:pt idx="1">
                  <c:v>4911971977</c:v>
                </c:pt>
                <c:pt idx="2">
                  <c:v>3632832180</c:v>
                </c:pt>
                <c:pt idx="3">
                  <c:v>6140209058</c:v>
                </c:pt>
                <c:pt idx="4">
                  <c:v>2823470607</c:v>
                </c:pt>
                <c:pt idx="5">
                  <c:v>2813350390</c:v>
                </c:pt>
                <c:pt idx="6">
                  <c:v>1645267241</c:v>
                </c:pt>
                <c:pt idx="7">
                  <c:v>447241000</c:v>
                </c:pt>
                <c:pt idx="8">
                  <c:v>202596523</c:v>
                </c:pt>
                <c:pt idx="9">
                  <c:v>1154940020</c:v>
                </c:pt>
                <c:pt idx="10">
                  <c:v>73686251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926-4114-8A3E-D072F29528D5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1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0926-4114-8A3E-D072F29528D5}"/>
                </c:ext>
              </c:extLst>
            </c:dLbl>
            <c:dLbl>
              <c:idx val="4"/>
              <c:layout>
                <c:manualLayout>
                  <c:x val="0"/>
                  <c:y val="-2.700421940928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0926-4114-8A3E-D072F29528D5}"/>
                </c:ext>
              </c:extLst>
            </c:dLbl>
            <c:dLbl>
              <c:idx val="5"/>
              <c:layout>
                <c:manualLayout>
                  <c:x val="-2.4045689081288102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0926-4114-8A3E-D072F29528D5}"/>
                </c:ext>
              </c:extLst>
            </c:dLbl>
            <c:dLbl>
              <c:idx val="6"/>
              <c:layout>
                <c:manualLayout>
                  <c:x val="0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0926-4114-8A3E-D072F29528D5}"/>
                </c:ext>
              </c:extLst>
            </c:dLbl>
            <c:dLbl>
              <c:idx val="7"/>
              <c:layout>
                <c:manualLayout>
                  <c:x val="-1.2022844540643101E-3"/>
                  <c:y val="-2.0253164556962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0926-4114-8A3E-D072F29528D5}"/>
                </c:ext>
              </c:extLst>
            </c:dLbl>
            <c:dLbl>
              <c:idx val="8"/>
              <c:layout>
                <c:manualLayout>
                  <c:x val="0"/>
                  <c:y val="-3.375527426160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0926-4114-8A3E-D072F29528D5}"/>
                </c:ext>
              </c:extLst>
            </c:dLbl>
            <c:dLbl>
              <c:idx val="9"/>
              <c:layout>
                <c:manualLayout>
                  <c:x val="8.9130954978280903E-17"/>
                  <c:y val="-2.0253164556962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0926-4114-8A3E-D072F29528D5}"/>
                </c:ext>
              </c:extLst>
            </c:dLbl>
            <c:dLbl>
              <c:idx val="10"/>
              <c:layout>
                <c:manualLayout>
                  <c:x val="0"/>
                  <c:y val="-3.0379746835442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0926-4114-8A3E-D072F2952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SECTOR!$B$10:$B$20</c:f>
              <c:strCache>
                <c:ptCount val="11"/>
                <c:pt idx="0">
                  <c:v>TRANSPORTE Y VIVIENDA</c:v>
                </c:pt>
                <c:pt idx="1">
                  <c:v>EDUCACIÓN Y CULTURA</c:v>
                </c:pt>
                <c:pt idx="2">
                  <c:v>SALUD</c:v>
                </c:pt>
                <c:pt idx="3">
                  <c:v>MULTISECTORIAL</c:v>
                </c:pt>
                <c:pt idx="4">
                  <c:v>AGUA POTABLE Y ALCANTARILLADO</c:v>
                </c:pt>
                <c:pt idx="5">
                  <c:v>DEFENSA Y SEGURIDAD</c:v>
                </c:pt>
                <c:pt idx="6">
                  <c:v>DEPORTE</c:v>
                </c:pt>
                <c:pt idx="7">
                  <c:v>SILVOAGROPECUARIO</c:v>
                </c:pt>
                <c:pt idx="8">
                  <c:v>INDUSTRIA, COMERCIO, FINANZAS Y TURISMO</c:v>
                </c:pt>
                <c:pt idx="9">
                  <c:v>ENERGIA</c:v>
                </c:pt>
                <c:pt idx="10">
                  <c:v>RECURSOS NATURALES Y MEDIO AMBIENTE</c:v>
                </c:pt>
              </c:strCache>
            </c:strRef>
          </c:cat>
          <c:val>
            <c:numRef>
              <c:f>SECTOR!$I$10:$I$20</c:f>
              <c:numCache>
                <c:formatCode>#,##0</c:formatCode>
                <c:ptCount val="11"/>
                <c:pt idx="0">
                  <c:v>14536129713</c:v>
                </c:pt>
                <c:pt idx="1">
                  <c:v>4515177397.3333359</c:v>
                </c:pt>
                <c:pt idx="2">
                  <c:v>6554858011.333334</c:v>
                </c:pt>
                <c:pt idx="3">
                  <c:v>18160574080</c:v>
                </c:pt>
                <c:pt idx="4">
                  <c:v>4226173138</c:v>
                </c:pt>
                <c:pt idx="5">
                  <c:v>5613946009.6666603</c:v>
                </c:pt>
                <c:pt idx="6">
                  <c:v>2483767655</c:v>
                </c:pt>
                <c:pt idx="7">
                  <c:v>4330289101</c:v>
                </c:pt>
                <c:pt idx="8">
                  <c:v>4029378464</c:v>
                </c:pt>
                <c:pt idx="9">
                  <c:v>4906376080</c:v>
                </c:pt>
                <c:pt idx="10">
                  <c:v>848702471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926-4114-8A3E-D072F2952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158284032"/>
        <c:axId val="158142464"/>
      </c:barChart>
      <c:catAx>
        <c:axId val="1582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8142464"/>
        <c:crosses val="autoZero"/>
        <c:auto val="1"/>
        <c:lblAlgn val="ctr"/>
        <c:lblOffset val="100"/>
        <c:noMultiLvlLbl val="0"/>
      </c:catAx>
      <c:valAx>
        <c:axId val="1581424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8284032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</c:plotArea>
    <c:legend>
      <c:legendPos val="r"/>
      <c:layout>
        <c:manualLayout>
          <c:xMode val="edge"/>
          <c:yMode val="edge"/>
          <c:x val="0.74535321791907505"/>
          <c:y val="0.92668221535599204"/>
          <c:w val="0.25337870332012302"/>
          <c:h val="7.1445828765075298E-2"/>
        </c:manualLayout>
      </c:layout>
      <c:overlay val="0"/>
      <c:spPr>
        <a:ln w="38100">
          <a:solidFill>
            <a:schemeClr val="tx2">
              <a:lumMod val="60000"/>
              <a:lumOff val="40000"/>
            </a:schemeClr>
          </a:solidFill>
        </a:ln>
      </c:spPr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PAGOS 2019</c:v>
          </c:tx>
          <c:invertIfNegative val="0"/>
          <c:dLbls>
            <c:dLbl>
              <c:idx val="0"/>
              <c:layout>
                <c:manualLayout>
                  <c:x val="-1.05540897097625E-2"/>
                  <c:y val="-1.90930739748873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00-44B2-AD07-9985E99D9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SUBTITULO!$B$11:$B$15</c:f>
              <c:numCache>
                <c:formatCode>General</c:formatCode>
                <c:ptCount val="5"/>
                <c:pt idx="0">
                  <c:v>22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33</c:v>
                </c:pt>
              </c:numCache>
            </c:numRef>
          </c:cat>
          <c:val>
            <c:numRef>
              <c:f>SUBTITULO!$I$11:$I$15</c:f>
              <c:numCache>
                <c:formatCode>#,##0</c:formatCode>
                <c:ptCount val="5"/>
                <c:pt idx="0">
                  <c:v>50000000</c:v>
                </c:pt>
                <c:pt idx="1">
                  <c:v>850581345</c:v>
                </c:pt>
                <c:pt idx="2">
                  <c:v>2318057049</c:v>
                </c:pt>
                <c:pt idx="3">
                  <c:v>31900357267</c:v>
                </c:pt>
                <c:pt idx="4">
                  <c:v>4971190608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00-44B2-AD07-9985E99D9D06}"/>
            </c:ext>
          </c:extLst>
        </c:ser>
        <c:ser>
          <c:idx val="1"/>
          <c:order val="1"/>
          <c:tx>
            <c:v>SALDO COMPROMISO 2019</c:v>
          </c:tx>
          <c:invertIfNegative val="0"/>
          <c:dLbls>
            <c:dLbl>
              <c:idx val="0"/>
              <c:layout>
                <c:manualLayout>
                  <c:x val="1.05540897097625E-2"/>
                  <c:y val="-3.1821789958145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900-44B2-AD07-9985E99D9D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SUBTITULO!$J$11:$J$15</c:f>
              <c:numCache>
                <c:formatCode>#,##0</c:formatCode>
                <c:ptCount val="5"/>
                <c:pt idx="0">
                  <c:v>600002000</c:v>
                </c:pt>
                <c:pt idx="1">
                  <c:v>7788617655</c:v>
                </c:pt>
                <c:pt idx="2">
                  <c:v>5643176585</c:v>
                </c:pt>
                <c:pt idx="3">
                  <c:v>31068730739.333328</c:v>
                </c:pt>
                <c:pt idx="4">
                  <c:v>25104845141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00-44B2-AD07-9985E99D9D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159270784"/>
        <c:axId val="159272320"/>
      </c:barChart>
      <c:catAx>
        <c:axId val="1592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9272320"/>
        <c:crosses val="autoZero"/>
        <c:auto val="1"/>
        <c:lblAlgn val="ctr"/>
        <c:lblOffset val="100"/>
        <c:noMultiLvlLbl val="0"/>
      </c:catAx>
      <c:valAx>
        <c:axId val="1592723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927078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17715070428203E-2"/>
          <c:y val="5.1406987724268202E-2"/>
          <c:w val="0.93949940226773898"/>
          <c:h val="0.66209571742143702"/>
        </c:manualLayout>
      </c:layout>
      <c:lineChart>
        <c:grouping val="standard"/>
        <c:varyColors val="0"/>
        <c:ser>
          <c:idx val="0"/>
          <c:order val="0"/>
          <c:tx>
            <c:v>Eficiencia Presupuestaria Los Lago</c:v>
          </c:tx>
          <c:spPr>
            <a:ln w="25400" cap="rnd" cmpd="sng" algn="ctr">
              <a:solidFill>
                <a:srgbClr val="0000FF"/>
              </a:solidFill>
              <a:prstDash val="solid"/>
              <a:round/>
            </a:ln>
          </c:spPr>
          <c:marker>
            <c:symbol val="diamond"/>
            <c:size val="7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0178012022690701E-2"/>
                  <c:y val="-3.8482322545256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7AF-4894-9CF5-567805FA93F5}"/>
                </c:ext>
              </c:extLst>
            </c:dLbl>
            <c:dLbl>
              <c:idx val="1"/>
              <c:layout>
                <c:manualLayout>
                  <c:x val="-5.7566058899979497E-2"/>
                  <c:y val="-1.8056160758149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7AF-4894-9CF5-567805FA93F5}"/>
                </c:ext>
              </c:extLst>
            </c:dLbl>
            <c:dLbl>
              <c:idx val="2"/>
              <c:layout>
                <c:manualLayout>
                  <c:x val="-5.8703009906019801E-2"/>
                  <c:y val="-1.575216774634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7AF-4894-9CF5-567805FA93F5}"/>
                </c:ext>
              </c:extLst>
            </c:dLbl>
            <c:dLbl>
              <c:idx val="3"/>
              <c:layout>
                <c:manualLayout>
                  <c:x val="-5.8354871184229003E-2"/>
                  <c:y val="-2.6437000020070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7AF-4894-9CF5-567805FA93F5}"/>
                </c:ext>
              </c:extLst>
            </c:dLbl>
            <c:dLbl>
              <c:idx val="4"/>
              <c:layout>
                <c:manualLayout>
                  <c:x val="-6.1176128185589707E-2"/>
                  <c:y val="-3.0554016521338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9DD-4C15-8C21-E907D0B8A8BE}"/>
                </c:ext>
              </c:extLst>
            </c:dLbl>
            <c:dLbl>
              <c:idx val="5"/>
              <c:layout>
                <c:manualLayout>
                  <c:x val="-6.2520214207094985E-2"/>
                  <c:y val="-3.813097033135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F4B-4013-9964-6C49076A82EC}"/>
                </c:ext>
              </c:extLst>
            </c:dLbl>
            <c:dLbl>
              <c:idx val="6"/>
              <c:layout>
                <c:manualLayout>
                  <c:x val="-5.5799784099568199E-2"/>
                  <c:y val="-4.8233575411372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F4B-4013-9964-6C49076A82EC}"/>
                </c:ext>
              </c:extLst>
            </c:dLbl>
            <c:numFmt formatCode="0.0%" sourceLinked="0"/>
            <c:spPr>
              <a:noFill/>
              <a:ln w="25400"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2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EFICIENCIA!$B$45:$B$51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EFICIENCIA!$D$45:$D$51</c:f>
              <c:numCache>
                <c:formatCode>0.0%</c:formatCode>
                <c:ptCount val="7"/>
                <c:pt idx="0">
                  <c:v>6.8635896097932109E-2</c:v>
                </c:pt>
                <c:pt idx="1">
                  <c:v>0.15017707382562551</c:v>
                </c:pt>
                <c:pt idx="2">
                  <c:v>0.23016547061951192</c:v>
                </c:pt>
                <c:pt idx="3">
                  <c:v>0.3224084306302562</c:v>
                </c:pt>
                <c:pt idx="4">
                  <c:v>0.40422206895543233</c:v>
                </c:pt>
                <c:pt idx="5">
                  <c:v>0.47206232257135217</c:v>
                </c:pt>
                <c:pt idx="6">
                  <c:v>0.54286739831419129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7AF-4894-9CF5-567805FA93F5}"/>
            </c:ext>
          </c:extLst>
        </c:ser>
        <c:ser>
          <c:idx val="1"/>
          <c:order val="1"/>
          <c:tx>
            <c:v>Eficiencia Promedio Nacional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dLbls>
            <c:dLbl>
              <c:idx val="0"/>
              <c:layout>
                <c:manualLayout>
                  <c:x val="-2.6218047657598199E-3"/>
                  <c:y val="9.5290099264896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7AF-4894-9CF5-567805FA93F5}"/>
                </c:ext>
              </c:extLst>
            </c:dLbl>
            <c:dLbl>
              <c:idx val="1"/>
              <c:layout>
                <c:manualLayout>
                  <c:x val="-2.6218047657598298E-3"/>
                  <c:y val="1.667576737135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7AF-4894-9CF5-567805FA93F5}"/>
                </c:ext>
              </c:extLst>
            </c:dLbl>
            <c:dLbl>
              <c:idx val="2"/>
              <c:layout>
                <c:manualLayout>
                  <c:x val="-2.6218047657598099E-3"/>
                  <c:y val="1.6675767371356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7AF-4894-9CF5-567805FA93F5}"/>
                </c:ext>
              </c:extLst>
            </c:dLbl>
            <c:dLbl>
              <c:idx val="3"/>
              <c:layout>
                <c:manualLayout>
                  <c:x val="-2.6218047657598099E-3"/>
                  <c:y val="2.382252481622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7AF-4894-9CF5-567805FA93F5}"/>
                </c:ext>
              </c:extLst>
            </c:dLbl>
            <c:dLbl>
              <c:idx val="4"/>
              <c:layout>
                <c:manualLayout>
                  <c:x val="-2.0161290322580645E-2"/>
                  <c:y val="3.2833466510062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9DD-4C15-8C21-E907D0B8A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rgbClr val="FF0000"/>
                    </a:solidFill>
                    <a:latin typeface="Arial" panose="020B0604020202020204"/>
                    <a:ea typeface="Arial" panose="020B0604020202020204"/>
                    <a:cs typeface="Arial" panose="020B0604020202020204"/>
                  </a:defRPr>
                </a:pPr>
                <a:endParaRPr lang="es-C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EFICIENCIA!$B$45:$B$51</c:f>
              <c:strCache>
                <c:ptCount val="7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</c:strCache>
            </c:strRef>
          </c:cat>
          <c:val>
            <c:numRef>
              <c:f>EFICIENCIA!$E$45:$E$51</c:f>
              <c:numCache>
                <c:formatCode>0.0%</c:formatCode>
                <c:ptCount val="7"/>
                <c:pt idx="0">
                  <c:v>4.1000000000000002E-2</c:v>
                </c:pt>
                <c:pt idx="1">
                  <c:v>8.8999999999999996E-2</c:v>
                </c:pt>
                <c:pt idx="2">
                  <c:v>0.14699999999999999</c:v>
                </c:pt>
                <c:pt idx="3">
                  <c:v>0.20300000000000001</c:v>
                </c:pt>
                <c:pt idx="4">
                  <c:v>0.29299999999999998</c:v>
                </c:pt>
                <c:pt idx="5">
                  <c:v>0.35299999999999998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7AF-4894-9CF5-567805FA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80416"/>
        <c:axId val="149181952"/>
      </c:lineChart>
      <c:catAx>
        <c:axId val="14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-5400000" spcFirstLastPara="0" vertOverflow="ellipsis" vert="horz" wrap="square" anchor="ctr" anchorCtr="1"/>
          <a:lstStyle/>
          <a:p>
            <a:pPr>
              <a:defRPr lang="es-ES" sz="800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49181952"/>
        <c:crosses val="autoZero"/>
        <c:auto val="1"/>
        <c:lblAlgn val="ctr"/>
        <c:lblOffset val="100"/>
        <c:tickLblSkip val="1"/>
        <c:noMultiLvlLbl val="0"/>
      </c:catAx>
      <c:valAx>
        <c:axId val="149181952"/>
        <c:scaling>
          <c:orientation val="minMax"/>
          <c:max val="1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%" sourceLinked="0"/>
        <c:majorTickMark val="out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s-ES" sz="825" b="0" i="0" u="none" strike="noStrike" kern="1200" baseline="0">
                <a:solidFill>
                  <a:srgbClr val="000000"/>
                </a:solidFill>
                <a:latin typeface="Arial" panose="020B0604020202020204"/>
                <a:ea typeface="Arial" panose="020B0604020202020204"/>
                <a:cs typeface="Arial" panose="020B0604020202020204"/>
              </a:defRPr>
            </a:pPr>
            <a:endParaRPr lang="es-CL"/>
          </a:p>
        </c:txPr>
        <c:crossAx val="149180416"/>
        <c:crosses val="autoZero"/>
        <c:crossBetween val="between"/>
      </c:valAx>
      <c:spPr>
        <a:gradFill rotWithShape="0">
          <a:gsLst>
            <a:gs pos="0">
              <a:srgbClr val="C0C0C0"/>
            </a:gs>
            <a:gs pos="100000">
              <a:srgbClr val="FFFFFF"/>
            </a:gs>
          </a:gsLst>
          <a:lin ang="189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126767420201503"/>
          <c:y val="0.85941128269976397"/>
          <c:w val="0.32652897722462099"/>
          <c:h val="0.11314351284798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s-ES" sz="875" b="0" i="0" u="none" strike="noStrike" kern="1200" baseline="0">
              <a:solidFill>
                <a:srgbClr val="000000"/>
              </a:solidFill>
              <a:latin typeface="Arial" panose="020B0604020202020204"/>
              <a:ea typeface="Arial" panose="020B0604020202020204"/>
              <a:cs typeface="Arial" panose="020B0604020202020204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rgbClr val="FFFFFF"/>
    </a:solidFill>
    <a:ln w="3175" cap="flat" cmpd="sng" algn="ctr">
      <a:solidFill>
        <a:srgbClr val="000000"/>
      </a:solidFill>
      <a:prstDash val="solid"/>
      <a:round/>
    </a:ln>
  </c:spPr>
  <c:txPr>
    <a:bodyPr/>
    <a:lstStyle/>
    <a:p>
      <a:pPr>
        <a:defRPr lang="es-ES" sz="875" b="0" i="0" u="none" strike="noStrike" baseline="0">
          <a:solidFill>
            <a:srgbClr val="000000"/>
          </a:solidFill>
          <a:latin typeface="Arial" panose="020B0604020202020204"/>
          <a:ea typeface="Arial" panose="020B0604020202020204"/>
          <a:cs typeface="Arial" panose="020B0604020202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EFICIENCIA DEL GASTO INTERNO 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PAGADO 2019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PROVINCIA!$H$7:$H$12</c:f>
              <c:numCache>
                <c:formatCode>#,##0</c:formatCode>
                <c:ptCount val="6"/>
                <c:pt idx="0">
                  <c:v>9349256892</c:v>
                </c:pt>
                <c:pt idx="1">
                  <c:v>11161729473</c:v>
                </c:pt>
                <c:pt idx="2">
                  <c:v>9483088978</c:v>
                </c:pt>
                <c:pt idx="3">
                  <c:v>6065476811</c:v>
                </c:pt>
                <c:pt idx="4">
                  <c:v>2683181697</c:v>
                </c:pt>
                <c:pt idx="5">
                  <c:v>1347452418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5-421C-A44A-F6B44EED5010}"/>
            </c:ext>
          </c:extLst>
        </c:ser>
        <c:ser>
          <c:idx val="1"/>
          <c:order val="1"/>
          <c:tx>
            <c:v>COMPROMISO 2019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3.6330603341185401E-3"/>
                  <c:y val="-2.5225218067612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D05-421C-A44A-F6B44EED5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PROVINCIA!$B$7:$B$13</c:f>
              <c:strCache>
                <c:ptCount val="7"/>
                <c:pt idx="0">
                  <c:v>OSORNO</c:v>
                </c:pt>
                <c:pt idx="1">
                  <c:v>LLANQUIHUE</c:v>
                </c:pt>
                <c:pt idx="2">
                  <c:v>CHILOE</c:v>
                </c:pt>
                <c:pt idx="3">
                  <c:v>PALENA</c:v>
                </c:pt>
                <c:pt idx="4">
                  <c:v>REGIONAL</c:v>
                </c:pt>
                <c:pt idx="5">
                  <c:v>FOMENTO</c:v>
                </c:pt>
                <c:pt idx="6">
                  <c:v>TOTAL</c:v>
                </c:pt>
              </c:strCache>
            </c:strRef>
          </c:cat>
          <c:val>
            <c:numRef>
              <c:f>PROVINCIA!$I$7:$I$12</c:f>
              <c:numCache>
                <c:formatCode>#,##0</c:formatCode>
                <c:ptCount val="6"/>
                <c:pt idx="0">
                  <c:v>8335753575.9999924</c:v>
                </c:pt>
                <c:pt idx="1">
                  <c:v>14145767222</c:v>
                </c:pt>
                <c:pt idx="2">
                  <c:v>10437397784.333336</c:v>
                </c:pt>
                <c:pt idx="3">
                  <c:v>8350501202</c:v>
                </c:pt>
                <c:pt idx="4">
                  <c:v>16600806608</c:v>
                </c:pt>
                <c:pt idx="5">
                  <c:v>12335145728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05-421C-A44A-F6B44EED5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55624960"/>
        <c:axId val="155626496"/>
      </c:barChart>
      <c:catAx>
        <c:axId val="15562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5626496"/>
        <c:crosses val="autoZero"/>
        <c:auto val="1"/>
        <c:lblAlgn val="ctr"/>
        <c:lblOffset val="100"/>
        <c:noMultiLvlLbl val="0"/>
      </c:catAx>
      <c:valAx>
        <c:axId val="1556264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5624960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r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OSORNO!$I$5:$I$12</c:f>
              <c:numCache>
                <c:formatCode>#,##0</c:formatCode>
                <c:ptCount val="8"/>
                <c:pt idx="0">
                  <c:v>2500595634</c:v>
                </c:pt>
                <c:pt idx="1">
                  <c:v>2414239324</c:v>
                </c:pt>
                <c:pt idx="2">
                  <c:v>1087251162</c:v>
                </c:pt>
                <c:pt idx="3">
                  <c:v>1098533127</c:v>
                </c:pt>
                <c:pt idx="4">
                  <c:v>383684418</c:v>
                </c:pt>
                <c:pt idx="5">
                  <c:v>888493482</c:v>
                </c:pt>
                <c:pt idx="6">
                  <c:v>597761253</c:v>
                </c:pt>
                <c:pt idx="7">
                  <c:v>378698492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1E-4E3F-9E56-46320EF41910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OSORNO!$B$5:$B$12</c:f>
              <c:strCache>
                <c:ptCount val="8"/>
                <c:pt idx="0">
                  <c:v>PROV. OSORNO</c:v>
                </c:pt>
                <c:pt idx="1">
                  <c:v>OSORNO</c:v>
                </c:pt>
                <c:pt idx="2">
                  <c:v>PTO. OCTAY</c:v>
                </c:pt>
                <c:pt idx="3">
                  <c:v>PURRANQUE</c:v>
                </c:pt>
                <c:pt idx="4">
                  <c:v>PUYEHUE</c:v>
                </c:pt>
                <c:pt idx="5">
                  <c:v>RIO NEGRO</c:v>
                </c:pt>
                <c:pt idx="6">
                  <c:v>SAN JUAN DE LA COSTA</c:v>
                </c:pt>
                <c:pt idx="7">
                  <c:v>SAN PABLO</c:v>
                </c:pt>
              </c:strCache>
            </c:strRef>
          </c:cat>
          <c:val>
            <c:numRef>
              <c:f>OSORNO!$J$5:$J$12</c:f>
              <c:numCache>
                <c:formatCode>#,##0</c:formatCode>
                <c:ptCount val="8"/>
                <c:pt idx="0">
                  <c:v>1023776201.6666603</c:v>
                </c:pt>
                <c:pt idx="1">
                  <c:v>3825892682</c:v>
                </c:pt>
                <c:pt idx="2">
                  <c:v>934204914</c:v>
                </c:pt>
                <c:pt idx="3">
                  <c:v>847791553.33333325</c:v>
                </c:pt>
                <c:pt idx="4">
                  <c:v>328822215</c:v>
                </c:pt>
                <c:pt idx="5">
                  <c:v>182697938</c:v>
                </c:pt>
                <c:pt idx="6">
                  <c:v>660114550</c:v>
                </c:pt>
                <c:pt idx="7">
                  <c:v>532453522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1E-4E3F-9E56-46320EF4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6129152"/>
        <c:axId val="156130688"/>
      </c:barChart>
      <c:catAx>
        <c:axId val="156129152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130688"/>
        <c:crosses val="autoZero"/>
        <c:auto val="1"/>
        <c:lblAlgn val="ctr"/>
        <c:lblOffset val="100"/>
        <c:noMultiLvlLbl val="0"/>
      </c:catAx>
      <c:valAx>
        <c:axId val="156130688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129152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LLANQUIHUE!$I$5:$I$14</c:f>
              <c:numCache>
                <c:formatCode>#,##0</c:formatCode>
                <c:ptCount val="10"/>
                <c:pt idx="0">
                  <c:v>4772166257</c:v>
                </c:pt>
                <c:pt idx="1">
                  <c:v>287605041</c:v>
                </c:pt>
                <c:pt idx="2">
                  <c:v>106896571</c:v>
                </c:pt>
                <c:pt idx="3">
                  <c:v>476882445</c:v>
                </c:pt>
                <c:pt idx="4">
                  <c:v>1256934275</c:v>
                </c:pt>
                <c:pt idx="5">
                  <c:v>511644813</c:v>
                </c:pt>
                <c:pt idx="6">
                  <c:v>1687603630</c:v>
                </c:pt>
                <c:pt idx="7">
                  <c:v>453892565</c:v>
                </c:pt>
                <c:pt idx="8">
                  <c:v>218935515</c:v>
                </c:pt>
                <c:pt idx="9">
                  <c:v>1389168361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7-492B-A2CD-4B3741E417E3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LLANQUIHUE!$B$5:$B$14</c:f>
              <c:strCache>
                <c:ptCount val="10"/>
                <c:pt idx="0">
                  <c:v>PROV.LLANQUIHUE</c:v>
                </c:pt>
                <c:pt idx="1">
                  <c:v>CALBUCO</c:v>
                </c:pt>
                <c:pt idx="2">
                  <c:v>COCHAMO</c:v>
                </c:pt>
                <c:pt idx="3">
                  <c:v>FRESIA</c:v>
                </c:pt>
                <c:pt idx="4">
                  <c:v>FRUTILLAR</c:v>
                </c:pt>
                <c:pt idx="5">
                  <c:v>LLANQUIHUE</c:v>
                </c:pt>
                <c:pt idx="6">
                  <c:v>LOS MUERMOS</c:v>
                </c:pt>
                <c:pt idx="7">
                  <c:v>MAULLIN</c:v>
                </c:pt>
                <c:pt idx="8">
                  <c:v>P. MONTT</c:v>
                </c:pt>
                <c:pt idx="9">
                  <c:v>P.VARAS</c:v>
                </c:pt>
              </c:strCache>
            </c:strRef>
          </c:cat>
          <c:val>
            <c:numRef>
              <c:f>LLANQUIHUE!$J$5:$J$14</c:f>
              <c:numCache>
                <c:formatCode>#,##0</c:formatCode>
                <c:ptCount val="10"/>
                <c:pt idx="0">
                  <c:v>827746898</c:v>
                </c:pt>
                <c:pt idx="1">
                  <c:v>1613700993</c:v>
                </c:pt>
                <c:pt idx="2">
                  <c:v>1368400011</c:v>
                </c:pt>
                <c:pt idx="3">
                  <c:v>2079518705</c:v>
                </c:pt>
                <c:pt idx="4">
                  <c:v>1905483390</c:v>
                </c:pt>
                <c:pt idx="5">
                  <c:v>195040644</c:v>
                </c:pt>
                <c:pt idx="6">
                  <c:v>773683281</c:v>
                </c:pt>
                <c:pt idx="7">
                  <c:v>1241522244</c:v>
                </c:pt>
                <c:pt idx="8">
                  <c:v>1443972073</c:v>
                </c:pt>
                <c:pt idx="9">
                  <c:v>2696698983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67-492B-A2CD-4B3741E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6505216"/>
        <c:axId val="156506752"/>
      </c:barChart>
      <c:catAx>
        <c:axId val="156505216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506752"/>
        <c:crosses val="autoZero"/>
        <c:auto val="1"/>
        <c:lblAlgn val="ctr"/>
        <c:lblOffset val="100"/>
        <c:noMultiLvlLbl val="0"/>
      </c:catAx>
      <c:valAx>
        <c:axId val="156506752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505216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CHILOE!$I$5:$I$15</c:f>
              <c:numCache>
                <c:formatCode>#,##0</c:formatCode>
                <c:ptCount val="11"/>
                <c:pt idx="0">
                  <c:v>2077463581</c:v>
                </c:pt>
                <c:pt idx="1">
                  <c:v>704375410</c:v>
                </c:pt>
                <c:pt idx="2">
                  <c:v>1025503246</c:v>
                </c:pt>
                <c:pt idx="3">
                  <c:v>1104462393</c:v>
                </c:pt>
                <c:pt idx="4">
                  <c:v>481838162</c:v>
                </c:pt>
                <c:pt idx="5">
                  <c:v>405934629</c:v>
                </c:pt>
                <c:pt idx="6">
                  <c:v>446995208</c:v>
                </c:pt>
                <c:pt idx="7">
                  <c:v>472916222</c:v>
                </c:pt>
                <c:pt idx="8">
                  <c:v>1555215748</c:v>
                </c:pt>
                <c:pt idx="9">
                  <c:v>866198407</c:v>
                </c:pt>
                <c:pt idx="10">
                  <c:v>342185972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E4-46C6-8273-2DAB16C3AD7A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CHILOE!$B$5:$B$15</c:f>
              <c:strCache>
                <c:ptCount val="11"/>
                <c:pt idx="0">
                  <c:v>PROV. CHILOE</c:v>
                </c:pt>
                <c:pt idx="1">
                  <c:v>ANCUD</c:v>
                </c:pt>
                <c:pt idx="2">
                  <c:v>CASTRO</c:v>
                </c:pt>
                <c:pt idx="3">
                  <c:v>CHONCHI</c:v>
                </c:pt>
                <c:pt idx="4">
                  <c:v>CURACO DE VÉLEZ</c:v>
                </c:pt>
                <c:pt idx="5">
                  <c:v>DALCAHUE</c:v>
                </c:pt>
                <c:pt idx="6">
                  <c:v>PUQUELDON</c:v>
                </c:pt>
                <c:pt idx="7">
                  <c:v>QUEILEN</c:v>
                </c:pt>
                <c:pt idx="8">
                  <c:v>QUELLON</c:v>
                </c:pt>
                <c:pt idx="9">
                  <c:v>QUEMCHI</c:v>
                </c:pt>
                <c:pt idx="10">
                  <c:v>QUINCHAO</c:v>
                </c:pt>
              </c:strCache>
            </c:strRef>
          </c:cat>
          <c:val>
            <c:numRef>
              <c:f>CHILOE!$J$5:$J$15</c:f>
              <c:numCache>
                <c:formatCode>#,##0</c:formatCode>
                <c:ptCount val="11"/>
                <c:pt idx="0">
                  <c:v>1345437770</c:v>
                </c:pt>
                <c:pt idx="1">
                  <c:v>1480724699</c:v>
                </c:pt>
                <c:pt idx="2">
                  <c:v>1178697697</c:v>
                </c:pt>
                <c:pt idx="3">
                  <c:v>1019926212</c:v>
                </c:pt>
                <c:pt idx="4">
                  <c:v>335787800</c:v>
                </c:pt>
                <c:pt idx="5">
                  <c:v>645759125</c:v>
                </c:pt>
                <c:pt idx="6">
                  <c:v>1540465385</c:v>
                </c:pt>
                <c:pt idx="7">
                  <c:v>711925273</c:v>
                </c:pt>
                <c:pt idx="8">
                  <c:v>972044477.33333588</c:v>
                </c:pt>
                <c:pt idx="9">
                  <c:v>374269249</c:v>
                </c:pt>
                <c:pt idx="10">
                  <c:v>832360097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E4-46C6-8273-2DAB16C3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5391104"/>
        <c:axId val="155392640"/>
      </c:barChart>
      <c:catAx>
        <c:axId val="1553911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5392640"/>
        <c:crosses val="autoZero"/>
        <c:auto val="1"/>
        <c:lblAlgn val="ctr"/>
        <c:lblOffset val="100"/>
        <c:noMultiLvlLbl val="0"/>
      </c:catAx>
      <c:valAx>
        <c:axId val="15539264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539110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v>PAGADO 2019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PALENA!$I$6:$I$10</c:f>
              <c:numCache>
                <c:formatCode>#,##0</c:formatCode>
                <c:ptCount val="5"/>
                <c:pt idx="0">
                  <c:v>4424667622</c:v>
                </c:pt>
                <c:pt idx="1">
                  <c:v>416235609</c:v>
                </c:pt>
                <c:pt idx="2">
                  <c:v>447254372</c:v>
                </c:pt>
                <c:pt idx="3">
                  <c:v>714326674</c:v>
                </c:pt>
                <c:pt idx="4">
                  <c:v>62992534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C1-4911-8AB8-EB728ED0C19F}"/>
            </c:ext>
          </c:extLst>
        </c:ser>
        <c:ser>
          <c:idx val="2"/>
          <c:order val="1"/>
          <c:tx>
            <c:v>COMPROMISO 2019</c:v>
          </c:tx>
          <c:spPr>
            <a:gradFill>
              <a:gsLst>
                <a:gs pos="0">
                  <a:schemeClr val="accent1">
                    <a:tint val="66000"/>
                    <a:satMod val="160000"/>
                  </a:schemeClr>
                </a:gs>
                <a:gs pos="50000">
                  <a:schemeClr val="accent1">
                    <a:tint val="44500"/>
                    <a:satMod val="160000"/>
                  </a:schemeClr>
                </a:gs>
                <a:gs pos="100000">
                  <a:schemeClr val="accent1">
                    <a:tint val="23500"/>
                    <a:satMod val="160000"/>
                  </a:schemeClr>
                </a:gs>
              </a:gsLst>
              <a:lin ang="5400000" scaled="0"/>
            </a:gradFill>
          </c:spPr>
          <c:invertIfNegative val="0"/>
          <c:cat>
            <c:strRef>
              <c:f>PALENA!$B$6:$B$10</c:f>
              <c:strCache>
                <c:ptCount val="5"/>
                <c:pt idx="0">
                  <c:v>PROV. PALENA</c:v>
                </c:pt>
                <c:pt idx="1">
                  <c:v>CHAITEN</c:v>
                </c:pt>
                <c:pt idx="2">
                  <c:v>FUTALEUFU</c:v>
                </c:pt>
                <c:pt idx="3">
                  <c:v>HUALAIHUE</c:v>
                </c:pt>
                <c:pt idx="4">
                  <c:v>PALENA</c:v>
                </c:pt>
              </c:strCache>
            </c:strRef>
          </c:cat>
          <c:val>
            <c:numRef>
              <c:f>PALENA!$J$6:$J$10</c:f>
              <c:numCache>
                <c:formatCode>#,##0</c:formatCode>
                <c:ptCount val="5"/>
                <c:pt idx="0">
                  <c:v>2459309606</c:v>
                </c:pt>
                <c:pt idx="1">
                  <c:v>2092365008</c:v>
                </c:pt>
                <c:pt idx="2">
                  <c:v>1049173931</c:v>
                </c:pt>
                <c:pt idx="3">
                  <c:v>1659769162</c:v>
                </c:pt>
                <c:pt idx="4">
                  <c:v>1089883495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C1-4911-8AB8-EB728ED0C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6624384"/>
        <c:axId val="156625920"/>
      </c:barChart>
      <c:catAx>
        <c:axId val="15662438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625920"/>
        <c:crosses val="autoZero"/>
        <c:auto val="1"/>
        <c:lblAlgn val="ctr"/>
        <c:lblOffset val="100"/>
        <c:noMultiLvlLbl val="0"/>
      </c:catAx>
      <c:valAx>
        <c:axId val="156625920"/>
        <c:scaling>
          <c:orientation val="minMax"/>
        </c:scaling>
        <c:delete val="0"/>
        <c:axPos val="l"/>
        <c:minorGridlines/>
        <c:numFmt formatCode="#,##0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6624384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t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Marco</a:t>
            </a:r>
            <a:r>
              <a:rPr lang="es-CL" baseline="0"/>
              <a:t> Decretado</a:t>
            </a:r>
            <a:r>
              <a:rPr lang="es-CL"/>
              <a:t> Versus Compromiso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MARCO DECRETADO</c:v>
          </c:tx>
          <c:spPr>
            <a:solidFill>
              <a:srgbClr val="C00000"/>
            </a:solidFill>
          </c:spPr>
          <c:invertIfNegative val="0"/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PVP</c:v>
                </c:pt>
              </c:strCache>
            </c:strRef>
          </c:cat>
          <c:val>
            <c:numRef>
              <c:f>PROVISION!$D$7:$D$17</c:f>
              <c:numCache>
                <c:formatCode>#,##0</c:formatCode>
                <c:ptCount val="11"/>
                <c:pt idx="0">
                  <c:v>30371244000</c:v>
                </c:pt>
                <c:pt idx="1">
                  <c:v>24039227000</c:v>
                </c:pt>
                <c:pt idx="2">
                  <c:v>7214983000</c:v>
                </c:pt>
                <c:pt idx="3">
                  <c:v>7740827000</c:v>
                </c:pt>
                <c:pt idx="4">
                  <c:v>342409000</c:v>
                </c:pt>
                <c:pt idx="5">
                  <c:v>0</c:v>
                </c:pt>
                <c:pt idx="6">
                  <c:v>388423000</c:v>
                </c:pt>
                <c:pt idx="7">
                  <c:v>1542573000</c:v>
                </c:pt>
                <c:pt idx="8">
                  <c:v>354500000</c:v>
                </c:pt>
                <c:pt idx="9">
                  <c:v>1854762000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E-4CBE-966A-9E4A582580EA}"/>
            </c:ext>
          </c:extLst>
        </c:ser>
        <c:ser>
          <c:idx val="1"/>
          <c:order val="1"/>
          <c:tx>
            <c:v>COMPROMISO</c:v>
          </c:tx>
          <c:spPr>
            <a:solidFill>
              <a:prstClr val="white">
                <a:lumMod val="85000"/>
              </a:prst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8.81542699724518E-3"/>
                  <c:y val="-1.36402387041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22E-4CBE-966A-9E4A582580EA}"/>
                </c:ext>
              </c:extLst>
            </c:dLbl>
            <c:dLbl>
              <c:idx val="6"/>
              <c:layout>
                <c:manualLayout>
                  <c:x val="6.6115702479338E-3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22E-4CBE-966A-9E4A582580EA}"/>
                </c:ext>
              </c:extLst>
            </c:dLbl>
            <c:dLbl>
              <c:idx val="7"/>
              <c:layout>
                <c:manualLayout>
                  <c:x val="1.1019283746556601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22E-4CBE-966A-9E4A582580EA}"/>
                </c:ext>
              </c:extLst>
            </c:dLbl>
            <c:dLbl>
              <c:idx val="8"/>
              <c:layout>
                <c:manualLayout>
                  <c:x val="1.3223140495867799E-2"/>
                  <c:y val="-3.41005967604433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22E-4CBE-966A-9E4A582580EA}"/>
                </c:ext>
              </c:extLst>
            </c:dLbl>
            <c:dLbl>
              <c:idx val="9"/>
              <c:layout>
                <c:manualLayout>
                  <c:x val="8.81542699724518E-3"/>
                  <c:y val="-3.75106564364875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22E-4CBE-966A-9E4A582580EA}"/>
                </c:ext>
              </c:extLst>
            </c:dLbl>
            <c:dLbl>
              <c:idx val="10"/>
              <c:layout>
                <c:manualLayout>
                  <c:x val="1.3223140495867799E-2"/>
                  <c:y val="-3.06905370843989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22E-4CBE-966A-9E4A58258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PVP</c:v>
                </c:pt>
              </c:strCache>
            </c:strRef>
          </c:cat>
          <c:val>
            <c:numRef>
              <c:f>PROVISION!$E$7:$E$17</c:f>
              <c:numCache>
                <c:formatCode>#,##0</c:formatCode>
                <c:ptCount val="11"/>
                <c:pt idx="0">
                  <c:v>56734217145</c:v>
                </c:pt>
                <c:pt idx="1">
                  <c:v>21211301762</c:v>
                </c:pt>
                <c:pt idx="2">
                  <c:v>11310044588</c:v>
                </c:pt>
                <c:pt idx="3">
                  <c:v>10740827000</c:v>
                </c:pt>
                <c:pt idx="4">
                  <c:v>4873607682</c:v>
                </c:pt>
                <c:pt idx="5">
                  <c:v>2680196866.3333359</c:v>
                </c:pt>
                <c:pt idx="6">
                  <c:v>388423000</c:v>
                </c:pt>
                <c:pt idx="7">
                  <c:v>1542573000</c:v>
                </c:pt>
                <c:pt idx="8">
                  <c:v>680923743</c:v>
                </c:pt>
                <c:pt idx="9">
                  <c:v>133443603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22E-4CBE-966A-9E4A58258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axId val="158771840"/>
        <c:axId val="158773632"/>
      </c:barChart>
      <c:catAx>
        <c:axId val="1587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8773632"/>
        <c:crosses val="autoZero"/>
        <c:auto val="1"/>
        <c:lblAlgn val="ctr"/>
        <c:lblOffset val="100"/>
        <c:noMultiLvlLbl val="0"/>
      </c:catAx>
      <c:valAx>
        <c:axId val="158773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8771840"/>
        <c:crosses val="autoZero"/>
        <c:crossBetween val="between"/>
        <c:dispUnits>
          <c:builtInUnit val="millions"/>
          <c:dispUnitsLbl>
            <c:txPr>
              <a:bodyPr rot="-5400000" spcFirstLastPara="0" vertOverflow="ellipsis" vert="horz" wrap="square" anchor="ctr" anchorCtr="1">
                <a:spAutoFit/>
              </a:bodyPr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</c:dispUnitsLbl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s-ES"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CL"/>
              <a:t>Compromiso Versus</a:t>
            </a:r>
            <a:r>
              <a:rPr lang="es-CL" baseline="0"/>
              <a:t> Pagos 2020 </a:t>
            </a:r>
          </a:p>
        </c:rich>
      </c:tx>
      <c:layout>
        <c:manualLayout>
          <c:xMode val="edge"/>
          <c:yMode val="edge"/>
          <c:x val="0.20433255816125401"/>
          <c:y val="3.2293672633596502E-4"/>
        </c:manualLayout>
      </c:layout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PAGOS A LA FECHA</c:v>
          </c:tx>
          <c:spPr>
            <a:solidFill>
              <a:srgbClr val="C00000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4.8404832098120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713-4F9B-8B17-5E8BDE193AC9}"/>
                </c:ext>
              </c:extLst>
            </c:dLbl>
            <c:dLbl>
              <c:idx val="4"/>
              <c:layout>
                <c:manualLayout>
                  <c:x val="5.2474655154746497E-3"/>
                  <c:y val="3.226988806541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713-4F9B-8B17-5E8BDE193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PVP</c:v>
                </c:pt>
              </c:strCache>
            </c:strRef>
          </c:cat>
          <c:val>
            <c:numRef>
              <c:f>PROVISION!$J$7:$J$17</c:f>
              <c:numCache>
                <c:formatCode>#,##0</c:formatCode>
                <c:ptCount val="11"/>
                <c:pt idx="0">
                  <c:v>14294856261</c:v>
                </c:pt>
                <c:pt idx="1">
                  <c:v>12007782243</c:v>
                </c:pt>
                <c:pt idx="2">
                  <c:v>6985910645</c:v>
                </c:pt>
                <c:pt idx="3">
                  <c:v>2956884840</c:v>
                </c:pt>
                <c:pt idx="4">
                  <c:v>1154940020</c:v>
                </c:pt>
                <c:pt idx="5">
                  <c:v>2004348338</c:v>
                </c:pt>
                <c:pt idx="6">
                  <c:v>0</c:v>
                </c:pt>
                <c:pt idx="7">
                  <c:v>214072797</c:v>
                </c:pt>
                <c:pt idx="8">
                  <c:v>392779775</c:v>
                </c:pt>
                <c:pt idx="9">
                  <c:v>78611350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713-4F9B-8B17-5E8BDE193AC9}"/>
            </c:ext>
          </c:extLst>
        </c:ser>
        <c:ser>
          <c:idx val="1"/>
          <c:order val="1"/>
          <c:tx>
            <c:v>SALDO A DICIEMBRE</c:v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7.1252610548231303E-3"/>
                  <c:y val="-9.69338717021540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713-4F9B-8B17-5E8BDE193AC9}"/>
                </c:ext>
              </c:extLst>
            </c:dLbl>
            <c:dLbl>
              <c:idx val="1"/>
              <c:layout>
                <c:manualLayout>
                  <c:x val="-4.0795954454177904E-3"/>
                  <c:y val="-2.6035946340067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713-4F9B-8B17-5E8BDE193AC9}"/>
                </c:ext>
              </c:extLst>
            </c:dLbl>
            <c:dLbl>
              <c:idx val="2"/>
              <c:layout>
                <c:manualLayout>
                  <c:x val="2.4835875002634602E-3"/>
                  <c:y val="-2.00122982214879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713-4F9B-8B17-5E8BDE193AC9}"/>
                </c:ext>
              </c:extLst>
            </c:dLbl>
            <c:dLbl>
              <c:idx val="3"/>
              <c:layout>
                <c:manualLayout>
                  <c:x val="2.4387088615506702E-3"/>
                  <c:y val="-3.0690465532676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713-4F9B-8B17-5E8BDE193AC9}"/>
                </c:ext>
              </c:extLst>
            </c:dLbl>
            <c:dLbl>
              <c:idx val="4"/>
              <c:layout>
                <c:manualLayout>
                  <c:x val="4.7280645205834901E-3"/>
                  <c:y val="-3.57337746541269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713-4F9B-8B17-5E8BDE193AC9}"/>
                </c:ext>
              </c:extLst>
            </c:dLbl>
            <c:dLbl>
              <c:idx val="5"/>
              <c:layout>
                <c:manualLayout>
                  <c:x val="-2.3990993747515302E-3"/>
                  <c:y val="3.47470904207698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713-4F9B-8B17-5E8BDE193AC9}"/>
                </c:ext>
              </c:extLst>
            </c:dLbl>
            <c:dLbl>
              <c:idx val="6"/>
              <c:layout>
                <c:manualLayout>
                  <c:x val="3.1936511443506899E-3"/>
                  <c:y val="-1.4639036816214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713-4F9B-8B17-5E8BDE193AC9}"/>
                </c:ext>
              </c:extLst>
            </c:dLbl>
            <c:dLbl>
              <c:idx val="7"/>
              <c:layout>
                <c:manualLayout>
                  <c:x val="-1.4462913528493E-4"/>
                  <c:y val="-3.580414909228509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713-4F9B-8B17-5E8BDE193AC9}"/>
                </c:ext>
              </c:extLst>
            </c:dLbl>
            <c:dLbl>
              <c:idx val="8"/>
              <c:layout>
                <c:manualLayout>
                  <c:x val="1.41628730399595E-2"/>
                  <c:y val="-4.77408354646206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713-4F9B-8B17-5E8BDE193AC9}"/>
                </c:ext>
              </c:extLst>
            </c:dLbl>
            <c:dLbl>
              <c:idx val="9"/>
              <c:layout>
                <c:manualLayout>
                  <c:x val="-2.2110451599024099E-3"/>
                  <c:y val="-1.54293071463510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713-4F9B-8B17-5E8BDE193AC9}"/>
                </c:ext>
              </c:extLst>
            </c:dLbl>
            <c:dLbl>
              <c:idx val="10"/>
              <c:layout>
                <c:manualLayout>
                  <c:x val="2.1747061811874299E-3"/>
                  <c:y val="-3.69183148898468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713-4F9B-8B17-5E8BDE193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s-ES"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PROVISION!$B$7:$B$17</c:f>
              <c:strCache>
                <c:ptCount val="11"/>
                <c:pt idx="0">
                  <c:v>LIBRE</c:v>
                </c:pt>
                <c:pt idx="1">
                  <c:v>FAR</c:v>
                </c:pt>
                <c:pt idx="2">
                  <c:v>PV</c:v>
                </c:pt>
                <c:pt idx="3">
                  <c:v>FRIL</c:v>
                </c:pt>
                <c:pt idx="4">
                  <c:v>ENERGIZACION</c:v>
                </c:pt>
                <c:pt idx="5">
                  <c:v>FIE</c:v>
                </c:pt>
                <c:pt idx="6">
                  <c:v>RSD</c:v>
                </c:pt>
                <c:pt idx="7">
                  <c:v>FIC</c:v>
                </c:pt>
                <c:pt idx="8">
                  <c:v>PIR</c:v>
                </c:pt>
                <c:pt idx="9">
                  <c:v>PMB</c:v>
                </c:pt>
                <c:pt idx="10">
                  <c:v>PVP</c:v>
                </c:pt>
              </c:strCache>
            </c:strRef>
          </c:cat>
          <c:val>
            <c:numRef>
              <c:f>PROVISION!$P$7:$P$17</c:f>
              <c:numCache>
                <c:formatCode>#,##0</c:formatCode>
                <c:ptCount val="11"/>
                <c:pt idx="0">
                  <c:v>42439360884</c:v>
                </c:pt>
                <c:pt idx="1">
                  <c:v>9203519519</c:v>
                </c:pt>
                <c:pt idx="2">
                  <c:v>4324133943</c:v>
                </c:pt>
                <c:pt idx="3">
                  <c:v>7783942160</c:v>
                </c:pt>
                <c:pt idx="4">
                  <c:v>3718667662</c:v>
                </c:pt>
                <c:pt idx="5">
                  <c:v>675848528.33333588</c:v>
                </c:pt>
                <c:pt idx="6">
                  <c:v>388423000</c:v>
                </c:pt>
                <c:pt idx="7">
                  <c:v>1328500203</c:v>
                </c:pt>
                <c:pt idx="8">
                  <c:v>0</c:v>
                </c:pt>
                <c:pt idx="9">
                  <c:v>54832253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713-4F9B-8B17-5E8BDE193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59232768"/>
        <c:axId val="159234304"/>
      </c:barChart>
      <c:catAx>
        <c:axId val="1592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9234304"/>
        <c:crosses val="autoZero"/>
        <c:auto val="1"/>
        <c:lblAlgn val="ctr"/>
        <c:lblOffset val="100"/>
        <c:noMultiLvlLbl val="0"/>
      </c:catAx>
      <c:valAx>
        <c:axId val="15923430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s-E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59232768"/>
        <c:crosses val="autoZero"/>
        <c:crossBetween val="between"/>
        <c:dispUnits>
          <c:builtInUnit val="millions"/>
        </c:dispUnits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s-E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0"/>
    <c:dispBlanksAs val="gap"/>
    <c:showDLblsOverMax val="0"/>
  </c:chart>
  <c:txPr>
    <a:bodyPr/>
    <a:lstStyle/>
    <a:p>
      <a:pPr>
        <a:defRPr lang="es-ES"/>
      </a:pPr>
      <a:endParaRPr lang="es-C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16.pn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7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6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145676</xdr:colOff>
      <xdr:row>0</xdr:row>
      <xdr:rowOff>0</xdr:rowOff>
    </xdr:from>
    <xdr:to>
      <xdr:col>12</xdr:col>
      <xdr:colOff>1378324</xdr:colOff>
      <xdr:row>18</xdr:row>
      <xdr:rowOff>134470</xdr:rowOff>
    </xdr:to>
    <xdr:grpSp>
      <xdr:nvGrpSpPr>
        <xdr:cNvPr id="2" name="5 Grupo"/>
        <xdr:cNvGrpSpPr/>
      </xdr:nvGrpSpPr>
      <xdr:grpSpPr>
        <a:xfrm>
          <a:off x="145676" y="0"/>
          <a:ext cx="10376648" cy="3563470"/>
          <a:chOff x="95002" y="133920"/>
          <a:chExt cx="10153875" cy="3511805"/>
        </a:xfrm>
      </xdr:grpSpPr>
      <xdr:grpSp>
        <xdr:nvGrpSpPr>
          <xdr:cNvPr id="3" name="8 Grupo"/>
          <xdr:cNvGrpSpPr/>
        </xdr:nvGrpSpPr>
        <xdr:grpSpPr>
          <a:xfrm>
            <a:off x="95002" y="133920"/>
            <a:ext cx="3448397" cy="1400809"/>
            <a:chOff x="973777" y="2200227"/>
            <a:chExt cx="3448397" cy="1400809"/>
          </a:xfrm>
        </xdr:grpSpPr>
        <xdr:pic>
          <xdr:nvPicPr>
            <xdr:cNvPr id="11" name="9 Imagen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877" r="41976" b="27736"/>
            <a:stretch>
              <a:fillRect/>
            </a:stretch>
          </xdr:blipFill>
          <xdr:spPr>
            <a:xfrm>
              <a:off x="973777" y="2200227"/>
              <a:ext cx="2006930" cy="1400809"/>
            </a:xfrm>
            <a:prstGeom prst="rect">
              <a:avLst/>
            </a:prstGeom>
          </xdr:spPr>
        </xdr:pic>
        <xdr:pic>
          <xdr:nvPicPr>
            <xdr:cNvPr id="12" name="10 Imagen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16" t="15757" r="5440" b="18615"/>
            <a:stretch>
              <a:fillRect/>
            </a:stretch>
          </xdr:blipFill>
          <xdr:spPr>
            <a:xfrm>
              <a:off x="2980707" y="2200227"/>
              <a:ext cx="1441467" cy="1400809"/>
            </a:xfrm>
            <a:prstGeom prst="rect">
              <a:avLst/>
            </a:prstGeom>
          </xdr:spPr>
        </xdr:pic>
      </xdr:grpSp>
      <xdr:pic>
        <xdr:nvPicPr>
          <xdr:cNvPr id="4" name="Picture 2" descr="D:\zuñiga\Escritorio\FOTOS IPHON\IMG_62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699"/>
          <a:stretch>
            <a:fillRect/>
          </a:stretch>
        </xdr:blipFill>
        <xdr:spPr>
          <a:xfrm>
            <a:off x="95002" y="1647398"/>
            <a:ext cx="1607971" cy="199832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4 Imagen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34070" y="133920"/>
            <a:ext cx="2518069" cy="3511805"/>
          </a:xfrm>
          <a:prstGeom prst="rect">
            <a:avLst/>
          </a:prstGeom>
        </xdr:spPr>
      </xdr:pic>
      <xdr:pic>
        <xdr:nvPicPr>
          <xdr:cNvPr id="6" name="5 Imagen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6883" y="1647398"/>
            <a:ext cx="1686516" cy="1998327"/>
          </a:xfrm>
          <a:prstGeom prst="rect">
            <a:avLst/>
          </a:prstGeom>
        </xdr:spPr>
      </xdr:pic>
      <xdr:pic>
        <xdr:nvPicPr>
          <xdr:cNvPr id="7" name="6 Imagen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10" t="16640" r="16078" b="30824"/>
          <a:stretch>
            <a:fillRect/>
          </a:stretch>
        </xdr:blipFill>
        <xdr:spPr>
          <a:xfrm>
            <a:off x="6254759" y="133920"/>
            <a:ext cx="3994118" cy="2229510"/>
          </a:xfrm>
          <a:prstGeom prst="rect">
            <a:avLst/>
          </a:prstGeom>
        </xdr:spPr>
      </xdr:pic>
      <xdr:pic>
        <xdr:nvPicPr>
          <xdr:cNvPr id="8" name="7 Imagen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4" t="13161" r="8267" b="30274"/>
          <a:stretch>
            <a:fillRect/>
          </a:stretch>
        </xdr:blipFill>
        <xdr:spPr>
          <a:xfrm>
            <a:off x="6254759" y="2397246"/>
            <a:ext cx="1440451" cy="1248479"/>
          </a:xfrm>
          <a:prstGeom prst="rect">
            <a:avLst/>
          </a:prstGeom>
        </xdr:spPr>
      </xdr:pic>
      <xdr:pic>
        <xdr:nvPicPr>
          <xdr:cNvPr id="9" name="8 Imagen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029"/>
          <a:stretch>
            <a:fillRect/>
          </a:stretch>
        </xdr:blipFill>
        <xdr:spPr>
          <a:xfrm>
            <a:off x="7808763" y="2424048"/>
            <a:ext cx="1335237" cy="1221677"/>
          </a:xfrm>
          <a:prstGeom prst="rect">
            <a:avLst/>
          </a:prstGeom>
        </xdr:spPr>
      </xdr:pic>
      <xdr:pic>
        <xdr:nvPicPr>
          <xdr:cNvPr id="10" name="Picture 8" descr="D:\zuñiga\Escritorio\FOTOS IPHON\Mirador Puyehue\IMG_603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0284" b="8335"/>
          <a:stretch>
            <a:fillRect/>
          </a:stretch>
        </xdr:blipFill>
        <xdr:spPr>
          <a:xfrm>
            <a:off x="9239474" y="2424048"/>
            <a:ext cx="1009403" cy="12216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123265</xdr:colOff>
      <xdr:row>23</xdr:row>
      <xdr:rowOff>95699</xdr:rowOff>
    </xdr:from>
    <xdr:to>
      <xdr:col>12</xdr:col>
      <xdr:colOff>1367118</xdr:colOff>
      <xdr:row>33</xdr:row>
      <xdr:rowOff>123265</xdr:rowOff>
    </xdr:to>
    <xdr:pic>
      <xdr:nvPicPr>
        <xdr:cNvPr id="13" name="3 Imagen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49" b="26400"/>
        <a:stretch>
          <a:fillRect/>
        </a:stretch>
      </xdr:blipFill>
      <xdr:spPr>
        <a:xfrm>
          <a:off x="123190" y="4476750"/>
          <a:ext cx="10387330" cy="1932940"/>
        </a:xfrm>
        <a:prstGeom prst="rect">
          <a:avLst/>
        </a:prstGeom>
      </xdr:spPr>
    </xdr:pic>
    <xdr:clientData/>
  </xdr:twoCellAnchor>
  <xdr:twoCellAnchor>
    <xdr:from>
      <xdr:col>0</xdr:col>
      <xdr:colOff>123266</xdr:colOff>
      <xdr:row>18</xdr:row>
      <xdr:rowOff>145672</xdr:rowOff>
    </xdr:from>
    <xdr:to>
      <xdr:col>12</xdr:col>
      <xdr:colOff>1367118</xdr:colOff>
      <xdr:row>23</xdr:row>
      <xdr:rowOff>95697</xdr:rowOff>
    </xdr:to>
    <xdr:sp macro="" textlink="">
      <xdr:nvSpPr>
        <xdr:cNvPr id="14" name="4 Rectángulo"/>
        <xdr:cNvSpPr/>
      </xdr:nvSpPr>
      <xdr:spPr>
        <a:xfrm>
          <a:off x="123190" y="3574415"/>
          <a:ext cx="10387330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>
    <xdr:from>
      <xdr:col>1</xdr:col>
      <xdr:colOff>730251</xdr:colOff>
      <xdr:row>19</xdr:row>
      <xdr:rowOff>67235</xdr:rowOff>
    </xdr:from>
    <xdr:to>
      <xdr:col>12</xdr:col>
      <xdr:colOff>1301751</xdr:colOff>
      <xdr:row>22</xdr:row>
      <xdr:rowOff>89039</xdr:rowOff>
    </xdr:to>
    <xdr:sp macro="" textlink="">
      <xdr:nvSpPr>
        <xdr:cNvPr id="15" name="6 CuadroTexto"/>
        <xdr:cNvSpPr txBox="1"/>
      </xdr:nvSpPr>
      <xdr:spPr>
        <a:xfrm>
          <a:off x="1492251" y="3686735"/>
          <a:ext cx="8953500" cy="5933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ESTADO SITUACION  </a:t>
          </a:r>
          <a:r>
            <a:rPr lang="es-CL" sz="3200" baseline="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-  JULIO</a:t>
          </a:r>
          <a:r>
            <a:rPr lang="es-CL" sz="3200">
              <a:solidFill>
                <a:schemeClr val="bg1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2020</a:t>
          </a:r>
        </a:p>
      </xdr:txBody>
    </xdr:sp>
    <xdr:clientData/>
  </xdr:twoCellAnchor>
  <xdr:twoCellAnchor editAs="oneCell">
    <xdr:from>
      <xdr:col>8</xdr:col>
      <xdr:colOff>349250</xdr:colOff>
      <xdr:row>12</xdr:row>
      <xdr:rowOff>11207</xdr:rowOff>
    </xdr:from>
    <xdr:to>
      <xdr:col>10</xdr:col>
      <xdr:colOff>733899</xdr:colOff>
      <xdr:row>18</xdr:row>
      <xdr:rowOff>133483</xdr:rowOff>
    </xdr:to>
    <xdr:pic>
      <xdr:nvPicPr>
        <xdr:cNvPr id="18" name="17 Imagen" descr="Resultado de imagen para liceo polivalente queile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45250" y="2296795"/>
          <a:ext cx="1908175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358588</xdr:colOff>
      <xdr:row>0</xdr:row>
      <xdr:rowOff>0</xdr:rowOff>
    </xdr:from>
    <xdr:to>
      <xdr:col>12</xdr:col>
      <xdr:colOff>1378324</xdr:colOff>
      <xdr:row>11</xdr:row>
      <xdr:rowOff>168088</xdr:rowOff>
    </xdr:to>
    <xdr:pic>
      <xdr:nvPicPr>
        <xdr:cNvPr id="19" name="18 Imagen" descr="Resultado de imagen para universidad los lagos castro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454140" y="0"/>
          <a:ext cx="4067810" cy="2263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38357</xdr:colOff>
      <xdr:row>12</xdr:row>
      <xdr:rowOff>11204</xdr:rowOff>
    </xdr:from>
    <xdr:to>
      <xdr:col>12</xdr:col>
      <xdr:colOff>1367118</xdr:colOff>
      <xdr:row>18</xdr:row>
      <xdr:rowOff>134471</xdr:rowOff>
    </xdr:to>
    <xdr:pic>
      <xdr:nvPicPr>
        <xdr:cNvPr id="20" name="19 Imagen" descr="Resultado de imagen para parque hott oso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0" y="2296795"/>
          <a:ext cx="2090420" cy="126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717174</xdr:colOff>
      <xdr:row>12</xdr:row>
      <xdr:rowOff>11206</xdr:rowOff>
    </xdr:from>
    <xdr:to>
      <xdr:col>11</xdr:col>
      <xdr:colOff>48118</xdr:colOff>
      <xdr:row>18</xdr:row>
      <xdr:rowOff>146206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36915" y="2296795"/>
          <a:ext cx="92710" cy="1278255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7</xdr:row>
      <xdr:rowOff>179294</xdr:rowOff>
    </xdr:from>
    <xdr:to>
      <xdr:col>4</xdr:col>
      <xdr:colOff>616324</xdr:colOff>
      <xdr:row>18</xdr:row>
      <xdr:rowOff>134471</xdr:rowOff>
    </xdr:to>
    <xdr:pic>
      <xdr:nvPicPr>
        <xdr:cNvPr id="23" name="22 Imagen" descr="C:\Users\salarcon\AppData\Local\Temp\XPgrpwise\5D9BA654goredomgorepo10013972771DBB1\image0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936750" y="1512570"/>
          <a:ext cx="1727200" cy="2050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18</xdr:row>
      <xdr:rowOff>100852</xdr:rowOff>
    </xdr:from>
    <xdr:to>
      <xdr:col>2</xdr:col>
      <xdr:colOff>258668</xdr:colOff>
      <xdr:row>27</xdr:row>
      <xdr:rowOff>7202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875" y="3529330"/>
          <a:ext cx="1512570" cy="16211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390526</xdr:colOff>
      <xdr:row>21</xdr:row>
      <xdr:rowOff>85725</xdr:rowOff>
    </xdr:from>
    <xdr:to>
      <xdr:col>10</xdr:col>
      <xdr:colOff>161925</xdr:colOff>
      <xdr:row>44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1440661</xdr:colOff>
      <xdr:row>2</xdr:row>
      <xdr:rowOff>103299</xdr:rowOff>
    </xdr:from>
    <xdr:to>
      <xdr:col>2</xdr:col>
      <xdr:colOff>343610</xdr:colOff>
      <xdr:row>6</xdr:row>
      <xdr:rowOff>142875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40280" y="4267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</xdr:row>
      <xdr:rowOff>133350</xdr:rowOff>
    </xdr:from>
    <xdr:to>
      <xdr:col>1</xdr:col>
      <xdr:colOff>1234163</xdr:colOff>
      <xdr:row>7</xdr:row>
      <xdr:rowOff>142875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295275"/>
          <a:ext cx="1148080" cy="1171575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2</xdr:row>
      <xdr:rowOff>114302</xdr:rowOff>
    </xdr:from>
    <xdr:to>
      <xdr:col>9</xdr:col>
      <xdr:colOff>761999</xdr:colOff>
      <xdr:row>6</xdr:row>
      <xdr:rowOff>47626</xdr:rowOff>
    </xdr:to>
    <xdr:sp macro="" textlink="">
      <xdr:nvSpPr>
        <xdr:cNvPr id="5" name="Title 7"/>
        <xdr:cNvSpPr txBox="1"/>
      </xdr:nvSpPr>
      <xdr:spPr>
        <a:xfrm>
          <a:off x="4314190" y="438150"/>
          <a:ext cx="6257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Sector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2" name="Rectángulo 1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  <cdr:relSizeAnchor xmlns:cdr="http://schemas.openxmlformats.org/drawingml/2006/chartDrawing">
    <cdr:from>
      <cdr:x>0.08295</cdr:x>
      <cdr:y>0.18987</cdr:y>
    </cdr:from>
    <cdr:to>
      <cdr:x>0.12033</cdr:x>
      <cdr:y>0.24557</cdr:y>
    </cdr:to>
    <cdr:sp macro="" textlink="">
      <cdr:nvSpPr>
        <cdr:cNvPr id="3" name="Rectángulo 2"/>
        <cdr:cNvSpPr/>
      </cdr:nvSpPr>
      <cdr:spPr>
        <a:xfrm xmlns:a="http://schemas.openxmlformats.org/drawingml/2006/main">
          <a:off x="866774" y="714375"/>
          <a:ext cx="390525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L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323850</xdr:colOff>
      <xdr:row>16</xdr:row>
      <xdr:rowOff>142875</xdr:rowOff>
    </xdr:from>
    <xdr:to>
      <xdr:col>10</xdr:col>
      <xdr:colOff>0</xdr:colOff>
      <xdr:row>41</xdr:row>
      <xdr:rowOff>85726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691862</xdr:colOff>
      <xdr:row>0</xdr:row>
      <xdr:rowOff>76200</xdr:rowOff>
    </xdr:from>
    <xdr:to>
      <xdr:col>10</xdr:col>
      <xdr:colOff>0</xdr:colOff>
      <xdr:row>7</xdr:row>
      <xdr:rowOff>76200</xdr:rowOff>
    </xdr:to>
    <xdr:sp macro="" textlink="">
      <xdr:nvSpPr>
        <xdr:cNvPr id="3" name="Title 7"/>
        <xdr:cNvSpPr txBox="1"/>
      </xdr:nvSpPr>
      <xdr:spPr>
        <a:xfrm>
          <a:off x="3196590" y="76200"/>
          <a:ext cx="529971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Distribucion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por Sub Titulo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6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1600" b="1">
              <a:solidFill>
                <a:srgbClr val="006CB7"/>
              </a:solidFill>
              <a:latin typeface="Verdana" panose="020B0604030504040204" pitchFamily="34" charset="0"/>
            </a:rPr>
            <a:t>31 de Julio </a:t>
          </a:r>
          <a:r>
            <a:rPr lang="es-ES_tradnl" altLang="es-CL" sz="16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 editAs="oneCell">
    <xdr:from>
      <xdr:col>2</xdr:col>
      <xdr:colOff>716760</xdr:colOff>
      <xdr:row>0</xdr:row>
      <xdr:rowOff>153305</xdr:rowOff>
    </xdr:from>
    <xdr:to>
      <xdr:col>4</xdr:col>
      <xdr:colOff>340255</xdr:colOff>
      <xdr:row>5</xdr:row>
      <xdr:rowOff>108772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8780" y="153035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11907</xdr:rowOff>
    </xdr:from>
    <xdr:to>
      <xdr:col>2</xdr:col>
      <xdr:colOff>645319</xdr:colOff>
      <xdr:row>6</xdr:row>
      <xdr:rowOff>145655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1430"/>
          <a:ext cx="1083310" cy="1105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130969</xdr:rowOff>
    </xdr:from>
    <xdr:to>
      <xdr:col>3</xdr:col>
      <xdr:colOff>234000</xdr:colOff>
      <xdr:row>14</xdr:row>
      <xdr:rowOff>137949</xdr:rowOff>
    </xdr:to>
    <xdr:pic>
      <xdr:nvPicPr>
        <xdr:cNvPr id="8" name="7 Imagen" descr="Resultado de imagen para PROVINCIA DE OSORN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21310"/>
          <a:ext cx="2433955" cy="2483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220909</xdr:colOff>
      <xdr:row>14</xdr:row>
      <xdr:rowOff>154780</xdr:rowOff>
    </xdr:from>
    <xdr:to>
      <xdr:col>7</xdr:col>
      <xdr:colOff>52909</xdr:colOff>
      <xdr:row>26</xdr:row>
      <xdr:rowOff>28780</xdr:rowOff>
    </xdr:to>
    <xdr:pic>
      <xdr:nvPicPr>
        <xdr:cNvPr id="11" name="10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20620" y="2821305"/>
          <a:ext cx="2766060" cy="216027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1</xdr:row>
      <xdr:rowOff>107156</xdr:rowOff>
    </xdr:from>
    <xdr:to>
      <xdr:col>6</xdr:col>
      <xdr:colOff>472124</xdr:colOff>
      <xdr:row>14</xdr:row>
      <xdr:rowOff>150656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7765" y="297180"/>
          <a:ext cx="2434590" cy="2520315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488154</xdr:colOff>
      <xdr:row>0</xdr:row>
      <xdr:rowOff>107155</xdr:rowOff>
    </xdr:from>
    <xdr:to>
      <xdr:col>11</xdr:col>
      <xdr:colOff>702466</xdr:colOff>
      <xdr:row>33</xdr:row>
      <xdr:rowOff>23813</xdr:rowOff>
    </xdr:to>
    <xdr:pic>
      <xdr:nvPicPr>
        <xdr:cNvPr id="2" name="1 Imagen" descr="Resultado de imagen para region de los lagos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8230" y="106680"/>
          <a:ext cx="3881755" cy="6203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130969</xdr:rowOff>
    </xdr:from>
    <xdr:to>
      <xdr:col>3</xdr:col>
      <xdr:colOff>238125</xdr:colOff>
      <xdr:row>25</xdr:row>
      <xdr:rowOff>166689</xdr:rowOff>
    </xdr:to>
    <xdr:pic>
      <xdr:nvPicPr>
        <xdr:cNvPr id="12" name="11 Imagen" descr="Resultado de imagen para IMAGENES CHILO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797810"/>
          <a:ext cx="2438400" cy="213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11905</xdr:colOff>
      <xdr:row>27</xdr:row>
      <xdr:rowOff>130944</xdr:rowOff>
    </xdr:from>
    <xdr:to>
      <xdr:col>11</xdr:col>
      <xdr:colOff>714374</xdr:colOff>
      <xdr:row>32</xdr:row>
      <xdr:rowOff>80969</xdr:rowOff>
    </xdr:to>
    <xdr:sp macro="" textlink="">
      <xdr:nvSpPr>
        <xdr:cNvPr id="6" name="4 Rectángulo"/>
        <xdr:cNvSpPr/>
      </xdr:nvSpPr>
      <xdr:spPr>
        <a:xfrm>
          <a:off x="11430" y="5274310"/>
          <a:ext cx="8769985" cy="902335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L"/>
        </a:p>
      </xdr:txBody>
    </xdr:sp>
    <xdr:clientData/>
  </xdr:twoCellAnchor>
  <xdr:twoCellAnchor editAs="oneCell">
    <xdr:from>
      <xdr:col>0</xdr:col>
      <xdr:colOff>5</xdr:colOff>
      <xdr:row>25</xdr:row>
      <xdr:rowOff>119063</xdr:rowOff>
    </xdr:from>
    <xdr:to>
      <xdr:col>1</xdr:col>
      <xdr:colOff>654849</xdr:colOff>
      <xdr:row>33</xdr:row>
      <xdr:rowOff>113111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1245"/>
          <a:ext cx="1388110" cy="1518285"/>
        </a:xfrm>
        <a:prstGeom prst="rect">
          <a:avLst/>
        </a:prstGeom>
      </xdr:spPr>
    </xdr:pic>
    <xdr:clientData/>
  </xdr:twoCellAnchor>
  <xdr:twoCellAnchor>
    <xdr:from>
      <xdr:col>1</xdr:col>
      <xdr:colOff>369097</xdr:colOff>
      <xdr:row>27</xdr:row>
      <xdr:rowOff>146843</xdr:rowOff>
    </xdr:from>
    <xdr:to>
      <xdr:col>11</xdr:col>
      <xdr:colOff>619124</xdr:colOff>
      <xdr:row>32</xdr:row>
      <xdr:rowOff>100617</xdr:rowOff>
    </xdr:to>
    <xdr:sp macro="" textlink="">
      <xdr:nvSpPr>
        <xdr:cNvPr id="7" name="6 CuadroTexto"/>
        <xdr:cNvSpPr txBox="1"/>
      </xdr:nvSpPr>
      <xdr:spPr>
        <a:xfrm>
          <a:off x="1099347" y="5290343"/>
          <a:ext cx="7552527" cy="90627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L" sz="260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ANEXO - FONDO REGIONAL  DE INICIATIVA</a:t>
          </a:r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 LOCAL</a:t>
          </a:r>
        </a:p>
        <a:p>
          <a:pPr algn="ctr"/>
          <a:r>
            <a:rPr lang="es-CL" sz="2600" baseline="0">
              <a:solidFill>
                <a:schemeClr val="tx2"/>
              </a:solidFill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</a:rPr>
            <a:t>MES JULIO 2020</a:t>
          </a:r>
          <a:endParaRPr lang="es-CL" sz="2600">
            <a:solidFill>
              <a:schemeClr val="tx2"/>
            </a:solidFill>
            <a:effectLst>
              <a:outerShdw blurRad="38100" dist="38100" dir="2700000" algn="tl">
                <a:srgbClr val="000000">
                  <a:alpha val="43137"/>
                </a:srgbClr>
              </a:outerShdw>
            </a:effectLst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590550</xdr:colOff>
      <xdr:row>0</xdr:row>
      <xdr:rowOff>0</xdr:rowOff>
    </xdr:from>
    <xdr:ext cx="184731" cy="258845"/>
    <xdr:sp macro="" textlink="">
      <xdr:nvSpPr>
        <xdr:cNvPr id="4" name="3 CuadroTexto"/>
        <xdr:cNvSpPr txBox="1"/>
      </xdr:nvSpPr>
      <xdr:spPr>
        <a:xfrm>
          <a:off x="590550" y="0"/>
          <a:ext cx="184150" cy="258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L" sz="1100"/>
        </a:p>
      </xdr:txBody>
    </xdr:sp>
    <xdr:clientData/>
  </xdr:oneCellAnchor>
  <xdr:twoCellAnchor>
    <xdr:from>
      <xdr:col>0</xdr:col>
      <xdr:colOff>428625</xdr:colOff>
      <xdr:row>6</xdr:row>
      <xdr:rowOff>190500</xdr:rowOff>
    </xdr:from>
    <xdr:to>
      <xdr:col>10</xdr:col>
      <xdr:colOff>533400</xdr:colOff>
      <xdr:row>31</xdr:row>
      <xdr:rowOff>79375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204549</xdr:colOff>
      <xdr:row>1</xdr:row>
      <xdr:rowOff>144573</xdr:rowOff>
    </xdr:from>
    <xdr:to>
      <xdr:col>2</xdr:col>
      <xdr:colOff>306917</xdr:colOff>
      <xdr:row>5</xdr:row>
      <xdr:rowOff>438185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8870" y="306070"/>
          <a:ext cx="959485" cy="608330"/>
        </a:xfrm>
        <a:prstGeom prst="rect">
          <a:avLst/>
        </a:prstGeom>
      </xdr:spPr>
    </xdr:pic>
    <xdr:clientData/>
  </xdr:twoCellAnchor>
  <xdr:twoCellAnchor editAs="oneCell">
    <xdr:from>
      <xdr:col>0</xdr:col>
      <xdr:colOff>69869</xdr:colOff>
      <xdr:row>1</xdr:row>
      <xdr:rowOff>48683</xdr:rowOff>
    </xdr:from>
    <xdr:to>
      <xdr:col>1</xdr:col>
      <xdr:colOff>238938</xdr:colOff>
      <xdr:row>5</xdr:row>
      <xdr:rowOff>814256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210185"/>
          <a:ext cx="1083310" cy="1080135"/>
        </a:xfrm>
        <a:prstGeom prst="rect">
          <a:avLst/>
        </a:prstGeom>
      </xdr:spPr>
    </xdr:pic>
    <xdr:clientData/>
  </xdr:twoCellAnchor>
  <xdr:twoCellAnchor>
    <xdr:from>
      <xdr:col>2</xdr:col>
      <xdr:colOff>359833</xdr:colOff>
      <xdr:row>1</xdr:row>
      <xdr:rowOff>89952</xdr:rowOff>
    </xdr:from>
    <xdr:to>
      <xdr:col>10</xdr:col>
      <xdr:colOff>889000</xdr:colOff>
      <xdr:row>5</xdr:row>
      <xdr:rowOff>698498</xdr:rowOff>
    </xdr:to>
    <xdr:sp macro="" textlink="">
      <xdr:nvSpPr>
        <xdr:cNvPr id="7" name="Title 7"/>
        <xdr:cNvSpPr txBox="1"/>
      </xdr:nvSpPr>
      <xdr:spPr>
        <a:xfrm>
          <a:off x="2131060" y="251460"/>
          <a:ext cx="7882890" cy="922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Marco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Decretado FNDR 2020</a:t>
          </a:r>
        </a:p>
        <a:p>
          <a:pPr eaLnBrk="1" hangingPunct="1">
            <a:spcBef>
              <a:spcPct val="0"/>
            </a:spcBef>
            <a:buFontTx/>
            <a:buNone/>
          </a:pP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al</a:t>
          </a:r>
          <a:r>
            <a:rPr lang="es-ES" altLang="es-CL" b="1" baseline="0">
              <a:solidFill>
                <a:srgbClr val="006CB7"/>
              </a:solidFill>
              <a:latin typeface="Verdana" panose="020B0604030504040204" pitchFamily="34" charset="0"/>
            </a:rPr>
            <a:t> 31 Julio </a:t>
          </a: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FNDR 2020</a:t>
          </a:r>
          <a:endParaRPr lang="es-ES" altLang="es-CL" sz="1600" b="1">
            <a:solidFill>
              <a:srgbClr val="006CB7"/>
            </a:solidFill>
            <a:latin typeface="Verdana" panose="020B0604030504040204" pitchFamily="34" charset="0"/>
          </a:endParaRPr>
        </a:p>
        <a:p>
          <a:pPr eaLnBrk="1" hangingPunct="1">
            <a:spcBef>
              <a:spcPct val="0"/>
            </a:spcBef>
            <a:buFontTx/>
            <a:buNone/>
          </a:pPr>
          <a:endParaRPr lang="es-ES_tradnl" altLang="es-CL" sz="1600" b="1">
            <a:solidFill>
              <a:srgbClr val="006CB7"/>
            </a:solidFill>
            <a:latin typeface="Verdana" panose="020B060403050404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262731</xdr:colOff>
      <xdr:row>9</xdr:row>
      <xdr:rowOff>41011</xdr:rowOff>
    </xdr:from>
    <xdr:to>
      <xdr:col>11</xdr:col>
      <xdr:colOff>1043781</xdr:colOff>
      <xdr:row>40</xdr:row>
      <xdr:rowOff>63500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613820</xdr:colOff>
      <xdr:row>1</xdr:row>
      <xdr:rowOff>96570</xdr:rowOff>
    </xdr:from>
    <xdr:to>
      <xdr:col>11</xdr:col>
      <xdr:colOff>698495</xdr:colOff>
      <xdr:row>7</xdr:row>
      <xdr:rowOff>63497</xdr:rowOff>
    </xdr:to>
    <xdr:sp macro="" textlink="">
      <xdr:nvSpPr>
        <xdr:cNvPr id="3" name="Title 7"/>
        <xdr:cNvSpPr txBox="1"/>
      </xdr:nvSpPr>
      <xdr:spPr>
        <a:xfrm>
          <a:off x="2975610" y="258445"/>
          <a:ext cx="6380480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</a:t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31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 de Julio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  <xdr:twoCellAnchor editAs="oneCell">
    <xdr:from>
      <xdr:col>2</xdr:col>
      <xdr:colOff>129668</xdr:colOff>
      <xdr:row>2</xdr:row>
      <xdr:rowOff>6461</xdr:rowOff>
    </xdr:from>
    <xdr:to>
      <xdr:col>3</xdr:col>
      <xdr:colOff>332072</xdr:colOff>
      <xdr:row>6</xdr:row>
      <xdr:rowOff>136553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0190" y="330200"/>
          <a:ext cx="1173480" cy="777875"/>
        </a:xfrm>
        <a:prstGeom prst="rect">
          <a:avLst/>
        </a:prstGeom>
      </xdr:spPr>
    </xdr:pic>
    <xdr:clientData/>
  </xdr:twoCellAnchor>
  <xdr:twoCellAnchor editAs="oneCell">
    <xdr:from>
      <xdr:col>0</xdr:col>
      <xdr:colOff>414090</xdr:colOff>
      <xdr:row>1</xdr:row>
      <xdr:rowOff>23813</xdr:rowOff>
    </xdr:from>
    <xdr:to>
      <xdr:col>2</xdr:col>
      <xdr:colOff>111142</xdr:colOff>
      <xdr:row>8</xdr:row>
      <xdr:rowOff>17861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20" y="185420"/>
          <a:ext cx="1087755" cy="1127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444500</xdr:colOff>
      <xdr:row>13</xdr:row>
      <xdr:rowOff>180975</xdr:rowOff>
    </xdr:from>
    <xdr:to>
      <xdr:col>12</xdr:col>
      <xdr:colOff>0</xdr:colOff>
      <xdr:row>33</xdr:row>
      <xdr:rowOff>57150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640560</xdr:colOff>
      <xdr:row>1</xdr:row>
      <xdr:rowOff>8048</xdr:rowOff>
    </xdr:from>
    <xdr:to>
      <xdr:col>2</xdr:col>
      <xdr:colOff>959380</xdr:colOff>
      <xdr:row>2</xdr:row>
      <xdr:rowOff>39715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" y="198120"/>
          <a:ext cx="1176020" cy="76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120650</xdr:rowOff>
    </xdr:from>
    <xdr:to>
      <xdr:col>1</xdr:col>
      <xdr:colOff>638969</xdr:colOff>
      <xdr:row>3</xdr:row>
      <xdr:rowOff>111523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650"/>
          <a:ext cx="1086485" cy="1104900"/>
        </a:xfrm>
        <a:prstGeom prst="rect">
          <a:avLst/>
        </a:prstGeom>
      </xdr:spPr>
    </xdr:pic>
    <xdr:clientData/>
  </xdr:twoCellAnchor>
  <xdr:twoCellAnchor>
    <xdr:from>
      <xdr:col>2</xdr:col>
      <xdr:colOff>963084</xdr:colOff>
      <xdr:row>0</xdr:row>
      <xdr:rowOff>71968</xdr:rowOff>
    </xdr:from>
    <xdr:to>
      <xdr:col>12</xdr:col>
      <xdr:colOff>433917</xdr:colOff>
      <xdr:row>3</xdr:row>
      <xdr:rowOff>165105</xdr:rowOff>
    </xdr:to>
    <xdr:sp macro="" textlink="">
      <xdr:nvSpPr>
        <xdr:cNvPr id="5" name="Title 7"/>
        <xdr:cNvSpPr txBox="1"/>
      </xdr:nvSpPr>
      <xdr:spPr>
        <a:xfrm>
          <a:off x="2267585" y="71755"/>
          <a:ext cx="8195945" cy="1207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Eficiencia Presupuestaria por</a:t>
          </a:r>
          <a:r>
            <a:rPr lang="es-ES" altLang="es-CL" sz="2400" b="1" baseline="0">
              <a:solidFill>
                <a:srgbClr val="006CB7"/>
              </a:solidFill>
              <a:latin typeface="Verdana" panose="020B0604030504040204" pitchFamily="34" charset="0"/>
            </a:rPr>
            <a:t> Provincia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b="1">
              <a:solidFill>
                <a:srgbClr val="006CB7"/>
              </a:solidFill>
              <a:latin typeface="Verdana" panose="020B0604030504040204" pitchFamily="34" charset="0"/>
            </a:rPr>
            <a:t>Gasto FNDR </a:t>
          </a:r>
          <a:r>
            <a:rPr lang="es-ES" altLang="es-CL" sz="2400" b="1">
              <a:solidFill>
                <a:srgbClr val="006CB7"/>
              </a:solidFill>
              <a:latin typeface="Verdana" panose="020B0604030504040204" pitchFamily="34" charset="0"/>
            </a:rPr>
            <a:t>al </a:t>
          </a:r>
          <a:r>
            <a:rPr lang="es-CL" altLang="es-CL" sz="2400" b="1">
              <a:solidFill>
                <a:srgbClr val="006CB7"/>
              </a:solidFill>
              <a:latin typeface="Verdana" panose="020B0604030504040204" pitchFamily="34" charset="0"/>
            </a:rPr>
            <a:t>31 de Julio</a:t>
          </a:r>
          <a:r>
            <a:rPr lang="es-ES_tradnl" altLang="es-CL" sz="2400" b="1">
              <a:solidFill>
                <a:srgbClr val="006CB7"/>
              </a:solidFill>
              <a:latin typeface="Verdana" panose="020B0604030504040204" pitchFamily="34" charset="0"/>
            </a:rPr>
            <a:t> 2020 – %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1488286</xdr:colOff>
      <xdr:row>0</xdr:row>
      <xdr:rowOff>93774</xdr:rowOff>
    </xdr:from>
    <xdr:to>
      <xdr:col>3</xdr:col>
      <xdr:colOff>180976</xdr:colOff>
      <xdr:row>1</xdr:row>
      <xdr:rowOff>576829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35480" y="93345"/>
          <a:ext cx="1074420" cy="58801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0</xdr:row>
      <xdr:rowOff>0</xdr:rowOff>
    </xdr:from>
    <xdr:to>
      <xdr:col>1</xdr:col>
      <xdr:colOff>1381125</xdr:colOff>
      <xdr:row>2</xdr:row>
      <xdr:rowOff>172357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0"/>
          <a:ext cx="990600" cy="1010285"/>
        </a:xfrm>
        <a:prstGeom prst="rect">
          <a:avLst/>
        </a:prstGeom>
      </xdr:spPr>
    </xdr:pic>
    <xdr:clientData/>
  </xdr:twoCellAnchor>
  <xdr:twoCellAnchor>
    <xdr:from>
      <xdr:col>3</xdr:col>
      <xdr:colOff>819150</xdr:colOff>
      <xdr:row>0</xdr:row>
      <xdr:rowOff>102660</xdr:rowOff>
    </xdr:from>
    <xdr:to>
      <xdr:col>11</xdr:col>
      <xdr:colOff>171450</xdr:colOff>
      <xdr:row>1</xdr:row>
      <xdr:rowOff>571500</xdr:rowOff>
    </xdr:to>
    <xdr:sp macro="" textlink="">
      <xdr:nvSpPr>
        <xdr:cNvPr id="5" name="Title 7"/>
        <xdr:cNvSpPr txBox="1"/>
      </xdr:nvSpPr>
      <xdr:spPr>
        <a:xfrm>
          <a:off x="3648075" y="102235"/>
          <a:ext cx="5857875" cy="57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Osorno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685799</xdr:colOff>
      <xdr:row>13</xdr:row>
      <xdr:rowOff>90487</xdr:rowOff>
    </xdr:from>
    <xdr:to>
      <xdr:col>12</xdr:col>
      <xdr:colOff>28574</xdr:colOff>
      <xdr:row>27</xdr:row>
      <xdr:rowOff>142875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89535</xdr:colOff>
      <xdr:row>20</xdr:row>
      <xdr:rowOff>491490</xdr:rowOff>
    </xdr:from>
    <xdr:to>
      <xdr:col>2</xdr:col>
      <xdr:colOff>674334</xdr:colOff>
      <xdr:row>21</xdr:row>
      <xdr:rowOff>106680</xdr:rowOff>
    </xdr:to>
    <xdr:sp macro="" textlink="$L$5">
      <xdr:nvSpPr>
        <xdr:cNvPr id="7" name="6 CuadroTexto"/>
        <xdr:cNvSpPr txBox="1"/>
      </xdr:nvSpPr>
      <xdr:spPr>
        <a:xfrm>
          <a:off x="2108835" y="5539740"/>
          <a:ext cx="584200" cy="205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70,95%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350520</xdr:colOff>
      <xdr:row>22</xdr:row>
      <xdr:rowOff>11430</xdr:rowOff>
    </xdr:from>
    <xdr:to>
      <xdr:col>3</xdr:col>
      <xdr:colOff>981075</xdr:colOff>
      <xdr:row>23</xdr:row>
      <xdr:rowOff>38100</xdr:rowOff>
    </xdr:to>
    <xdr:sp macro="" textlink="$L$6">
      <xdr:nvSpPr>
        <xdr:cNvPr id="8" name="7 CuadroTexto"/>
        <xdr:cNvSpPr txBox="1"/>
      </xdr:nvSpPr>
      <xdr:spPr>
        <a:xfrm>
          <a:off x="3179445" y="5840730"/>
          <a:ext cx="630555" cy="217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38,69%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373380</xdr:colOff>
      <xdr:row>22</xdr:row>
      <xdr:rowOff>74295</xdr:rowOff>
    </xdr:from>
    <xdr:to>
      <xdr:col>5</xdr:col>
      <xdr:colOff>241899</xdr:colOff>
      <xdr:row>23</xdr:row>
      <xdr:rowOff>100965</xdr:rowOff>
    </xdr:to>
    <xdr:sp macro="" textlink="$L$7">
      <xdr:nvSpPr>
        <xdr:cNvPr id="9" name="8 CuadroTexto"/>
        <xdr:cNvSpPr txBox="1"/>
      </xdr:nvSpPr>
      <xdr:spPr>
        <a:xfrm>
          <a:off x="4183380" y="5903595"/>
          <a:ext cx="563245" cy="217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C92E4FE3-13C8-4752-8DCD-375F70D35573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53,79%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5</xdr:col>
      <xdr:colOff>645795</xdr:colOff>
      <xdr:row>21</xdr:row>
      <xdr:rowOff>163830</xdr:rowOff>
    </xdr:from>
    <xdr:to>
      <xdr:col>6</xdr:col>
      <xdr:colOff>207645</xdr:colOff>
      <xdr:row>23</xdr:row>
      <xdr:rowOff>3810</xdr:rowOff>
    </xdr:to>
    <xdr:sp macro="" textlink="$L$8">
      <xdr:nvSpPr>
        <xdr:cNvPr id="10" name="9 CuadroTexto"/>
        <xdr:cNvSpPr txBox="1"/>
      </xdr:nvSpPr>
      <xdr:spPr>
        <a:xfrm>
          <a:off x="5151120" y="5802630"/>
          <a:ext cx="609600" cy="2209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34505C2-D977-4CEC-A1A8-4B199E66CAE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56,44%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632459</xdr:colOff>
      <xdr:row>23</xdr:row>
      <xdr:rowOff>9525</xdr:rowOff>
    </xdr:from>
    <xdr:to>
      <xdr:col>7</xdr:col>
      <xdr:colOff>251459</xdr:colOff>
      <xdr:row>24</xdr:row>
      <xdr:rowOff>19050</xdr:rowOff>
    </xdr:to>
    <xdr:sp macro="" textlink="$L$9">
      <xdr:nvSpPr>
        <xdr:cNvPr id="11" name="10 CuadroTexto"/>
        <xdr:cNvSpPr txBox="1"/>
      </xdr:nvSpPr>
      <xdr:spPr>
        <a:xfrm>
          <a:off x="6184900" y="6029325"/>
          <a:ext cx="6000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9649BE1-C372-45D7-9B39-F45729F518FA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53,85%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672464</xdr:colOff>
      <xdr:row>22</xdr:row>
      <xdr:rowOff>60961</xdr:rowOff>
    </xdr:from>
    <xdr:to>
      <xdr:col>8</xdr:col>
      <xdr:colOff>276225</xdr:colOff>
      <xdr:row>23</xdr:row>
      <xdr:rowOff>60961</xdr:rowOff>
    </xdr:to>
    <xdr:sp macro="" textlink="$L$10">
      <xdr:nvSpPr>
        <xdr:cNvPr id="12" name="11 CuadroTexto"/>
        <xdr:cNvSpPr txBox="1"/>
      </xdr:nvSpPr>
      <xdr:spPr>
        <a:xfrm>
          <a:off x="7205980" y="5890260"/>
          <a:ext cx="54737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67F2822-8824-45DD-B4E8-0A1BDB39BF32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82,94%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796289</xdr:colOff>
      <xdr:row>23</xdr:row>
      <xdr:rowOff>17146</xdr:rowOff>
    </xdr:from>
    <xdr:to>
      <xdr:col>10</xdr:col>
      <xdr:colOff>539115</xdr:colOff>
      <xdr:row>24</xdr:row>
      <xdr:rowOff>45720</xdr:rowOff>
    </xdr:to>
    <xdr:sp macro="" textlink="$L$11">
      <xdr:nvSpPr>
        <xdr:cNvPr id="13" name="12 CuadroTexto"/>
        <xdr:cNvSpPr txBox="1"/>
      </xdr:nvSpPr>
      <xdr:spPr>
        <a:xfrm>
          <a:off x="8272780" y="6036945"/>
          <a:ext cx="68643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1CE9CE-8E76-4218-825D-8A4E32D3D347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47,52%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859154</xdr:colOff>
      <xdr:row>23</xdr:row>
      <xdr:rowOff>11431</xdr:rowOff>
    </xdr:from>
    <xdr:to>
      <xdr:col>11</xdr:col>
      <xdr:colOff>493395</xdr:colOff>
      <xdr:row>23</xdr:row>
      <xdr:rowOff>175261</xdr:rowOff>
    </xdr:to>
    <xdr:sp macro="" textlink="$L$12">
      <xdr:nvSpPr>
        <xdr:cNvPr id="14" name="13 CuadroTexto"/>
        <xdr:cNvSpPr txBox="1"/>
      </xdr:nvSpPr>
      <xdr:spPr>
        <a:xfrm>
          <a:off x="9278620" y="6031230"/>
          <a:ext cx="549275" cy="16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A34B88-47FC-4C3D-A0E7-3BF3CA276B2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41,56%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516736</xdr:colOff>
      <xdr:row>0</xdr:row>
      <xdr:rowOff>84249</xdr:rowOff>
    </xdr:from>
    <xdr:to>
      <xdr:col>3</xdr:col>
      <xdr:colOff>695325</xdr:colOff>
      <xdr:row>1</xdr:row>
      <xdr:rowOff>520381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355" y="83820"/>
          <a:ext cx="988695" cy="541020"/>
        </a:xfrm>
        <a:prstGeom prst="rect">
          <a:avLst/>
        </a:prstGeom>
      </xdr:spPr>
    </xdr:pic>
    <xdr:clientData/>
  </xdr:twoCellAnchor>
  <xdr:twoCellAnchor editAs="oneCell">
    <xdr:from>
      <xdr:col>1</xdr:col>
      <xdr:colOff>733425</xdr:colOff>
      <xdr:row>0</xdr:row>
      <xdr:rowOff>47625</xdr:rowOff>
    </xdr:from>
    <xdr:to>
      <xdr:col>2</xdr:col>
      <xdr:colOff>523875</xdr:colOff>
      <xdr:row>2</xdr:row>
      <xdr:rowOff>200025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47625"/>
          <a:ext cx="904875" cy="914400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0</xdr:row>
      <xdr:rowOff>47627</xdr:rowOff>
    </xdr:from>
    <xdr:to>
      <xdr:col>12</xdr:col>
      <xdr:colOff>533399</xdr:colOff>
      <xdr:row>1</xdr:row>
      <xdr:rowOff>542926</xdr:rowOff>
    </xdr:to>
    <xdr:sp macro="" textlink="">
      <xdr:nvSpPr>
        <xdr:cNvPr id="4" name="Title 7"/>
        <xdr:cNvSpPr txBox="1"/>
      </xdr:nvSpPr>
      <xdr:spPr>
        <a:xfrm>
          <a:off x="3837940" y="47625"/>
          <a:ext cx="6324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Llanquihue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de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– %</a:t>
          </a:r>
        </a:p>
      </xdr:txBody>
    </xdr:sp>
    <xdr:clientData/>
  </xdr:twoCellAnchor>
  <xdr:twoCellAnchor>
    <xdr:from>
      <xdr:col>1</xdr:col>
      <xdr:colOff>685798</xdr:colOff>
      <xdr:row>15</xdr:row>
      <xdr:rowOff>90487</xdr:rowOff>
    </xdr:from>
    <xdr:to>
      <xdr:col>12</xdr:col>
      <xdr:colOff>180974</xdr:colOff>
      <xdr:row>28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447674</xdr:colOff>
      <xdr:row>18</xdr:row>
      <xdr:rowOff>704850</xdr:rowOff>
    </xdr:from>
    <xdr:to>
      <xdr:col>3</xdr:col>
      <xdr:colOff>219074</xdr:colOff>
      <xdr:row>19</xdr:row>
      <xdr:rowOff>38100</xdr:rowOff>
    </xdr:to>
    <xdr:sp macro="" textlink="$L$5">
      <xdr:nvSpPr>
        <xdr:cNvPr id="6" name="5 CuadroTexto"/>
        <xdr:cNvSpPr txBox="1"/>
      </xdr:nvSpPr>
      <xdr:spPr>
        <a:xfrm>
          <a:off x="2009140" y="4514850"/>
          <a:ext cx="581025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85,22%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447674</xdr:colOff>
      <xdr:row>22</xdr:row>
      <xdr:rowOff>276225</xdr:rowOff>
    </xdr:from>
    <xdr:to>
      <xdr:col>4</xdr:col>
      <xdr:colOff>133349</xdr:colOff>
      <xdr:row>22</xdr:row>
      <xdr:rowOff>476250</xdr:rowOff>
    </xdr:to>
    <xdr:sp macro="" textlink="$L$6">
      <xdr:nvSpPr>
        <xdr:cNvPr id="7" name="6 CuadroTexto"/>
        <xdr:cNvSpPr txBox="1"/>
      </xdr:nvSpPr>
      <xdr:spPr>
        <a:xfrm>
          <a:off x="2818765" y="550545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15,13%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228599</xdr:colOff>
      <xdr:row>22</xdr:row>
      <xdr:rowOff>295275</xdr:rowOff>
    </xdr:from>
    <xdr:to>
      <xdr:col>5</xdr:col>
      <xdr:colOff>200024</xdr:colOff>
      <xdr:row>22</xdr:row>
      <xdr:rowOff>495300</xdr:rowOff>
    </xdr:to>
    <xdr:sp macro="" textlink="$L$7">
      <xdr:nvSpPr>
        <xdr:cNvPr id="14" name="13 CuadroTexto"/>
        <xdr:cNvSpPr txBox="1"/>
      </xdr:nvSpPr>
      <xdr:spPr>
        <a:xfrm>
          <a:off x="3580765" y="552450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7,25%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5</xdr:col>
      <xdr:colOff>266700</xdr:colOff>
      <xdr:row>22</xdr:row>
      <xdr:rowOff>228600</xdr:rowOff>
    </xdr:from>
    <xdr:to>
      <xdr:col>5</xdr:col>
      <xdr:colOff>933450</xdr:colOff>
      <xdr:row>22</xdr:row>
      <xdr:rowOff>428625</xdr:rowOff>
    </xdr:to>
    <xdr:sp macro="" textlink="$L$8">
      <xdr:nvSpPr>
        <xdr:cNvPr id="15" name="14 CuadroTexto"/>
        <xdr:cNvSpPr txBox="1"/>
      </xdr:nvSpPr>
      <xdr:spPr>
        <a:xfrm>
          <a:off x="4314825" y="5457825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18,65%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45721</xdr:colOff>
      <xdr:row>22</xdr:row>
      <xdr:rowOff>186690</xdr:rowOff>
    </xdr:from>
    <xdr:to>
      <xdr:col>6</xdr:col>
      <xdr:colOff>601981</xdr:colOff>
      <xdr:row>22</xdr:row>
      <xdr:rowOff>401955</xdr:rowOff>
    </xdr:to>
    <xdr:sp macro="" textlink="$L$9">
      <xdr:nvSpPr>
        <xdr:cNvPr id="16" name="15 CuadroTexto"/>
        <xdr:cNvSpPr txBox="1"/>
      </xdr:nvSpPr>
      <xdr:spPr>
        <a:xfrm>
          <a:off x="5141595" y="5415915"/>
          <a:ext cx="556260" cy="215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39,75%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838201</xdr:colOff>
      <xdr:row>22</xdr:row>
      <xdr:rowOff>310515</xdr:rowOff>
    </xdr:from>
    <xdr:to>
      <xdr:col>7</xdr:col>
      <xdr:colOff>320041</xdr:colOff>
      <xdr:row>22</xdr:row>
      <xdr:rowOff>510540</xdr:rowOff>
    </xdr:to>
    <xdr:sp macro="" textlink="$L$10">
      <xdr:nvSpPr>
        <xdr:cNvPr id="17" name="16 CuadroTexto"/>
        <xdr:cNvSpPr txBox="1"/>
      </xdr:nvSpPr>
      <xdr:spPr>
        <a:xfrm>
          <a:off x="5934075" y="5539740"/>
          <a:ext cx="46291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72,40%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628651</xdr:colOff>
      <xdr:row>22</xdr:row>
      <xdr:rowOff>200025</xdr:rowOff>
    </xdr:from>
    <xdr:to>
      <xdr:col>8</xdr:col>
      <xdr:colOff>228601</xdr:colOff>
      <xdr:row>22</xdr:row>
      <xdr:rowOff>419100</xdr:rowOff>
    </xdr:to>
    <xdr:sp macro="" textlink="$L$11">
      <xdr:nvSpPr>
        <xdr:cNvPr id="18" name="17 CuadroTexto"/>
        <xdr:cNvSpPr txBox="1"/>
      </xdr:nvSpPr>
      <xdr:spPr>
        <a:xfrm>
          <a:off x="6705600" y="5429250"/>
          <a:ext cx="542925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68,57%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447675</xdr:colOff>
      <xdr:row>22</xdr:row>
      <xdr:rowOff>247650</xdr:rowOff>
    </xdr:from>
    <xdr:to>
      <xdr:col>10</xdr:col>
      <xdr:colOff>142875</xdr:colOff>
      <xdr:row>22</xdr:row>
      <xdr:rowOff>447675</xdr:rowOff>
    </xdr:to>
    <xdr:sp macro="" textlink="$L$12">
      <xdr:nvSpPr>
        <xdr:cNvPr id="19" name="18 CuadroTexto"/>
        <xdr:cNvSpPr txBox="1"/>
      </xdr:nvSpPr>
      <xdr:spPr>
        <a:xfrm>
          <a:off x="7467600" y="5476875"/>
          <a:ext cx="6381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26,77%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323851</xdr:colOff>
      <xdr:row>22</xdr:row>
      <xdr:rowOff>285750</xdr:rowOff>
    </xdr:from>
    <xdr:to>
      <xdr:col>11</xdr:col>
      <xdr:colOff>28576</xdr:colOff>
      <xdr:row>22</xdr:row>
      <xdr:rowOff>485775</xdr:rowOff>
    </xdr:to>
    <xdr:sp macro="" textlink="$L$13">
      <xdr:nvSpPr>
        <xdr:cNvPr id="20" name="19 CuadroTexto"/>
        <xdr:cNvSpPr txBox="1"/>
      </xdr:nvSpPr>
      <xdr:spPr>
        <a:xfrm>
          <a:off x="8286750" y="5514975"/>
          <a:ext cx="61912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13,17%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11</xdr:col>
      <xdr:colOff>158115</xdr:colOff>
      <xdr:row>22</xdr:row>
      <xdr:rowOff>62864</xdr:rowOff>
    </xdr:from>
    <xdr:to>
      <xdr:col>11</xdr:col>
      <xdr:colOff>721995</xdr:colOff>
      <xdr:row>22</xdr:row>
      <xdr:rowOff>266699</xdr:rowOff>
    </xdr:to>
    <xdr:sp macro="" textlink="$L$14">
      <xdr:nvSpPr>
        <xdr:cNvPr id="21" name="20 CuadroTexto"/>
        <xdr:cNvSpPr txBox="1"/>
      </xdr:nvSpPr>
      <xdr:spPr>
        <a:xfrm>
          <a:off x="9035415" y="5291455"/>
          <a:ext cx="563880" cy="203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34,00%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1053597</xdr:colOff>
      <xdr:row>1</xdr:row>
      <xdr:rowOff>75590</xdr:rowOff>
    </xdr:from>
    <xdr:to>
      <xdr:col>2</xdr:col>
      <xdr:colOff>703981</xdr:colOff>
      <xdr:row>1</xdr:row>
      <xdr:rowOff>615631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140" y="180340"/>
          <a:ext cx="993140" cy="539750"/>
        </a:xfrm>
        <a:prstGeom prst="rect">
          <a:avLst/>
        </a:prstGeom>
      </xdr:spPr>
    </xdr:pic>
    <xdr:clientData/>
  </xdr:twoCellAnchor>
  <xdr:twoCellAnchor editAs="oneCell">
    <xdr:from>
      <xdr:col>1</xdr:col>
      <xdr:colOff>49356</xdr:colOff>
      <xdr:row>0</xdr:row>
      <xdr:rowOff>30307</xdr:rowOff>
    </xdr:from>
    <xdr:to>
      <xdr:col>1</xdr:col>
      <xdr:colOff>958561</xdr:colOff>
      <xdr:row>2</xdr:row>
      <xdr:rowOff>190546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" y="29845"/>
          <a:ext cx="909320" cy="922655"/>
        </a:xfrm>
        <a:prstGeom prst="rect">
          <a:avLst/>
        </a:prstGeom>
      </xdr:spPr>
    </xdr:pic>
    <xdr:clientData/>
  </xdr:twoCellAnchor>
  <xdr:twoCellAnchor>
    <xdr:from>
      <xdr:col>3</xdr:col>
      <xdr:colOff>295277</xdr:colOff>
      <xdr:row>0</xdr:row>
      <xdr:rowOff>81397</xdr:rowOff>
    </xdr:from>
    <xdr:to>
      <xdr:col>10</xdr:col>
      <xdr:colOff>190499</xdr:colOff>
      <xdr:row>1</xdr:row>
      <xdr:rowOff>536864</xdr:rowOff>
    </xdr:to>
    <xdr:sp macro="" textlink="">
      <xdr:nvSpPr>
        <xdr:cNvPr id="4" name="Title 7"/>
        <xdr:cNvSpPr txBox="1"/>
      </xdr:nvSpPr>
      <xdr:spPr>
        <a:xfrm>
          <a:off x="2895600" y="81280"/>
          <a:ext cx="5600065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Chiloe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</a:t>
          </a:r>
          <a:r>
            <a:rPr lang="es-CL" altLang="es-CL" sz="1400" b="1" baseline="0">
              <a:solidFill>
                <a:srgbClr val="006CB7"/>
              </a:solidFill>
              <a:latin typeface="Verdana" panose="020B0604030504040204" pitchFamily="34" charset="0"/>
            </a:rPr>
            <a:t>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695324</xdr:colOff>
      <xdr:row>16</xdr:row>
      <xdr:rowOff>80962</xdr:rowOff>
    </xdr:from>
    <xdr:to>
      <xdr:col>12</xdr:col>
      <xdr:colOff>152401</xdr:colOff>
      <xdr:row>28</xdr:row>
      <xdr:rowOff>19050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702250</xdr:colOff>
      <xdr:row>24</xdr:row>
      <xdr:rowOff>1</xdr:rowOff>
    </xdr:from>
    <xdr:to>
      <xdr:col>6</xdr:col>
      <xdr:colOff>335970</xdr:colOff>
      <xdr:row>25</xdr:row>
      <xdr:rowOff>19051</xdr:rowOff>
    </xdr:to>
    <xdr:sp macro="" textlink="$L$9">
      <xdr:nvSpPr>
        <xdr:cNvPr id="10" name="9 CuadroTexto"/>
        <xdr:cNvSpPr txBox="1"/>
      </xdr:nvSpPr>
      <xdr:spPr>
        <a:xfrm>
          <a:off x="4978400" y="5972175"/>
          <a:ext cx="681990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58,93%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430357</xdr:colOff>
      <xdr:row>24</xdr:row>
      <xdr:rowOff>6061</xdr:rowOff>
    </xdr:from>
    <xdr:to>
      <xdr:col>7</xdr:col>
      <xdr:colOff>23380</xdr:colOff>
      <xdr:row>25</xdr:row>
      <xdr:rowOff>15586</xdr:rowOff>
    </xdr:to>
    <xdr:sp macro="" textlink="$L$10">
      <xdr:nvSpPr>
        <xdr:cNvPr id="11" name="10 CuadroTexto"/>
        <xdr:cNvSpPr txBox="1"/>
      </xdr:nvSpPr>
      <xdr:spPr>
        <a:xfrm>
          <a:off x="5754370" y="5977890"/>
          <a:ext cx="64071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C6675F2-347D-44E4-A940-CE161A2CCCD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38,60%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69273</xdr:colOff>
      <xdr:row>23</xdr:row>
      <xdr:rowOff>558512</xdr:rowOff>
    </xdr:from>
    <xdr:to>
      <xdr:col>7</xdr:col>
      <xdr:colOff>762866</xdr:colOff>
      <xdr:row>24</xdr:row>
      <xdr:rowOff>169719</xdr:rowOff>
    </xdr:to>
    <xdr:sp macro="" textlink="$L$11">
      <xdr:nvSpPr>
        <xdr:cNvPr id="12" name="11 CuadroTexto"/>
        <xdr:cNvSpPr txBox="1"/>
      </xdr:nvSpPr>
      <xdr:spPr>
        <a:xfrm>
          <a:off x="6441440" y="5939790"/>
          <a:ext cx="693420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3E8E2FCE-C218-405A-B36B-AA18F8093B74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22,49%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867642</xdr:colOff>
      <xdr:row>23</xdr:row>
      <xdr:rowOff>573231</xdr:rowOff>
    </xdr:from>
    <xdr:to>
      <xdr:col>8</xdr:col>
      <xdr:colOff>432956</xdr:colOff>
      <xdr:row>25</xdr:row>
      <xdr:rowOff>15586</xdr:rowOff>
    </xdr:to>
    <xdr:sp macro="" textlink="$L$12">
      <xdr:nvSpPr>
        <xdr:cNvPr id="13" name="12 CuadroTexto"/>
        <xdr:cNvSpPr txBox="1"/>
      </xdr:nvSpPr>
      <xdr:spPr>
        <a:xfrm>
          <a:off x="7239635" y="5954395"/>
          <a:ext cx="555625" cy="223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F0FCB8BF-F2D8-43F3-8393-314BEA9DAA6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39,91%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10</xdr:col>
      <xdr:colOff>398319</xdr:colOff>
      <xdr:row>24</xdr:row>
      <xdr:rowOff>0</xdr:rowOff>
    </xdr:from>
    <xdr:to>
      <xdr:col>11</xdr:col>
      <xdr:colOff>74468</xdr:colOff>
      <xdr:row>25</xdr:row>
      <xdr:rowOff>19050</xdr:rowOff>
    </xdr:to>
    <xdr:sp macro="" textlink="$L$14">
      <xdr:nvSpPr>
        <xdr:cNvPr id="14" name="13 CuadroTexto"/>
        <xdr:cNvSpPr txBox="1"/>
      </xdr:nvSpPr>
      <xdr:spPr>
        <a:xfrm>
          <a:off x="8703945" y="5972175"/>
          <a:ext cx="600075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B99A31D-7A49-4DB2-906B-F7FC1C321C6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69,83%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11</xdr:col>
      <xdr:colOff>228599</xdr:colOff>
      <xdr:row>24</xdr:row>
      <xdr:rowOff>31173</xdr:rowOff>
    </xdr:from>
    <xdr:to>
      <xdr:col>12</xdr:col>
      <xdr:colOff>93517</xdr:colOff>
      <xdr:row>25</xdr:row>
      <xdr:rowOff>29442</xdr:rowOff>
    </xdr:to>
    <xdr:sp macro="" textlink="$L$15">
      <xdr:nvSpPr>
        <xdr:cNvPr id="15" name="14 CuadroTexto"/>
        <xdr:cNvSpPr txBox="1"/>
      </xdr:nvSpPr>
      <xdr:spPr>
        <a:xfrm>
          <a:off x="9457690" y="6003290"/>
          <a:ext cx="665480" cy="1885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C48B2B8-813A-4130-BBCC-EB80835CB941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29,13%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8</xdr:col>
      <xdr:colOff>603538</xdr:colOff>
      <xdr:row>23</xdr:row>
      <xdr:rowOff>439882</xdr:rowOff>
    </xdr:from>
    <xdr:to>
      <xdr:col>10</xdr:col>
      <xdr:colOff>300470</xdr:colOff>
      <xdr:row>24</xdr:row>
      <xdr:rowOff>51089</xdr:rowOff>
    </xdr:to>
    <xdr:sp macro="" textlink="$L$13">
      <xdr:nvSpPr>
        <xdr:cNvPr id="16" name="15 CuadroTexto"/>
        <xdr:cNvSpPr txBox="1"/>
      </xdr:nvSpPr>
      <xdr:spPr>
        <a:xfrm>
          <a:off x="7966075" y="5821045"/>
          <a:ext cx="640080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E8E17F03-A3B4-47A4-9433-93BDF941801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61,54%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2</xdr:col>
      <xdr:colOff>219071</xdr:colOff>
      <xdr:row>23</xdr:row>
      <xdr:rowOff>30307</xdr:rowOff>
    </xdr:from>
    <xdr:to>
      <xdr:col>3</xdr:col>
      <xdr:colOff>9521</xdr:colOff>
      <xdr:row>23</xdr:row>
      <xdr:rowOff>227734</xdr:rowOff>
    </xdr:to>
    <xdr:sp macro="" textlink="$L$5">
      <xdr:nvSpPr>
        <xdr:cNvPr id="17" name="16 CuadroTexto"/>
        <xdr:cNvSpPr txBox="1"/>
      </xdr:nvSpPr>
      <xdr:spPr>
        <a:xfrm>
          <a:off x="2009140" y="5411470"/>
          <a:ext cx="600075" cy="1974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60,69%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127286</xdr:colOff>
      <xdr:row>23</xdr:row>
      <xdr:rowOff>467591</xdr:rowOff>
    </xdr:from>
    <xdr:to>
      <xdr:col>3</xdr:col>
      <xdr:colOff>820013</xdr:colOff>
      <xdr:row>24</xdr:row>
      <xdr:rowOff>68407</xdr:rowOff>
    </xdr:to>
    <xdr:sp macro="" textlink="$L$6">
      <xdr:nvSpPr>
        <xdr:cNvPr id="18" name="17 CuadroTexto"/>
        <xdr:cNvSpPr txBox="1"/>
      </xdr:nvSpPr>
      <xdr:spPr>
        <a:xfrm>
          <a:off x="2727325" y="5848985"/>
          <a:ext cx="692785" cy="191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32,24%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3</xdr:col>
      <xdr:colOff>913531</xdr:colOff>
      <xdr:row>23</xdr:row>
      <xdr:rowOff>504825</xdr:rowOff>
    </xdr:from>
    <xdr:to>
      <xdr:col>4</xdr:col>
      <xdr:colOff>594011</xdr:colOff>
      <xdr:row>24</xdr:row>
      <xdr:rowOff>105641</xdr:rowOff>
    </xdr:to>
    <xdr:sp macro="" textlink="$L$7">
      <xdr:nvSpPr>
        <xdr:cNvPr id="19" name="18 CuadroTexto"/>
        <xdr:cNvSpPr txBox="1"/>
      </xdr:nvSpPr>
      <xdr:spPr>
        <a:xfrm>
          <a:off x="3513455" y="5886450"/>
          <a:ext cx="661670" cy="1911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46,52%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653759</xdr:colOff>
      <xdr:row>23</xdr:row>
      <xdr:rowOff>467592</xdr:rowOff>
    </xdr:from>
    <xdr:to>
      <xdr:col>5</xdr:col>
      <xdr:colOff>604402</xdr:colOff>
      <xdr:row>24</xdr:row>
      <xdr:rowOff>78799</xdr:rowOff>
    </xdr:to>
    <xdr:sp macro="" textlink="$L$8">
      <xdr:nvSpPr>
        <xdr:cNvPr id="20" name="19 CuadroTexto"/>
        <xdr:cNvSpPr txBox="1"/>
      </xdr:nvSpPr>
      <xdr:spPr>
        <a:xfrm>
          <a:off x="4234815" y="5848985"/>
          <a:ext cx="645795" cy="2019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51,99%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316711</xdr:colOff>
      <xdr:row>1</xdr:row>
      <xdr:rowOff>55674</xdr:rowOff>
    </xdr:from>
    <xdr:to>
      <xdr:col>3</xdr:col>
      <xdr:colOff>762710</xdr:colOff>
      <xdr:row>2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5530" y="160020"/>
          <a:ext cx="1256030" cy="687705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0</xdr:row>
      <xdr:rowOff>28575</xdr:rowOff>
    </xdr:from>
    <xdr:to>
      <xdr:col>2</xdr:col>
      <xdr:colOff>110213</xdr:colOff>
      <xdr:row>3</xdr:row>
      <xdr:rowOff>85725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8575"/>
          <a:ext cx="1148080" cy="1171575"/>
        </a:xfrm>
        <a:prstGeom prst="rect">
          <a:avLst/>
        </a:prstGeom>
      </xdr:spPr>
    </xdr:pic>
    <xdr:clientData/>
  </xdr:twoCellAnchor>
  <xdr:twoCellAnchor>
    <xdr:from>
      <xdr:col>4</xdr:col>
      <xdr:colOff>485774</xdr:colOff>
      <xdr:row>1</xdr:row>
      <xdr:rowOff>66677</xdr:rowOff>
    </xdr:from>
    <xdr:to>
      <xdr:col>12</xdr:col>
      <xdr:colOff>533399</xdr:colOff>
      <xdr:row>1</xdr:row>
      <xdr:rowOff>647701</xdr:rowOff>
    </xdr:to>
    <xdr:sp macro="" textlink="">
      <xdr:nvSpPr>
        <xdr:cNvPr id="4" name="Title 7"/>
        <xdr:cNvSpPr txBox="1"/>
      </xdr:nvSpPr>
      <xdr:spPr>
        <a:xfrm>
          <a:off x="4295140" y="171450"/>
          <a:ext cx="6324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Provincia Palena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  <xdr:twoCellAnchor>
    <xdr:from>
      <xdr:col>1</xdr:col>
      <xdr:colOff>704849</xdr:colOff>
      <xdr:row>12</xdr:row>
      <xdr:rowOff>176212</xdr:rowOff>
    </xdr:from>
    <xdr:to>
      <xdr:col>12</xdr:col>
      <xdr:colOff>161926</xdr:colOff>
      <xdr:row>25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681990</xdr:colOff>
      <xdr:row>21</xdr:row>
      <xdr:rowOff>133350</xdr:rowOff>
    </xdr:from>
    <xdr:to>
      <xdr:col>11</xdr:col>
      <xdr:colOff>226695</xdr:colOff>
      <xdr:row>22</xdr:row>
      <xdr:rowOff>142875</xdr:rowOff>
    </xdr:to>
    <xdr:sp macro="" textlink="$L$10">
      <xdr:nvSpPr>
        <xdr:cNvPr id="6" name="5 CuadroTexto"/>
        <xdr:cNvSpPr txBox="1"/>
      </xdr:nvSpPr>
      <xdr:spPr>
        <a:xfrm>
          <a:off x="9102090" y="5924550"/>
          <a:ext cx="45910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CF2A535-48A0-4BB6-9310-3ED544F172A8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5,46%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2</xdr:col>
      <xdr:colOff>457199</xdr:colOff>
      <xdr:row>18</xdr:row>
      <xdr:rowOff>253365</xdr:rowOff>
    </xdr:from>
    <xdr:to>
      <xdr:col>3</xdr:col>
      <xdr:colOff>226694</xdr:colOff>
      <xdr:row>18</xdr:row>
      <xdr:rowOff>445770</xdr:rowOff>
    </xdr:to>
    <xdr:sp macro="" textlink="$L$6">
      <xdr:nvSpPr>
        <xdr:cNvPr id="13" name="12 CuadroTexto"/>
        <xdr:cNvSpPr txBox="1"/>
      </xdr:nvSpPr>
      <xdr:spPr>
        <a:xfrm>
          <a:off x="2475865" y="5073015"/>
          <a:ext cx="579120" cy="1924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95E9EEF7-31A7-4DF8-835B-CEBD9E65DE1F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64,27%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4</xdr:col>
      <xdr:colOff>255269</xdr:colOff>
      <xdr:row>21</xdr:row>
      <xdr:rowOff>110490</xdr:rowOff>
    </xdr:from>
    <xdr:to>
      <xdr:col>5</xdr:col>
      <xdr:colOff>226694</xdr:colOff>
      <xdr:row>22</xdr:row>
      <xdr:rowOff>120015</xdr:rowOff>
    </xdr:to>
    <xdr:sp macro="" textlink="$L$7">
      <xdr:nvSpPr>
        <xdr:cNvPr id="14" name="13 CuadroTexto"/>
        <xdr:cNvSpPr txBox="1"/>
      </xdr:nvSpPr>
      <xdr:spPr>
        <a:xfrm>
          <a:off x="4064635" y="5901690"/>
          <a:ext cx="666750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0975CF2-2DD1-4AC9-BD1D-278755104F9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16,59%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6</xdr:col>
      <xdr:colOff>222884</xdr:colOff>
      <xdr:row>21</xdr:row>
      <xdr:rowOff>99060</xdr:rowOff>
    </xdr:from>
    <xdr:to>
      <xdr:col>6</xdr:col>
      <xdr:colOff>916304</xdr:colOff>
      <xdr:row>22</xdr:row>
      <xdr:rowOff>116205</xdr:rowOff>
    </xdr:to>
    <xdr:sp macro="" textlink="$L$8">
      <xdr:nvSpPr>
        <xdr:cNvPr id="15" name="14 CuadroTexto"/>
        <xdr:cNvSpPr txBox="1"/>
      </xdr:nvSpPr>
      <xdr:spPr>
        <a:xfrm>
          <a:off x="5775325" y="5890260"/>
          <a:ext cx="693420" cy="2076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555B1025-8E3D-4C22-ADAC-95DE0E9730CE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29,89%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  <xdr:twoCellAnchor>
    <xdr:from>
      <xdr:col>7</xdr:col>
      <xdr:colOff>878205</xdr:colOff>
      <xdr:row>21</xdr:row>
      <xdr:rowOff>49530</xdr:rowOff>
    </xdr:from>
    <xdr:to>
      <xdr:col>8</xdr:col>
      <xdr:colOff>802005</xdr:colOff>
      <xdr:row>22</xdr:row>
      <xdr:rowOff>59055</xdr:rowOff>
    </xdr:to>
    <xdr:sp macro="" textlink="$L$9">
      <xdr:nvSpPr>
        <xdr:cNvPr id="16" name="15 CuadroTexto"/>
        <xdr:cNvSpPr txBox="1"/>
      </xdr:nvSpPr>
      <xdr:spPr>
        <a:xfrm>
          <a:off x="7412355" y="5840730"/>
          <a:ext cx="8667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A2E03EE3-1EA7-4459-96F0-031A73A49479}" type="TxLink">
            <a:rPr lang="en-US" sz="800" b="1" i="0" u="none" strike="noStrike">
              <a:solidFill>
                <a:srgbClr val="000000"/>
              </a:solidFill>
              <a:latin typeface="Arial" panose="020B0604020202020204"/>
              <a:cs typeface="Arial" panose="020B0604020202020204"/>
            </a:rPr>
            <a:pPr/>
            <a:t>30,09%</a:t>
          </a:fld>
          <a:endParaRPr lang="en-US" sz="800" b="1" i="0" u="none" strike="noStrike">
            <a:solidFill>
              <a:srgbClr val="000000"/>
            </a:solidFill>
            <a:latin typeface="Arial" panose="020B0604020202020204"/>
            <a:cs typeface="Arial" panose="020B060402020202020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70137</xdr:colOff>
      <xdr:row>19</xdr:row>
      <xdr:rowOff>86591</xdr:rowOff>
    </xdr:from>
    <xdr:to>
      <xdr:col>6</xdr:col>
      <xdr:colOff>822614</xdr:colOff>
      <xdr:row>40</xdr:row>
      <xdr:rowOff>60614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909205</xdr:colOff>
      <xdr:row>19</xdr:row>
      <xdr:rowOff>90055</xdr:rowOff>
    </xdr:from>
    <xdr:to>
      <xdr:col>17</xdr:col>
      <xdr:colOff>587100</xdr:colOff>
      <xdr:row>40</xdr:row>
      <xdr:rowOff>65878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90709</xdr:colOff>
      <xdr:row>0</xdr:row>
      <xdr:rowOff>45282</xdr:rowOff>
    </xdr:from>
    <xdr:to>
      <xdr:col>4</xdr:col>
      <xdr:colOff>59286</xdr:colOff>
      <xdr:row>3</xdr:row>
      <xdr:rowOff>60613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8945" y="45085"/>
          <a:ext cx="930910" cy="501015"/>
        </a:xfrm>
        <a:prstGeom prst="rect">
          <a:avLst/>
        </a:prstGeom>
      </xdr:spPr>
    </xdr:pic>
    <xdr:clientData/>
  </xdr:twoCellAnchor>
  <xdr:twoCellAnchor editAs="oneCell">
    <xdr:from>
      <xdr:col>1</xdr:col>
      <xdr:colOff>320386</xdr:colOff>
      <xdr:row>0</xdr:row>
      <xdr:rowOff>0</xdr:rowOff>
    </xdr:from>
    <xdr:to>
      <xdr:col>2</xdr:col>
      <xdr:colOff>8659</xdr:colOff>
      <xdr:row>4</xdr:row>
      <xdr:rowOff>198938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" y="0"/>
          <a:ext cx="850265" cy="855980"/>
        </a:xfrm>
        <a:prstGeom prst="rect">
          <a:avLst/>
        </a:prstGeom>
      </xdr:spPr>
    </xdr:pic>
    <xdr:clientData/>
  </xdr:twoCellAnchor>
  <xdr:twoCellAnchor>
    <xdr:from>
      <xdr:col>4</xdr:col>
      <xdr:colOff>736022</xdr:colOff>
      <xdr:row>0</xdr:row>
      <xdr:rowOff>34638</xdr:rowOff>
    </xdr:from>
    <xdr:to>
      <xdr:col>15</xdr:col>
      <xdr:colOff>199159</xdr:colOff>
      <xdr:row>3</xdr:row>
      <xdr:rowOff>155865</xdr:rowOff>
    </xdr:to>
    <xdr:sp macro="" textlink="">
      <xdr:nvSpPr>
        <xdr:cNvPr id="8" name="Title 7"/>
        <xdr:cNvSpPr txBox="1"/>
      </xdr:nvSpPr>
      <xdr:spPr>
        <a:xfrm>
          <a:off x="3326765" y="34290"/>
          <a:ext cx="5844540" cy="60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/>
        <a:lstStyle>
          <a:defPPr>
            <a:defRPr lang="en-US"/>
          </a:defPPr>
          <a:lvl1pPr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1pPr>
          <a:lvl2pPr marL="4572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2pPr>
          <a:lvl3pPr marL="9144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3pPr>
          <a:lvl4pPr marL="13716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4pPr>
          <a:lvl5pPr marL="1828800" algn="l" defTabSz="457200" rtl="0" eaLnBrk="0" fontAlgn="base" hangingPunct="0">
            <a:spcBef>
              <a:spcPct val="0"/>
            </a:spcBef>
            <a:spcAft>
              <a:spcPct val="0"/>
            </a:spcAft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5pPr>
          <a:lvl6pPr marL="22860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6pPr>
          <a:lvl7pPr marL="27432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7pPr>
          <a:lvl8pPr marL="32004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8pPr>
          <a:lvl9pPr marL="3657600" algn="l" defTabSz="914400" rtl="0" eaLnBrk="1" latinLnBrk="0" hangingPunct="1">
            <a:defRPr sz="2400" kern="1200">
              <a:solidFill>
                <a:schemeClr val="tx1"/>
              </a:solidFill>
              <a:latin typeface="Arial" panose="020B0604020202020204" pitchFamily="7" charset="0"/>
              <a:ea typeface="ヒラギノ角ゴ Pro W3" charset="-128"/>
              <a:cs typeface="+mn-cs"/>
            </a:defRPr>
          </a:lvl9pPr>
        </a:lstStyle>
        <a:p>
          <a:pPr eaLnBrk="1" hangingPunct="1">
            <a:spcBef>
              <a:spcPct val="0"/>
            </a:spcBef>
            <a:buFontTx/>
            <a:buNone/>
          </a:pP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>Eficiencia Presupuestaria </a:t>
          </a:r>
          <a:r>
            <a:rPr lang="es-ES" altLang="es-CL" sz="1800" b="1" baseline="0">
              <a:solidFill>
                <a:srgbClr val="006CB7"/>
              </a:solidFill>
              <a:latin typeface="Verdana" panose="020B0604030504040204" pitchFamily="34" charset="0"/>
            </a:rPr>
            <a:t>Por Provision</a:t>
          </a:r>
          <a: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  <a:t/>
          </a:r>
          <a:br>
            <a:rPr lang="es-ES" altLang="es-CL" sz="1800" b="1">
              <a:solidFill>
                <a:srgbClr val="006CB7"/>
              </a:solidFill>
              <a:latin typeface="Verdana" panose="020B0604030504040204" pitchFamily="34" charset="0"/>
            </a:rPr>
          </a:br>
          <a:r>
            <a:rPr lang="es-ES" altLang="es-CL" sz="1400" b="1">
              <a:solidFill>
                <a:srgbClr val="006CB7"/>
              </a:solidFill>
              <a:latin typeface="Verdana" panose="020B0604030504040204" pitchFamily="34" charset="0"/>
            </a:rPr>
            <a:t>Gasto FNDR al </a:t>
          </a:r>
          <a:r>
            <a:rPr lang="es-CL" altLang="es-CL" sz="1400" b="1">
              <a:solidFill>
                <a:srgbClr val="006CB7"/>
              </a:solidFill>
              <a:latin typeface="Verdana" panose="020B0604030504040204" pitchFamily="34" charset="0"/>
            </a:rPr>
            <a:t>31 de Julio </a:t>
          </a:r>
          <a:r>
            <a:rPr lang="es-ES_tradnl" altLang="es-CL" sz="1400" b="1">
              <a:solidFill>
                <a:srgbClr val="006CB7"/>
              </a:solidFill>
              <a:latin typeface="Verdana" panose="020B0604030504040204" pitchFamily="34" charset="0"/>
            </a:rPr>
            <a:t>2020 – %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larcon" refreshedDate="44061.430331944444" createdVersion="4" refreshedVersion="6" minRefreshableVersion="3" recordCount="907">
  <cacheSource type="worksheet">
    <worksheetSource ref="B2:AU909" sheet="ESTADO SITUACION"/>
  </cacheSource>
  <cacheFields count="46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 count="7">
        <m/>
        <s v="OSORNO"/>
        <s v="LLANQUIHUE"/>
        <s v="CHILOE"/>
        <s v="PALENA"/>
        <s v="REGIONAL"/>
        <s v="FOMENTO"/>
      </sharedItems>
    </cacheField>
    <cacheField name="COMUNA" numFmtId="0">
      <sharedItems containsBlank="1" count="39">
        <m/>
        <s v="OSORNO"/>
        <s v="PTO. OCTAY"/>
        <s v="PURRANQUE"/>
        <s v="PUYEHUE"/>
        <s v="RIO NEGRO"/>
        <s v="SAN JUAN DE LA COSTA"/>
        <s v="SAN PABLO"/>
        <s v="PROV. OSORNO"/>
        <s v="P. MONTT"/>
        <s v="CALBUCO"/>
        <s v="COCHAMO"/>
        <s v="FRESIA"/>
        <s v="FRUTILLAR"/>
        <s v="LLANQUIHUE"/>
        <s v="LOS MUERMOS"/>
        <s v="MAULLIN"/>
        <s v="P.VARAS"/>
        <s v="PROV.LLANQUIHUE"/>
        <s v="ANCUD"/>
        <s v="CASTRO"/>
        <s v="CHONCHI"/>
        <s v="CURACO DE VÉLEZ"/>
        <s v="DALCAHUE"/>
        <s v="PUQUELDON"/>
        <s v="QUEILEN"/>
        <s v="QUELLON"/>
        <s v="QUEMCHI"/>
        <s v="QUINCHAO"/>
        <s v="PROV. CHILOE"/>
        <s v="CHAITEN"/>
        <s v="FUTALEUFU"/>
        <s v="HUALAIHUE"/>
        <s v="PALENA"/>
        <s v="PAL"/>
        <s v="PROV. PALENA"/>
        <s v="REGIONAL"/>
        <s v="FOMENTO"/>
        <s v="CHILOE" u="1"/>
      </sharedItems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6612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3500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7000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0" maxValue="433393155830"/>
    </cacheField>
    <cacheField name="PAGOS AÑOS ANTERIORES" numFmtId="3">
      <sharedItems containsString="0" containsBlank="1" containsNumber="1" containsInteger="1" minValue="0" maxValue="109281988968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minValue="0" maxValue="110295558389.33333"/>
    </cacheField>
    <cacheField name="TOTAL PAGOS AL 31 JULIO 2020" numFmtId="3">
      <sharedItems containsString="0" containsBlank="1" containsNumber="1" containsInteger="1" minValue="0" maxValue="40090186269"/>
    </cacheField>
    <cacheField name="SALDO COMPROMISO" numFmtId="3">
      <sharedItems containsString="0" containsBlank="1" containsNumber="1" minValue="0" maxValue="70205372120.333328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0"/>
    </cacheField>
    <cacheField name="OCTUBRE" numFmtId="3">
      <sharedItems containsString="0" containsBlank="1" containsNumber="1" containsInteger="1" minValue="0" maxValue="0"/>
    </cacheField>
    <cacheField name="SEPTIEMBRE" numFmtId="0">
      <sharedItems containsString="0" containsBlank="1" containsNumber="1" containsInteger="1" minValue="0" maxValue="0"/>
    </cacheField>
    <cacheField name="AGOSTO" numFmtId="0">
      <sharedItems containsString="0" containsBlank="1" containsNumber="1" containsInteger="1" minValue="0" maxValue="0"/>
    </cacheField>
    <cacheField name="JULIO" numFmtId="0">
      <sharedItems containsString="0" containsBlank="1" containsNumber="1" containsInteger="1" minValue="0" maxValue="3666740688"/>
    </cacheField>
    <cacheField name="JUNIO" numFmtId="0">
      <sharedItems containsString="0" containsBlank="1" containsNumber="1" containsInteger="1" minValue="0" maxValue="5684834714"/>
    </cacheField>
    <cacheField name="MAYO" numFmtId="0">
      <sharedItems containsString="0" containsBlank="1" containsNumber="1" containsInteger="1" minValue="0" maxValue="5022881123"/>
    </cacheField>
    <cacheField name="ABRIL" numFmtId="0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0">
      <sharedItems containsNonDate="0" containsString="0" containsBlank="1"/>
    </cacheField>
    <cacheField name="ARRASTRE" numFmtId="3">
      <sharedItems containsString="0" containsBlank="1" containsNumber="1" minValue="-714216000" maxValue="213815608472.66666"/>
    </cacheField>
    <cacheField name="RATE 2020" numFmtId="0">
      <sharedItems containsBlank="1"/>
    </cacheField>
    <cacheField name="BIP 31/07/20" numFmtId="0">
      <sharedItems containsBlank="1" containsMixedTypes="1" containsNumber="1" minValue="0.06" maxValue="0.06"/>
    </cacheField>
    <cacheField name="SITUACION ACTU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larcon" refreshedDate="44061.430332523145" createdVersion="4" refreshedVersion="6" minRefreshableVersion="3" recordCount="906">
  <cacheSource type="worksheet">
    <worksheetSource ref="B2:AU908" sheet="ESTADO SITUACION"/>
  </cacheSource>
  <cacheFields count="46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 count="19">
        <m/>
        <s v="TRANSPORTE Y VIVIENDA"/>
        <s v="EDUCACIÓN Y CULTURA"/>
        <s v="DEFENSA Y SEGURIDAD"/>
        <s v="MULTISECTORIAL"/>
        <s v="DEPORTE"/>
        <s v="SALUD"/>
        <s v="AGUA POTABLE Y ALCANTARILLADO"/>
        <s v="ENERGIA"/>
        <s v="RECURSOS NATURALES Y MEDIO AMBIENTE"/>
        <s v="INDUSTRIA, COMERCIO, FINANZAS Y TURISMO"/>
        <s v="SILVOAGROPECUARIO"/>
        <s v="TRANSPORTE" u="1"/>
        <s v="VIVIENDA" u="1"/>
        <s v="PESCA" u="1"/>
        <s v="JUSTICIA" u="1"/>
        <s v="DEFENSA  Y SEGURIDAD" u="1"/>
        <s v="RECURSO NATURALES Y MEDIO AMBIENTE" u="1"/>
        <s v="EDUCACION Y CULTURA" u="1"/>
      </sharedItems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/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6612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3500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7000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0" maxValue="433393155830"/>
    </cacheField>
    <cacheField name="PAGOS AÑOS ANTERIORES" numFmtId="3">
      <sharedItems containsString="0" containsBlank="1" containsNumber="1" containsInteger="1" minValue="0" maxValue="109281988968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minValue="0" maxValue="110295558389.33333"/>
    </cacheField>
    <cacheField name="TOTAL PAGOS AL 31 JULIO 2020" numFmtId="3">
      <sharedItems containsString="0" containsBlank="1" containsNumber="1" containsInteger="1" minValue="0" maxValue="40090186269"/>
    </cacheField>
    <cacheField name="SALDO COMPROMISO" numFmtId="3">
      <sharedItems containsString="0" containsBlank="1" containsNumber="1" minValue="0" maxValue="70205372120.333328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0"/>
    </cacheField>
    <cacheField name="OCTUBRE" numFmtId="3">
      <sharedItems containsString="0" containsBlank="1" containsNumber="1" containsInteger="1" minValue="0" maxValue="0"/>
    </cacheField>
    <cacheField name="SEPTIEMBRE" numFmtId="0">
      <sharedItems containsString="0" containsBlank="1" containsNumber="1" containsInteger="1" minValue="0" maxValue="0"/>
    </cacheField>
    <cacheField name="AGOSTO" numFmtId="0">
      <sharedItems containsString="0" containsBlank="1" containsNumber="1" containsInteger="1" minValue="0" maxValue="0"/>
    </cacheField>
    <cacheField name="JULIO" numFmtId="0">
      <sharedItems containsString="0" containsBlank="1" containsNumber="1" containsInteger="1" minValue="0" maxValue="3666740688"/>
    </cacheField>
    <cacheField name="JUNIO" numFmtId="0">
      <sharedItems containsString="0" containsBlank="1" containsNumber="1" containsInteger="1" minValue="0" maxValue="5684834714"/>
    </cacheField>
    <cacheField name="MAYO" numFmtId="0">
      <sharedItems containsString="0" containsBlank="1" containsNumber="1" containsInteger="1" minValue="0" maxValue="5022881123"/>
    </cacheField>
    <cacheField name="ABRIL" numFmtId="0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0">
      <sharedItems containsNonDate="0" containsString="0" containsBlank="1"/>
    </cacheField>
    <cacheField name="ARRASTRE" numFmtId="3">
      <sharedItems containsString="0" containsBlank="1" containsNumber="1" minValue="-714216000" maxValue="213815608472.66666"/>
    </cacheField>
    <cacheField name="RATE 2020" numFmtId="0">
      <sharedItems containsBlank="1"/>
    </cacheField>
    <cacheField name="BIP 31/07/20" numFmtId="0">
      <sharedItems containsBlank="1" containsMixedTypes="1" containsNumber="1" minValue="0.06" maxValue="0.06"/>
    </cacheField>
    <cacheField name="SITUACION ACTUA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alarcon" refreshedDate="44061.430332870368" createdVersion="4" refreshedVersion="6" minRefreshableVersion="3" recordCount="907">
  <cacheSource type="worksheet">
    <worksheetSource ref="B2:AS909" sheet="ESTADO SITUACION"/>
  </cacheSource>
  <cacheFields count="44">
    <cacheField name="SUBT." numFmtId="0">
      <sharedItems containsString="0" containsBlank="1" containsNumber="1" containsInteger="1" minValue="22" maxValue="33" count="6">
        <m/>
        <n v="31"/>
        <n v="33"/>
        <n v="29"/>
        <n v="24"/>
        <n v="22"/>
      </sharedItems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/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 count="13">
        <m/>
        <s v="FAR"/>
        <s v="LIBRE"/>
        <s v="FRIL"/>
        <s v="FIE"/>
        <s v="ENERGIZACION"/>
        <s v="RSD"/>
        <s v="PV"/>
        <s v="PMB"/>
        <s v="PIR"/>
        <s v="FIC"/>
        <s v="SS" u="1"/>
        <s v="PVP" u="1"/>
      </sharedItems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6612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3500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7000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0" maxValue="433393155830"/>
    </cacheField>
    <cacheField name="PAGOS AÑOS ANTERIORES" numFmtId="3">
      <sharedItems containsString="0" containsBlank="1" containsNumber="1" containsInteger="1" minValue="0" maxValue="109281988968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minValue="0" maxValue="110295558389.33333"/>
    </cacheField>
    <cacheField name="TOTAL PAGOS AL 31 JULIO 2020" numFmtId="3">
      <sharedItems containsString="0" containsBlank="1" containsNumber="1" containsInteger="1" minValue="0" maxValue="40090186269"/>
    </cacheField>
    <cacheField name="SALDO COMPROMISO" numFmtId="3">
      <sharedItems containsString="0" containsBlank="1" containsNumber="1" minValue="0" maxValue="70205372120.333328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0"/>
    </cacheField>
    <cacheField name="OCTUBRE" numFmtId="3">
      <sharedItems containsString="0" containsBlank="1" containsNumber="1" containsInteger="1" minValue="0" maxValue="0"/>
    </cacheField>
    <cacheField name="SEPTIEMBRE" numFmtId="0">
      <sharedItems containsString="0" containsBlank="1" containsNumber="1" containsInteger="1" minValue="0" maxValue="0"/>
    </cacheField>
    <cacheField name="AGOSTO" numFmtId="0">
      <sharedItems containsString="0" containsBlank="1" containsNumber="1" containsInteger="1" minValue="0" maxValue="0"/>
    </cacheField>
    <cacheField name="JULIO" numFmtId="0">
      <sharedItems containsString="0" containsBlank="1" containsNumber="1" containsInteger="1" minValue="0" maxValue="3666740688"/>
    </cacheField>
    <cacheField name="JUNIO" numFmtId="0">
      <sharedItems containsString="0" containsBlank="1" containsNumber="1" containsInteger="1" minValue="0" maxValue="5684834714"/>
    </cacheField>
    <cacheField name="MAYO" numFmtId="0">
      <sharedItems containsString="0" containsBlank="1" containsNumber="1" containsInteger="1" minValue="0" maxValue="5022881123"/>
    </cacheField>
    <cacheField name="ABRIL" numFmtId="0">
      <sharedItems containsString="0" containsBlank="1" containsNumber="1" containsInteger="1" minValue="0" maxValue="6520346324"/>
    </cacheField>
    <cacheField name="MARZO" numFmtId="3">
      <sharedItems containsString="0" containsBlank="1" containsNumber="1" containsInteger="1" minValue="0" maxValue="6589090637"/>
    </cacheField>
    <cacheField name="FEBRERO" numFmtId="3">
      <sharedItems containsString="0" containsBlank="1" containsNumber="1" containsInteger="1" minValue="0" maxValue="7082868531"/>
    </cacheField>
    <cacheField name="ENERO" numFmtId="3">
      <sharedItems containsString="0" containsBlank="1" containsNumber="1" containsInteger="1" minValue="0" maxValue="5523424252"/>
    </cacheField>
    <cacheField name="3" numFmtId="0">
      <sharedItems containsNonDate="0" containsString="0" containsBlank="1"/>
    </cacheField>
    <cacheField name="ARRASTRE" numFmtId="3">
      <sharedItems containsString="0" containsBlank="1" containsNumber="1" minValue="-714216000" maxValue="213815608472.66666"/>
    </cacheField>
    <cacheField name="RATE 2020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alarcon" refreshedDate="44061.430333217591" createdVersion="6" refreshedVersion="6" minRefreshableVersion="3" recordCount="902">
  <cacheSource type="worksheet">
    <worksheetSource ref="B2:AS904" sheet="ESTADO SITUACION"/>
  </cacheSource>
  <cacheFields count="44">
    <cacheField name="SUBT." numFmtId="0">
      <sharedItems containsString="0" containsBlank="1" containsNumber="1" containsInteger="1" minValue="22" maxValue="33"/>
    </cacheField>
    <cacheField name="ESTADO" numFmtId="0">
      <sharedItems containsBlank="1"/>
    </cacheField>
    <cacheField name="SECTOR" numFmtId="0">
      <sharedItems containsBlank="1"/>
    </cacheField>
    <cacheField name="TIPO CALIDAD" numFmtId="0">
      <sharedItems containsBlank="1"/>
    </cacheField>
    <cacheField name="AREA DE INVERSION" numFmtId="0">
      <sharedItems containsBlank="1"/>
    </cacheField>
    <cacheField name="PROVINCIA" numFmtId="0">
      <sharedItems containsBlank="1" count="7">
        <m/>
        <s v="OSORNO"/>
        <s v="LLANQUIHUE"/>
        <s v="CHILOE"/>
        <s v="PALENA"/>
        <s v="REGIONAL"/>
        <s v="FOMENTO"/>
      </sharedItems>
    </cacheField>
    <cacheField name="COMUNA" numFmtId="0">
      <sharedItems containsBlank="1"/>
    </cacheField>
    <cacheField name="cod" numFmtId="0">
      <sharedItems containsString="0" containsBlank="1" containsNumber="1" containsInteger="1" minValue="1" maxValue="36"/>
    </cacheField>
    <cacheField name="PROV." numFmtId="0">
      <sharedItems containsBlank="1"/>
    </cacheField>
    <cacheField name="ETAPA" numFmtId="0">
      <sharedItems containsBlank="1"/>
    </cacheField>
    <cacheField name="BIP" numFmtId="0">
      <sharedItems containsBlank="1" containsMixedTypes="1" containsNumber="1" containsInteger="1" minValue="20086686" maxValue="40026612"/>
    </cacheField>
    <cacheField name="CONVENIOS / ACUERDOS" numFmtId="0">
      <sharedItems containsBlank="1"/>
    </cacheField>
    <cacheField name="SECTORIALISTA" numFmtId="0">
      <sharedItems containsBlank="1"/>
    </cacheField>
    <cacheField name="CONCATENAR BIP + ETAPA" numFmtId="0">
      <sharedItems containsBlank="1"/>
    </cacheField>
    <cacheField name="ID LICITACION" numFmtId="0">
      <sharedItems containsBlank="1"/>
    </cacheField>
    <cacheField name="NOMBRE DEL PROYECTO" numFmtId="0">
      <sharedItems containsBlank="1"/>
    </cacheField>
    <cacheField name="OBS." numFmtId="3">
      <sharedItems containsBlank="1"/>
    </cacheField>
    <cacheField name="5" numFmtId="3">
      <sharedItems containsNonDate="0" containsString="0" containsBlank="1"/>
    </cacheField>
    <cacheField name="COSTO SEGÚN FICHA IDI / CERTIFICADO GORE" numFmtId="3">
      <sharedItems containsString="0" containsBlank="1" containsNumber="1" containsInteger="1" minValue="3500000" maxValue="6857278000"/>
    </cacheField>
    <cacheField name="N° RES. EX / AFECTA" numFmtId="3">
      <sharedItems containsBlank="1"/>
    </cacheField>
    <cacheField name="COSTO SEGÚN CONVENIO" numFmtId="3">
      <sharedItems containsString="0" containsBlank="1" containsNumber="1" containsInteger="1" minValue="7000000" maxValue="13680509000"/>
    </cacheField>
    <cacheField name="CONTRATO" numFmtId="3">
      <sharedItems containsNonDate="0" containsString="0" containsBlank="1"/>
    </cacheField>
    <cacheField name="1" numFmtId="3">
      <sharedItems containsNonDate="0" containsString="0" containsBlank="1"/>
    </cacheField>
    <cacheField name=" COSTO" numFmtId="3">
      <sharedItems containsString="0" containsBlank="1" containsNumber="1" containsInteger="1" minValue="0" maxValue="113404416519"/>
    </cacheField>
    <cacheField name="PAGOS AÑOS ANTERIORES" numFmtId="3">
      <sharedItems containsString="0" containsBlank="1" containsNumber="1" containsInteger="1" minValue="0" maxValue="31468023844"/>
    </cacheField>
    <cacheField name="2" numFmtId="3">
      <sharedItems containsString="0" containsBlank="1" containsNumber="1" containsInteger="1" minValue="0" maxValue="0"/>
    </cacheField>
    <cacheField name="COMPROMISO 2020" numFmtId="3">
      <sharedItems containsString="0" containsBlank="1" containsNumber="1" minValue="0" maxValue="25307496695"/>
    </cacheField>
    <cacheField name="TOTAL PAGOS AL 31 JULIO 2020" numFmtId="3">
      <sharedItems containsString="0" containsBlank="1" containsNumber="1" containsInteger="1" minValue="0" maxValue="11161729473"/>
    </cacheField>
    <cacheField name="SALDO COMPROMISO" numFmtId="3">
      <sharedItems containsString="0" containsBlank="1" containsNumber="1" minValue="0" maxValue="16600806608"/>
    </cacheField>
    <cacheField name="PAGOS DE DICIEMBRE" numFmtId="3">
      <sharedItems containsString="0" containsBlank="1" containsNumber="1" containsInteger="1" minValue="0" maxValue="0"/>
    </cacheField>
    <cacheField name="PAGOS DE NOVIEMBRE" numFmtId="3">
      <sharedItems containsString="0" containsBlank="1" containsNumber="1" containsInteger="1" minValue="0" maxValue="0"/>
    </cacheField>
    <cacheField name="OCTUBRE" numFmtId="3">
      <sharedItems containsString="0" containsBlank="1" containsNumber="1" containsInteger="1" minValue="0" maxValue="0"/>
    </cacheField>
    <cacheField name="SEPTIEMBRE" numFmtId="0">
      <sharedItems containsString="0" containsBlank="1" containsNumber="1" containsInteger="1" minValue="0" maxValue="0"/>
    </cacheField>
    <cacheField name="AGOSTO" numFmtId="0">
      <sharedItems containsString="0" containsBlank="1" containsNumber="1" containsInteger="1" minValue="0" maxValue="0"/>
    </cacheField>
    <cacheField name="JULIO" numFmtId="0">
      <sharedItems containsString="0" containsBlank="1" containsNumber="1" containsInteger="1" minValue="0" maxValue="1335194398"/>
    </cacheField>
    <cacheField name="JUNIO" numFmtId="0">
      <sharedItems containsString="0" containsBlank="1" containsNumber="1" containsInteger="1" minValue="0" maxValue="1488058987"/>
    </cacheField>
    <cacheField name="MAYO" numFmtId="0">
      <sharedItems containsString="0" containsBlank="1" containsNumber="1" containsInteger="1" minValue="0" maxValue="1934983469"/>
    </cacheField>
    <cacheField name="ABRIL" numFmtId="0">
      <sharedItems containsString="0" containsBlank="1" containsNumber="1" containsInteger="1" minValue="0" maxValue="2578626076"/>
    </cacheField>
    <cacheField name="MARZO" numFmtId="3">
      <sharedItems containsString="0" containsBlank="1" containsNumber="1" containsInteger="1" minValue="0" maxValue="1656614987"/>
    </cacheField>
    <cacheField name="FEBRERO" numFmtId="3">
      <sharedItems containsString="0" containsBlank="1" containsNumber="1" containsInteger="1" minValue="0" maxValue="2609233375"/>
    </cacheField>
    <cacheField name="ENERO" numFmtId="3">
      <sharedItems containsString="0" containsBlank="1" containsNumber="1" containsInteger="1" minValue="0" maxValue="2396895972"/>
    </cacheField>
    <cacheField name="3" numFmtId="0">
      <sharedItems containsNonDate="0" containsString="0" containsBlank="1"/>
    </cacheField>
    <cacheField name="ARRASTRE" numFmtId="3">
      <sharedItems containsString="0" containsBlank="1" containsNumber="1" minValue="-714216000" maxValue="59418407985"/>
    </cacheField>
    <cacheField name="RATE 2020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07"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1"/>
    <x v="1"/>
    <n v="1"/>
    <s v="FAR"/>
    <s v="EJECUCION"/>
    <n v="30043744"/>
    <m/>
    <s v="Ignacio Ortiz Martin"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1326112538"/>
    <n v="712617316"/>
    <n v="613495222"/>
    <n v="0"/>
    <n v="0"/>
    <n v="0"/>
    <n v="0"/>
    <n v="0"/>
    <n v="0"/>
    <n v="332864655"/>
    <n v="0"/>
    <n v="0"/>
    <n v="180086508"/>
    <n v="0"/>
    <n v="199666153"/>
    <m/>
    <n v="621439216"/>
    <s v="RS"/>
    <s v="RS"/>
    <s v="En Ejecución "/>
  </r>
  <r>
    <n v="31"/>
    <s v="A"/>
    <s v="EDUCACIÓN Y CULTURA"/>
    <s v="URBANO"/>
    <s v="SOCIAL"/>
    <x v="1"/>
    <x v="1"/>
    <n v="1"/>
    <s v="LIBRE"/>
    <s v="EJECUCION"/>
    <n v="30070862"/>
    <m/>
    <e v="#N/A"/>
    <s v="30070862EJECUCION"/>
    <m/>
    <s v="REPOSICION LICEO CARMELA CARVAJAL DE PRAT, OSORNO."/>
    <s v="* CERT. 246 22.08.19 - APRUEBA AUMENTO PPTO"/>
    <m/>
    <m/>
    <m/>
    <m/>
    <m/>
    <m/>
    <n v="7370081000"/>
    <n v="0"/>
    <m/>
    <n v="1397145700"/>
    <n v="556758918"/>
    <n v="840386782"/>
    <n v="0"/>
    <n v="0"/>
    <n v="0"/>
    <n v="0"/>
    <n v="0"/>
    <n v="188084339"/>
    <n v="202156837"/>
    <n v="166517742"/>
    <n v="0"/>
    <n v="0"/>
    <n v="0"/>
    <n v="0"/>
    <m/>
    <n v="5972935300"/>
    <s v="RS"/>
    <s v="RS"/>
    <s v="En Ejecución "/>
  </r>
  <r>
    <n v="31"/>
    <s v="A"/>
    <s v="DEFENSA Y SEGURIDAD"/>
    <s v="URBANO"/>
    <s v="SOCIAL"/>
    <x v="1"/>
    <x v="1"/>
    <n v="1"/>
    <s v="LIBRE"/>
    <s v="EJECUCION"/>
    <n v="30165522"/>
    <m/>
    <s v="GLORIA DEL CARMEN QUEZADA VELASQUEZ"/>
    <s v="30165522EJECUCION"/>
    <m/>
    <s v="CONSERVACION Y EQUIP. EDIFI. CIAS. BOMBEROS 4TA;5TA Y CUARTEL GENERAL (C33)"/>
    <m/>
    <m/>
    <m/>
    <m/>
    <m/>
    <m/>
    <m/>
    <n v="820000000"/>
    <n v="346084133"/>
    <m/>
    <n v="473915867"/>
    <n v="273385780"/>
    <n v="200530087"/>
    <n v="0"/>
    <n v="0"/>
    <n v="0"/>
    <n v="0"/>
    <n v="0"/>
    <n v="69573418"/>
    <n v="0"/>
    <n v="50255490"/>
    <n v="1111111"/>
    <n v="82363638"/>
    <n v="46903950"/>
    <n v="23178173"/>
    <m/>
    <n v="0"/>
    <s v="RS*"/>
    <s v="C33"/>
    <s v="En Ejecución "/>
  </r>
  <r>
    <n v="31"/>
    <s v="A"/>
    <s v="MULTISECTORIAL"/>
    <s v="URBANO"/>
    <s v="SOCIAL"/>
    <x v="1"/>
    <x v="1"/>
    <n v="1"/>
    <s v="LIBRE"/>
    <s v="EJECUCION"/>
    <n v="30135711"/>
    <m/>
    <s v="GLORIA DEL CARMEN QUEZADA VELASQUEZ"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m/>
    <m/>
    <m/>
    <m/>
    <n v="0"/>
    <n v="0"/>
    <n v="0"/>
    <n v="0"/>
    <n v="6990"/>
    <n v="0"/>
    <n v="0"/>
    <m/>
    <n v="0"/>
    <s v="RS"/>
    <s v="RS"/>
    <s v="En Ejecución "/>
  </r>
  <r>
    <n v="31"/>
    <s v="A"/>
    <s v="TRANSPORTE Y VIVIENDA"/>
    <s v="URBANO"/>
    <s v="SOCIAL"/>
    <x v="1"/>
    <x v="1"/>
    <n v="1"/>
    <s v="FAR"/>
    <s v="EJECUCION"/>
    <n v="40003069"/>
    <m/>
    <e v="#N/A"/>
    <s v="40003069EJECUCION"/>
    <s v="2308-91-LE19"/>
    <s v="CONSERVACION VEREDAS CERVANTES COMUNA DE OSORNO (C33)"/>
    <m/>
    <m/>
    <m/>
    <m/>
    <m/>
    <m/>
    <m/>
    <n v="77510000"/>
    <n v="0"/>
    <m/>
    <n v="77510000"/>
    <n v="69336255"/>
    <n v="8173745"/>
    <n v="0"/>
    <n v="0"/>
    <n v="0"/>
    <n v="0"/>
    <n v="0"/>
    <n v="0"/>
    <n v="0"/>
    <n v="0"/>
    <n v="19739016"/>
    <n v="0"/>
    <n v="49597239"/>
    <n v="0"/>
    <m/>
    <n v="0"/>
    <s v="RS*"/>
    <s v="C33"/>
    <s v="En Ejecución "/>
  </r>
  <r>
    <n v="31"/>
    <s v="A"/>
    <s v="EDUCACIÓN Y CULTURA"/>
    <s v="URBANO"/>
    <s v="SOCIAL"/>
    <x v="1"/>
    <x v="1"/>
    <n v="1"/>
    <s v="LIBRE"/>
    <s v="EJECUCION"/>
    <n v="30134836"/>
    <m/>
    <e v="#N/A"/>
    <s v="30134836EJECUCION"/>
    <s v="2308-97-LR19"/>
    <s v="REPOSICION ESCUELA RURAL WALTERIO MEYER RUSCA, AGUA BUENA, OSORNO"/>
    <m/>
    <m/>
    <m/>
    <m/>
    <m/>
    <m/>
    <m/>
    <n v="3295526000"/>
    <n v="0"/>
    <m/>
    <n v="528510046"/>
    <n v="428516676"/>
    <n v="99993370"/>
    <n v="0"/>
    <n v="0"/>
    <n v="0"/>
    <n v="0"/>
    <n v="0"/>
    <n v="182582886"/>
    <n v="142177586"/>
    <n v="0"/>
    <n v="103756204"/>
    <n v="0"/>
    <n v="0"/>
    <n v="0"/>
    <m/>
    <n v="2767015954"/>
    <s v="RS"/>
    <s v="RS"/>
    <s v="En Ejecución "/>
  </r>
  <r>
    <n v="31"/>
    <s v="A"/>
    <s v="DEPORTE"/>
    <s v="URBANO"/>
    <s v="SOCIAL"/>
    <x v="1"/>
    <x v="1"/>
    <n v="1"/>
    <s v="LIBRE"/>
    <s v="EJECUCION"/>
    <n v="40004690"/>
    <m/>
    <e v="#N/A"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588530954"/>
    <n v="131911401"/>
    <n v="456619553"/>
    <n v="0"/>
    <n v="0"/>
    <n v="0"/>
    <n v="0"/>
    <n v="0"/>
    <n v="44638361"/>
    <n v="0"/>
    <n v="20426126"/>
    <n v="66846914"/>
    <n v="0"/>
    <n v="0"/>
    <n v="0"/>
    <m/>
    <n v="538510046"/>
    <s v="RS"/>
    <s v="RS"/>
    <s v="En Ejecución "/>
  </r>
  <r>
    <n v="31"/>
    <s v="A"/>
    <s v="SALUD"/>
    <s v="URBANO"/>
    <s v="SOCIAL"/>
    <x v="1"/>
    <x v="1"/>
    <n v="1"/>
    <s v="LIBRE"/>
    <s v="EJECUCION"/>
    <n v="30087456"/>
    <m/>
    <s v="Ignacio Ortiz Martin"/>
    <s v="30087456EJECUCION"/>
    <m/>
    <s v="** CONSTRUCCION CENTRO DE DIALIZADOS Y TRANSPLANTADOS RENALES"/>
    <s v="* CERT. CORE 133 ABRIL 2020 - INCORPORA SALDO"/>
    <m/>
    <m/>
    <m/>
    <m/>
    <m/>
    <m/>
    <n v="621261710"/>
    <n v="609651710"/>
    <m/>
    <n v="5565145"/>
    <n v="5565145"/>
    <n v="0"/>
    <m/>
    <m/>
    <m/>
    <m/>
    <m/>
    <n v="0"/>
    <n v="0"/>
    <n v="0"/>
    <n v="5565145"/>
    <m/>
    <m/>
    <m/>
    <m/>
    <n v="6044855"/>
    <s v="RS"/>
    <s v="RS"/>
    <s v="En Ejecución "/>
  </r>
  <r>
    <n v="31"/>
    <s v="A"/>
    <s v="AGUA POTABLE Y ALCANTARILLADO"/>
    <s v="RURAL"/>
    <s v="SOCIAL"/>
    <x v="1"/>
    <x v="1"/>
    <n v="1"/>
    <s v="LIBRE"/>
    <s v="EJECUCION"/>
    <n v="30257472"/>
    <m/>
    <e v="#N/A"/>
    <s v="30257472EJECUCION"/>
    <s v="2308-101-LR19"/>
    <s v="CONSTRUCCION RED DE ALCANTARILLADO Y PLANTA DE TRATAMIENTO SECTOR PICHIL, OSORNO"/>
    <s v="* CERT. CORE 175 20.06 - APRUEBA ETAPA EJECUCION CON CARGO FNDR."/>
    <m/>
    <m/>
    <m/>
    <m/>
    <m/>
    <m/>
    <n v="508482000"/>
    <n v="0"/>
    <m/>
    <n v="508482000"/>
    <n v="19628868"/>
    <n v="488853132"/>
    <n v="0"/>
    <n v="0"/>
    <n v="0"/>
    <n v="0"/>
    <n v="0"/>
    <n v="0"/>
    <n v="0"/>
    <n v="0"/>
    <n v="19628868"/>
    <n v="0"/>
    <n v="0"/>
    <n v="0"/>
    <m/>
    <n v="0"/>
    <s v="RS"/>
    <s v="RS"/>
    <s v="En Ejecución "/>
  </r>
  <r>
    <n v="31"/>
    <s v="A"/>
    <s v="SALUD"/>
    <s v="URBANO"/>
    <s v="SOCIAL"/>
    <x v="1"/>
    <x v="1"/>
    <n v="1"/>
    <s v="LIBRE"/>
    <s v="EJECUCION"/>
    <n v="30062818"/>
    <m/>
    <s v="Ignacio Ortiz Martin"/>
    <s v="30062818EJECUCION"/>
    <m/>
    <s v="** AMPLIACION CESFAM OVEJERIA OSORNO"/>
    <s v="* CERT. CORE 117 ABRIL 2020 INCOPORA SALDO"/>
    <m/>
    <m/>
    <m/>
    <m/>
    <m/>
    <m/>
    <n v="3289875729"/>
    <n v="3213972235"/>
    <m/>
    <n v="75903493"/>
    <n v="0"/>
    <n v="75903493"/>
    <m/>
    <m/>
    <m/>
    <m/>
    <m/>
    <n v="0"/>
    <n v="0"/>
    <n v="0"/>
    <n v="0"/>
    <m/>
    <m/>
    <m/>
    <m/>
    <n v="1"/>
    <s v="RS"/>
    <s v="RS"/>
    <s v="En Ejecución "/>
  </r>
  <r>
    <n v="31"/>
    <s v="A"/>
    <s v="SALUD"/>
    <s v="URBANO"/>
    <s v="SOCIAL"/>
    <x v="1"/>
    <x v="1"/>
    <n v="1"/>
    <s v="LIBRE"/>
    <s v="EJECUCION"/>
    <n v="30129384"/>
    <m/>
    <s v="Ignacio Ortiz Martin"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m/>
    <m/>
    <m/>
    <m/>
    <n v="0"/>
    <n v="7039913"/>
    <n v="0"/>
    <n v="0"/>
    <m/>
    <m/>
    <m/>
    <m/>
    <n v="0"/>
    <s v="RS"/>
    <s v="RS"/>
    <s v="En Ejecución "/>
  </r>
  <r>
    <n v="31"/>
    <s v="A"/>
    <s v="SALUD"/>
    <s v="URBANO"/>
    <s v="SOCIAL"/>
    <x v="1"/>
    <x v="1"/>
    <n v="1"/>
    <s v="LIBRE"/>
    <s v="EJECUCION"/>
    <n v="30470902"/>
    <m/>
    <s v="Ignacio Ortiz Martin"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m/>
    <m/>
    <m/>
    <m/>
    <n v="0"/>
    <n v="0"/>
    <n v="0"/>
    <n v="0"/>
    <m/>
    <m/>
    <m/>
    <m/>
    <n v="0"/>
    <s v="RS"/>
    <s v="RS"/>
    <s v="En Ejecución "/>
  </r>
  <r>
    <n v="33"/>
    <s v="A"/>
    <s v="MULTISECTORIAL"/>
    <s v="URBANO"/>
    <s v="SOCIAL"/>
    <x v="1"/>
    <x v="1"/>
    <n v="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1"/>
    <n v="1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9472062"/>
    <n v="209472062"/>
    <n v="0"/>
    <n v="0"/>
    <n v="0"/>
    <n v="0"/>
    <n v="0"/>
    <n v="0"/>
    <n v="30866995"/>
    <n v="69416176"/>
    <n v="0"/>
    <n v="109188891"/>
    <n v="0"/>
    <n v="0"/>
    <n v="0"/>
    <m/>
    <n v="-9472062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9125238574"/>
    <n v="13864577742"/>
    <m/>
    <n v="5364187522"/>
    <n v="2414239324"/>
    <n v="2949948198"/>
    <n v="0"/>
    <n v="0"/>
    <n v="0"/>
    <n v="0"/>
    <n v="0"/>
    <n v="515745999"/>
    <n v="753655167"/>
    <n v="237199358"/>
    <n v="325836149"/>
    <n v="262457136"/>
    <n v="96501189"/>
    <n v="222844326"/>
    <m/>
    <n v="989647331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1"/>
    <x v="1"/>
    <n v="1"/>
    <s v="LIBRE"/>
    <s v="EJECUCION"/>
    <n v="30463800"/>
    <m/>
    <e v="#N/A"/>
    <s v="30463800EJECUCION"/>
    <m/>
    <s v="* REPOSICION HOSPEDERIA HOGAR DE CRISTO, OSORNO"/>
    <m/>
    <m/>
    <m/>
    <m/>
    <m/>
    <m/>
    <m/>
    <n v="4144186000"/>
    <n v="0"/>
    <m/>
    <n v="295944484"/>
    <n v="0"/>
    <n v="295944484"/>
    <n v="0"/>
    <n v="0"/>
    <n v="0"/>
    <n v="0"/>
    <n v="0"/>
    <n v="0"/>
    <n v="0"/>
    <n v="0"/>
    <n v="0"/>
    <n v="0"/>
    <n v="0"/>
    <n v="0"/>
    <m/>
    <n v="3848241516"/>
    <s v="RS"/>
    <s v="RS"/>
    <s v="Convenio en Confección"/>
  </r>
  <r>
    <n v="31"/>
    <s v="A"/>
    <s v="TRANSPORTE Y VIVIENDA"/>
    <s v="URBANO"/>
    <s v="SOCIAL"/>
    <x v="1"/>
    <x v="1"/>
    <n v="1"/>
    <s v="LIBRE"/>
    <s v="EJECUCION"/>
    <n v="30123182"/>
    <s v="G"/>
    <e v="#N/A"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5079270000"/>
    <s v="RS"/>
    <s v="RS"/>
    <s v="Licitación Adjudicada"/>
  </r>
  <r>
    <n v="31"/>
    <s v="N"/>
    <s v="TRANSPORTE Y VIVIENDA"/>
    <s v="URBANO"/>
    <s v="SOCIAL"/>
    <x v="1"/>
    <x v="1"/>
    <n v="1"/>
    <s v="LIBRE"/>
    <s v="EJECUCION"/>
    <n v="40019022"/>
    <m/>
    <e v="#N/A"/>
    <s v="40019022EJECUCION"/>
    <m/>
    <s v="* REPOSICION VEREDAS POBLACION ANGULO, COMUNA DE OSORNO"/>
    <s v="* CERT. CORE 206 07.19 - SE INCORPORA AL PPTO 2019 CON CARGO AL FNDR / * CERT. CORE 162 05,20 CAMBIA NOMBRE "/>
    <m/>
    <m/>
    <m/>
    <m/>
    <m/>
    <m/>
    <n v="519400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439400000"/>
    <s v="RS"/>
    <s v="RS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0242856000"/>
    <n v="0"/>
    <m/>
    <n v="875944484"/>
    <n v="0"/>
    <n v="875944484"/>
    <n v="0"/>
    <n v="0"/>
    <n v="0"/>
    <n v="0"/>
    <n v="0"/>
    <n v="0"/>
    <n v="0"/>
    <n v="0"/>
    <n v="0"/>
    <n v="0"/>
    <n v="0"/>
    <n v="0"/>
    <m/>
    <n v="936691151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OSORNO"/>
    <m/>
    <m/>
    <m/>
    <m/>
    <m/>
    <m/>
    <m/>
    <n v="39368094574"/>
    <n v="13864577742"/>
    <m/>
    <n v="6240132006"/>
    <n v="2414239324"/>
    <n v="3825892682"/>
    <n v="0"/>
    <n v="0"/>
    <n v="0"/>
    <n v="0"/>
    <n v="0"/>
    <n v="515745999"/>
    <n v="753655167"/>
    <n v="237199358"/>
    <n v="325836149"/>
    <n v="262457136"/>
    <n v="96501189"/>
    <n v="222844326"/>
    <m/>
    <n v="1926338482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2"/>
    <n v="2"/>
    <s v="LIBRE"/>
    <s v="DISEÑO"/>
    <n v="30412923"/>
    <m/>
    <s v="Ignacio Ortiz Martin"/>
    <s v="30412923DISEÑO"/>
    <m/>
    <s v="CONSTRUCCION POSTA SALUD EL PONCHO"/>
    <m/>
    <m/>
    <m/>
    <m/>
    <m/>
    <m/>
    <m/>
    <n v="19780000"/>
    <n v="7512000"/>
    <m/>
    <n v="12268000"/>
    <n v="0"/>
    <n v="12268000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n v="31"/>
    <s v="A"/>
    <s v="EDUCACIÓN Y CULTURA"/>
    <s v="RURAL"/>
    <s v="SOCIAL"/>
    <x v="1"/>
    <x v="2"/>
    <n v="2"/>
    <s v="FIE"/>
    <s v="EJECUCION"/>
    <n v="30478036"/>
    <m/>
    <e v="#N/A"/>
    <s v="30478036EJECUCION"/>
    <s v="739231-39-LR19"/>
    <s v="REPOSICION ESCUELA RURAL EL ISLOTE RUPANCO, PUERTO OCTAY"/>
    <s v="* CERT. CORE 247 22.08.19 - APRUEBA REINCORPORAR CON CARGO AL FNDR."/>
    <m/>
    <m/>
    <m/>
    <m/>
    <m/>
    <m/>
    <n v="1262109000"/>
    <n v="0"/>
    <m/>
    <n v="566061838"/>
    <n v="566061838"/>
    <n v="0"/>
    <n v="0"/>
    <n v="0"/>
    <n v="0"/>
    <n v="0"/>
    <n v="0"/>
    <n v="230229291"/>
    <n v="0"/>
    <n v="117327599"/>
    <n v="0"/>
    <n v="143857420"/>
    <n v="32277284"/>
    <n v="42370244"/>
    <m/>
    <n v="696047162"/>
    <s v="RS"/>
    <s v="RS"/>
    <s v="En Ejecución "/>
  </r>
  <r>
    <n v="29"/>
    <s v="A"/>
    <s v="MULTISECTORIAL"/>
    <s v="RURAL"/>
    <s v="SOCIAL"/>
    <x v="1"/>
    <x v="2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36404510"/>
    <n v="17007052"/>
    <n v="19397458"/>
    <m/>
    <m/>
    <m/>
    <m/>
    <m/>
    <n v="0"/>
    <n v="0"/>
    <n v="0"/>
    <n v="0"/>
    <n v="17007052"/>
    <n v="0"/>
    <n v="0"/>
    <m/>
    <n v="10719490"/>
    <s v="RS*"/>
    <s v="C33"/>
    <s v="En Ejecución "/>
  </r>
  <r>
    <n v="31"/>
    <s v="A"/>
    <s v="TRANSPORTE Y VIVIENDA"/>
    <s v="RURAL"/>
    <s v="SOCIAL"/>
    <x v="1"/>
    <x v="2"/>
    <n v="2"/>
    <s v="FAR"/>
    <s v="EJECUCION"/>
    <n v="40008506"/>
    <m/>
    <e v="#N/A"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2153000"/>
    <n v="441005926"/>
    <n v="81147074"/>
    <n v="0"/>
    <n v="0"/>
    <n v="0"/>
    <n v="0"/>
    <n v="0"/>
    <n v="181999954"/>
    <n v="0"/>
    <n v="76487317"/>
    <n v="53359322"/>
    <n v="127159333"/>
    <n v="2000000"/>
    <n v="0"/>
    <m/>
    <n v="3400000"/>
    <s v="RS*"/>
    <s v="C33"/>
    <s v="En Ejecución "/>
  </r>
  <r>
    <n v="33"/>
    <s v="A"/>
    <s v="MULTISECTORIAL"/>
    <s v="URBANO"/>
    <s v="SOCIAL"/>
    <x v="1"/>
    <x v="2"/>
    <n v="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2"/>
    <n v="2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63176346"/>
    <n v="136823654"/>
    <n v="0"/>
    <n v="0"/>
    <n v="0"/>
    <n v="0"/>
    <n v="0"/>
    <n v="0"/>
    <n v="0"/>
    <n v="0"/>
    <n v="63176346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154566000"/>
    <n v="7512000"/>
    <m/>
    <n v="1436887348"/>
    <n v="1087251162"/>
    <n v="349636186"/>
    <n v="0"/>
    <n v="0"/>
    <n v="0"/>
    <n v="0"/>
    <n v="0"/>
    <n v="412229245"/>
    <n v="0"/>
    <n v="193814916"/>
    <n v="116535668"/>
    <n v="288023805"/>
    <n v="34277284"/>
    <n v="42370244"/>
    <m/>
    <n v="71016665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x v="2"/>
    <n v="2"/>
    <s v="FAR"/>
    <s v="EJECUCION"/>
    <n v="40013401"/>
    <m/>
    <s v="GLORIA DEL CARMEN QUEZADA VELASQUEZ"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284568728"/>
    <n v="0"/>
    <n v="284568728"/>
    <n v="0"/>
    <n v="0"/>
    <n v="0"/>
    <n v="0"/>
    <n v="0"/>
    <n v="0"/>
    <n v="0"/>
    <n v="0"/>
    <n v="0"/>
    <n v="0"/>
    <n v="0"/>
    <n v="0"/>
    <m/>
    <n v="164543272"/>
    <s v="RS*"/>
    <s v="C33"/>
    <s v="En Licitación"/>
  </r>
  <r>
    <n v="29"/>
    <s v="N"/>
    <s v="MULTISECTORIAL"/>
    <s v="URBANO"/>
    <s v="SOCIAL"/>
    <x v="1"/>
    <x v="2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749112000"/>
    <n v="0"/>
    <m/>
    <n v="584568728"/>
    <n v="0"/>
    <n v="584568728"/>
    <n v="0"/>
    <n v="0"/>
    <n v="0"/>
    <n v="0"/>
    <n v="0"/>
    <n v="0"/>
    <n v="0"/>
    <n v="0"/>
    <n v="0"/>
    <n v="0"/>
    <n v="0"/>
    <n v="0"/>
    <m/>
    <n v="16454327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ERTO OCTAY"/>
    <m/>
    <m/>
    <m/>
    <m/>
    <m/>
    <m/>
    <m/>
    <n v="2903678000"/>
    <n v="7512000"/>
    <m/>
    <n v="2021456076"/>
    <n v="1087251162"/>
    <n v="934204914"/>
    <n v="0"/>
    <n v="0"/>
    <n v="0"/>
    <n v="0"/>
    <n v="0"/>
    <n v="412229245"/>
    <n v="0"/>
    <n v="193814916"/>
    <n v="116535668"/>
    <n v="288023805"/>
    <n v="34277284"/>
    <n v="42370244"/>
    <m/>
    <n v="87470992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1"/>
    <x v="3"/>
    <n v="3"/>
    <s v="LIBRE"/>
    <s v="EJECUCION"/>
    <n v="30397335"/>
    <m/>
    <s v="GLORIA DEL CARMEN QUEZADA VELASQUEZ"/>
    <s v="30397335EJECUCION"/>
    <m/>
    <s v="CONSTRUCCION SERVICIO APR COLONIA PONCE, PURRANQUE"/>
    <m/>
    <m/>
    <m/>
    <m/>
    <m/>
    <m/>
    <m/>
    <n v="529939000"/>
    <n v="234367073"/>
    <m/>
    <n v="295571927"/>
    <n v="232563115"/>
    <n v="63008812"/>
    <n v="0"/>
    <n v="0"/>
    <n v="0"/>
    <n v="0"/>
    <n v="0"/>
    <n v="0"/>
    <n v="1437500"/>
    <n v="88750560"/>
    <n v="1437500"/>
    <n v="27733376"/>
    <n v="30903705"/>
    <n v="82300474"/>
    <m/>
    <n v="0"/>
    <s v="RS"/>
    <s v="RS"/>
    <s v="En Ejecución "/>
  </r>
  <r>
    <n v="31"/>
    <s v="A"/>
    <s v="DEPORTE"/>
    <s v="RURAL"/>
    <s v="SOCIAL"/>
    <x v="1"/>
    <x v="3"/>
    <n v="3"/>
    <s v="FAR"/>
    <s v="EJECUCION"/>
    <n v="30134930"/>
    <m/>
    <s v="GLORIA DEL CARMEN QUEZADA VELASQUEZ"/>
    <s v="30134930EJECUCION"/>
    <m/>
    <s v="CONSTRUCCION ESTADIO CORTE-ALTO, PURRANQUE"/>
    <m/>
    <m/>
    <m/>
    <m/>
    <m/>
    <m/>
    <m/>
    <n v="1004973000"/>
    <n v="315623727"/>
    <m/>
    <n v="549604272"/>
    <n v="450936556"/>
    <n v="98667716"/>
    <n v="0"/>
    <n v="0"/>
    <n v="0"/>
    <n v="0"/>
    <n v="0"/>
    <n v="74972489"/>
    <n v="28757605"/>
    <n v="118465254"/>
    <n v="0"/>
    <n v="125744916"/>
    <n v="102996292"/>
    <n v="0"/>
    <m/>
    <n v="139745001"/>
    <s v="RS"/>
    <s v="RS"/>
    <s v="En Ejecución "/>
  </r>
  <r>
    <n v="31"/>
    <s v="A"/>
    <s v="TRANSPORTE Y VIVIENDA"/>
    <s v="RURAL"/>
    <s v="SOCIAL"/>
    <x v="1"/>
    <x v="3"/>
    <n v="3"/>
    <s v="FAR"/>
    <s v="EJECUCION"/>
    <n v="40005410"/>
    <m/>
    <s v="GLORIA DEL CARMEN QUEZADA VELASQUEZ"/>
    <s v="40005410EJECUCION"/>
    <m/>
    <s v="CONSERVACION VEREDAS SECTOR CENTRO NORTE, COMUNA DE PURRANQUE (C33)"/>
    <m/>
    <m/>
    <m/>
    <m/>
    <m/>
    <m/>
    <m/>
    <n v="521481000"/>
    <n v="215960599"/>
    <m/>
    <n v="305520401"/>
    <n v="277529490"/>
    <n v="27990911"/>
    <n v="0"/>
    <n v="0"/>
    <n v="0"/>
    <n v="0"/>
    <n v="0"/>
    <n v="34551979"/>
    <n v="0"/>
    <n v="0"/>
    <n v="0"/>
    <n v="14219107"/>
    <n v="228758404"/>
    <n v="0"/>
    <m/>
    <n v="0"/>
    <s v="RS*"/>
    <s v="C33"/>
    <s v="En Ejecución "/>
  </r>
  <r>
    <n v="31"/>
    <s v="A"/>
    <s v="TRANSPORTE Y VIVIENDA"/>
    <s v="RURAL"/>
    <s v="SOCIAL"/>
    <x v="1"/>
    <x v="3"/>
    <n v="3"/>
    <s v="FAR"/>
    <s v="EJECUCION"/>
    <n v="40005409"/>
    <m/>
    <s v="GLORIA DEL CARMEN QUEZADA VELASQUEZ"/>
    <s v="40005409EJECUCION"/>
    <m/>
    <s v="CONSERVACION CAMINOS NO ENROLADOS COMUNA DE PURRANQUE (C33)"/>
    <m/>
    <m/>
    <m/>
    <m/>
    <m/>
    <m/>
    <m/>
    <n v="358631000"/>
    <n v="165275947"/>
    <m/>
    <n v="193355053"/>
    <n v="125059189"/>
    <n v="68295864"/>
    <n v="0"/>
    <n v="0"/>
    <n v="0"/>
    <n v="0"/>
    <n v="0"/>
    <n v="35943384"/>
    <n v="0"/>
    <n v="0"/>
    <n v="0"/>
    <n v="12234359"/>
    <n v="76881446"/>
    <n v="0"/>
    <m/>
    <n v="0"/>
    <s v="RS*"/>
    <s v="C33"/>
    <s v="En Ejecución "/>
  </r>
  <r>
    <n v="31"/>
    <s v="A"/>
    <s v="SALUD"/>
    <s v="RURAL"/>
    <s v="SOCIAL"/>
    <x v="1"/>
    <x v="3"/>
    <n v="3"/>
    <s v="LIBRE"/>
    <s v="DISEÑO"/>
    <n v="30171924"/>
    <m/>
    <s v="(en blanco)"/>
    <s v="30171924DISEÑO"/>
    <m/>
    <s v="REPOSICION POSTA RURAL COLONIA PONCE, PURRANQUE"/>
    <m/>
    <m/>
    <m/>
    <m/>
    <m/>
    <m/>
    <m/>
    <n v="21277640"/>
    <n v="16219730"/>
    <m/>
    <n v="743880"/>
    <n v="0"/>
    <n v="743880"/>
    <n v="0"/>
    <n v="0"/>
    <n v="0"/>
    <n v="0"/>
    <n v="0"/>
    <n v="0"/>
    <n v="0"/>
    <n v="0"/>
    <n v="0"/>
    <n v="0"/>
    <n v="0"/>
    <n v="0"/>
    <m/>
    <n v="4314030"/>
    <s v="RS"/>
    <s v="RS"/>
    <s v="En Ejecución "/>
  </r>
  <r>
    <n v="31"/>
    <s v="A"/>
    <s v="SALUD"/>
    <s v="RURAL"/>
    <s v="SOCIAL"/>
    <x v="1"/>
    <x v="3"/>
    <n v="3"/>
    <s v="LIBRE"/>
    <s v="DISEÑO"/>
    <n v="30171875"/>
    <m/>
    <e v="#N/A"/>
    <s v="30171875DISEÑO"/>
    <s v="3443-47-LE19"/>
    <s v="REPOSICION POSTA SALUD RURAL COLIGUAL, PURRANQUE"/>
    <m/>
    <m/>
    <m/>
    <m/>
    <m/>
    <m/>
    <m/>
    <n v="25140000"/>
    <n v="0"/>
    <m/>
    <n v="8380000"/>
    <n v="4610000"/>
    <n v="3770000"/>
    <n v="0"/>
    <n v="0"/>
    <n v="0"/>
    <n v="0"/>
    <n v="0"/>
    <n v="0"/>
    <n v="0"/>
    <n v="4610000"/>
    <n v="0"/>
    <n v="0"/>
    <n v="0"/>
    <n v="0"/>
    <m/>
    <n v="16760000"/>
    <s v="RS"/>
    <s v="RS"/>
    <s v="En Ejecución "/>
  </r>
  <r>
    <n v="31"/>
    <s v="A"/>
    <s v="SALUD"/>
    <s v="RURAL"/>
    <s v="SOCIAL"/>
    <x v="1"/>
    <x v="3"/>
    <n v="3"/>
    <s v="LIBRE"/>
    <s v="DISEÑO"/>
    <n v="30171923"/>
    <m/>
    <s v="Ignacio Ortiz Martin"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11700000"/>
    <n v="0"/>
    <n v="11700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s v="MULTISECTORIAL"/>
    <s v="URBANO"/>
    <s v="SOCIAL"/>
    <x v="1"/>
    <x v="3"/>
    <n v="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3"/>
    <n v="3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7834777"/>
    <n v="192165223"/>
    <n v="0"/>
    <n v="0"/>
    <n v="0"/>
    <n v="0"/>
    <n v="0"/>
    <n v="0"/>
    <n v="0"/>
    <n v="6554029"/>
    <n v="1280748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780941640"/>
    <n v="955247076"/>
    <m/>
    <n v="1664875533"/>
    <n v="1098533127"/>
    <n v="566342406"/>
    <n v="0"/>
    <n v="0"/>
    <n v="0"/>
    <n v="0"/>
    <n v="0"/>
    <n v="145467852"/>
    <n v="30195105"/>
    <n v="218379843"/>
    <n v="2718248"/>
    <n v="179931758"/>
    <n v="439539847"/>
    <n v="82300474"/>
    <m/>
    <n v="16081903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3"/>
    <n v="3"/>
    <s v="LIBRE"/>
    <s v="DISEÑO"/>
    <n v="30068433"/>
    <m/>
    <s v="Ignacio Ortiz Martin"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6791333.3333333302"/>
    <n v="0"/>
    <n v="6791333.3333333302"/>
    <n v="0"/>
    <n v="0"/>
    <n v="0"/>
    <n v="0"/>
    <n v="0"/>
    <n v="0"/>
    <n v="0"/>
    <n v="0"/>
    <n v="0"/>
    <n v="0"/>
    <n v="0"/>
    <n v="0"/>
    <m/>
    <n v="13582666.66666667"/>
    <s v="RS"/>
    <s v="RS"/>
    <s v="En Licitación"/>
  </r>
  <r>
    <n v="31"/>
    <s v="N"/>
    <s v="ENERGIA"/>
    <s v="RURAL"/>
    <s v="SOCIAL"/>
    <x v="1"/>
    <x v="3"/>
    <n v="3"/>
    <s v="ENERGIZACION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63100"/>
    <n v="0"/>
    <n v="15363100"/>
    <n v="0"/>
    <n v="0"/>
    <n v="0"/>
    <n v="0"/>
    <n v="0"/>
    <n v="0"/>
    <n v="0"/>
    <n v="0"/>
    <n v="0"/>
    <n v="0"/>
    <n v="0"/>
    <n v="0"/>
    <m/>
    <n v="138267900"/>
    <s v="RS"/>
    <s v="RS"/>
    <s v="Convenio en Tramite"/>
  </r>
  <r>
    <n v="29"/>
    <s v="N"/>
    <s v="DEFENSA Y SEGURIDAD"/>
    <s v="URBANO"/>
    <s v="SOCIAL"/>
    <x v="1"/>
    <x v="3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72872828"/>
    <n v="0"/>
    <n v="72872828"/>
    <n v="0"/>
    <n v="0"/>
    <n v="0"/>
    <n v="0"/>
    <n v="0"/>
    <n v="0"/>
    <n v="0"/>
    <n v="0"/>
    <n v="0"/>
    <n v="0"/>
    <n v="0"/>
    <n v="0"/>
    <m/>
    <n v="443808904"/>
    <s v="RS*"/>
    <s v="C33"/>
    <s v="Convenio en Tramite"/>
  </r>
  <r>
    <n v="31"/>
    <s v="N"/>
    <s v="TRANSPORTE Y VIVIENDA"/>
    <s v="URBANO"/>
    <s v="SOCIAL"/>
    <x v="1"/>
    <x v="3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67286886"/>
    <n v="0"/>
    <n v="67286886"/>
    <n v="0"/>
    <n v="0"/>
    <n v="0"/>
    <n v="0"/>
    <n v="0"/>
    <n v="0"/>
    <n v="0"/>
    <n v="0"/>
    <n v="0"/>
    <n v="0"/>
    <n v="0"/>
    <n v="0"/>
    <m/>
    <n v="627004114"/>
    <s v="RS*"/>
    <s v="C33"/>
    <s v="Convenio en Tramite"/>
  </r>
  <r>
    <n v="29"/>
    <s v="N"/>
    <s v="MULTISECTORIAL"/>
    <s v="URBANO"/>
    <s v="SOCIAL"/>
    <x v="1"/>
    <x v="3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79135000"/>
    <n v="0"/>
    <n v="79135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s v="TRANSPORTE Y VIVIENDA"/>
    <s v="RURAL"/>
    <s v="CONECTIVIDAD"/>
    <x v="1"/>
    <x v="3"/>
    <n v="3"/>
    <s v="FAR"/>
    <s v="EJECUCION"/>
    <n v="40019354"/>
    <m/>
    <m/>
    <s v="40019354EJECUCION"/>
    <m/>
    <s v="CONSERVACION CAMINOS NO ENROLADOS COLONIA PONCE (C33)"/>
    <m/>
    <m/>
    <m/>
    <m/>
    <m/>
    <m/>
    <m/>
    <n v="500000000"/>
    <n v="0"/>
    <m/>
    <n v="40000000"/>
    <n v="0"/>
    <n v="40000000"/>
    <n v="0"/>
    <n v="0"/>
    <n v="0"/>
    <n v="0"/>
    <n v="0"/>
    <n v="0"/>
    <n v="0"/>
    <n v="0"/>
    <n v="0"/>
    <n v="0"/>
    <n v="0"/>
    <n v="0"/>
    <m/>
    <n v="46000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964112732"/>
    <n v="0"/>
    <m/>
    <n v="281449147.33333331"/>
    <n v="0"/>
    <n v="281449147.33333331"/>
    <n v="0"/>
    <n v="0"/>
    <n v="0"/>
    <n v="0"/>
    <n v="0"/>
    <n v="0"/>
    <n v="0"/>
    <n v="0"/>
    <n v="0"/>
    <n v="0"/>
    <n v="0"/>
    <n v="0"/>
    <m/>
    <n v="1682663584.666666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RRANQUE"/>
    <m/>
    <m/>
    <m/>
    <m/>
    <m/>
    <m/>
    <m/>
    <n v="4745054372"/>
    <n v="955247076"/>
    <m/>
    <n v="1946324680.3333333"/>
    <n v="1098533127"/>
    <n v="847791553.33333325"/>
    <n v="0"/>
    <n v="0"/>
    <n v="0"/>
    <n v="0"/>
    <n v="0"/>
    <n v="145467852"/>
    <n v="30195105"/>
    <n v="218379843"/>
    <n v="2718248"/>
    <n v="179931758"/>
    <n v="439539847"/>
    <n v="82300474"/>
    <m/>
    <n v="1843482615.666666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CONECTIVIDAD"/>
    <x v="1"/>
    <x v="4"/>
    <n v="4"/>
    <s v="FAR"/>
    <s v="EJECUCION"/>
    <n v="40001354"/>
    <m/>
    <e v="#N/A"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98794119"/>
    <n v="176765456"/>
    <n v="22028663"/>
    <n v="0"/>
    <n v="0"/>
    <n v="0"/>
    <n v="0"/>
    <n v="0"/>
    <n v="0"/>
    <n v="0"/>
    <n v="176765456"/>
    <n v="0"/>
    <n v="0"/>
    <n v="0"/>
    <n v="0"/>
    <m/>
    <n v="0"/>
    <s v="RS*"/>
    <s v="C33"/>
    <s v="En Ejecución "/>
  </r>
  <r>
    <n v="31"/>
    <s v="A"/>
    <s v="EDUCACIÓN Y CULTURA"/>
    <s v="RURAL"/>
    <s v="SOCIAL"/>
    <x v="1"/>
    <x v="4"/>
    <n v="4"/>
    <s v="LIBRE"/>
    <s v="EJECUCION"/>
    <n v="30067012"/>
    <m/>
    <s v="Ignacio Ortiz Martin"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2820514"/>
    <n v="2820514"/>
    <n v="0"/>
    <m/>
    <m/>
    <m/>
    <m/>
    <m/>
    <n v="0"/>
    <n v="678300"/>
    <n v="2142214"/>
    <n v="0"/>
    <m/>
    <m/>
    <m/>
    <m/>
    <n v="28050309"/>
    <s v="IN"/>
    <s v="IN"/>
    <s v="En Ejecución "/>
  </r>
  <r>
    <n v="29"/>
    <s v="A"/>
    <s v="TRANSPORTE Y VIVIENDA"/>
    <s v="URBANO"/>
    <s v="SOCIAL"/>
    <x v="1"/>
    <x v="4"/>
    <n v="4"/>
    <s v="LIBRE"/>
    <s v="EJECUCION"/>
    <n v="40018376"/>
    <m/>
    <e v="#N/A"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  <s v="C33"/>
    <s v="Terminado"/>
  </r>
  <r>
    <n v="33"/>
    <s v="A"/>
    <s v="MULTISECTORIAL"/>
    <s v="URBANO"/>
    <s v="SOCIAL"/>
    <x v="1"/>
    <x v="4"/>
    <n v="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4"/>
    <n v="4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109473218"/>
    <n v="90526782"/>
    <n v="0"/>
    <n v="0"/>
    <n v="0"/>
    <n v="0"/>
    <n v="0"/>
    <n v="0"/>
    <n v="54869950"/>
    <n v="0"/>
    <n v="24692135"/>
    <n v="0"/>
    <n v="29911133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739475160"/>
    <n v="3115184988"/>
    <m/>
    <n v="596239863"/>
    <n v="383684418"/>
    <n v="212555445"/>
    <n v="0"/>
    <n v="0"/>
    <n v="0"/>
    <n v="0"/>
    <n v="0"/>
    <n v="94625230"/>
    <n v="55548250"/>
    <n v="178907670"/>
    <n v="24692135"/>
    <n v="0"/>
    <n v="29911133"/>
    <n v="0"/>
    <m/>
    <n v="2805030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CONECTIVIDAD"/>
    <x v="1"/>
    <x v="4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103016000"/>
    <n v="0"/>
    <n v="103016000"/>
    <n v="0"/>
    <n v="0"/>
    <n v="0"/>
    <n v="0"/>
    <n v="0"/>
    <n v="0"/>
    <n v="0"/>
    <n v="0"/>
    <n v="0"/>
    <n v="0"/>
    <n v="0"/>
    <n v="0"/>
    <m/>
    <n v="0"/>
    <s v="RS"/>
    <s v="RS"/>
    <s v="Licitación Cerrada (01.06.20)"/>
  </r>
  <r>
    <n v="31"/>
    <s v="A"/>
    <s v="SALUD"/>
    <s v="RURAL"/>
    <s v="SALUD"/>
    <x v="1"/>
    <x v="4"/>
    <n v="4"/>
    <s v="LIBRE"/>
    <s v="DISEÑO"/>
    <n v="40007052"/>
    <m/>
    <e v="#N/A"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13250770"/>
    <n v="0"/>
    <n v="13250770"/>
    <n v="0"/>
    <n v="0"/>
    <n v="0"/>
    <n v="0"/>
    <n v="0"/>
    <n v="0"/>
    <n v="0"/>
    <n v="0"/>
    <n v="0"/>
    <n v="0"/>
    <n v="0"/>
    <n v="0"/>
    <m/>
    <n v="13276230"/>
    <s v="RS"/>
    <s v="RS"/>
    <s v="Licitación Desierta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29543000"/>
    <n v="0"/>
    <m/>
    <n v="116266770"/>
    <n v="0"/>
    <n v="116266770"/>
    <n v="0"/>
    <n v="0"/>
    <n v="0"/>
    <n v="0"/>
    <n v="0"/>
    <n v="0"/>
    <n v="0"/>
    <n v="0"/>
    <n v="0"/>
    <n v="0"/>
    <n v="0"/>
    <n v="0"/>
    <m/>
    <n v="1327623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YEHUE"/>
    <m/>
    <m/>
    <m/>
    <m/>
    <m/>
    <m/>
    <m/>
    <n v="3869018160"/>
    <n v="3115184988"/>
    <m/>
    <n v="712506633"/>
    <n v="383684418"/>
    <n v="328822215"/>
    <n v="0"/>
    <n v="0"/>
    <n v="0"/>
    <n v="0"/>
    <n v="0"/>
    <n v="94625230"/>
    <n v="55548250"/>
    <n v="178907670"/>
    <n v="24692135"/>
    <n v="0"/>
    <n v="29911133"/>
    <n v="0"/>
    <m/>
    <n v="4132653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x v="5"/>
    <n v="5"/>
    <s v="LIBRE"/>
    <s v="DISEÑO"/>
    <n v="30088194"/>
    <m/>
    <s v="Ignacio Ortiz Martin"/>
    <s v="30088194DISEÑO"/>
    <m/>
    <s v="REPOSICION ESCUELA ANDREW JACKSON RIO NEGRO"/>
    <m/>
    <m/>
    <m/>
    <m/>
    <m/>
    <m/>
    <m/>
    <n v="168868000"/>
    <n v="112337477"/>
    <m/>
    <n v="56530523"/>
    <n v="42216590"/>
    <n v="14313933"/>
    <n v="0"/>
    <n v="0"/>
    <n v="0"/>
    <n v="0"/>
    <n v="0"/>
    <n v="0"/>
    <n v="0"/>
    <n v="42216590"/>
    <n v="0"/>
    <n v="0"/>
    <n v="0"/>
    <n v="0"/>
    <m/>
    <n v="0"/>
    <s v="RS"/>
    <s v="RS"/>
    <s v="En Ejecución "/>
  </r>
  <r>
    <n v="31"/>
    <s v="A"/>
    <s v="MULTISECTORIAL"/>
    <s v="URBANO"/>
    <s v="SOCIAL"/>
    <x v="1"/>
    <x v="5"/>
    <n v="5"/>
    <s v="FAR"/>
    <s v="EJECUCION"/>
    <n v="30284622"/>
    <m/>
    <e v="#N/A"/>
    <s v="30284622EJECUCION"/>
    <s v="450-134-LR19"/>
    <s v="REPOSICION PLAZA DE ARMAS RIO NEGRO"/>
    <m/>
    <m/>
    <m/>
    <m/>
    <m/>
    <m/>
    <m/>
    <n v="692739000"/>
    <n v="0"/>
    <m/>
    <n v="673567593"/>
    <n v="666417182"/>
    <n v="7150411"/>
    <n v="0"/>
    <n v="0"/>
    <n v="0"/>
    <n v="0"/>
    <n v="0"/>
    <n v="1714285"/>
    <n v="1714285"/>
    <n v="113353943"/>
    <n v="245651400"/>
    <n v="181100621"/>
    <n v="122882648"/>
    <n v="0"/>
    <m/>
    <n v="19171407"/>
    <s v="RS"/>
    <s v="RS"/>
    <s v="En Ejecución "/>
  </r>
  <r>
    <n v="33"/>
    <s v="A"/>
    <s v="MULTISECTORIAL"/>
    <s v="URBANO"/>
    <s v="SOCIAL"/>
    <x v="1"/>
    <x v="5"/>
    <n v="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5"/>
    <n v="5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79859710"/>
    <n v="20140290"/>
    <n v="0"/>
    <n v="0"/>
    <n v="0"/>
    <n v="0"/>
    <n v="0"/>
    <n v="24259524"/>
    <n v="44987754"/>
    <n v="0"/>
    <n v="0"/>
    <n v="110612432"/>
    <n v="0"/>
    <n v="0"/>
    <m/>
    <n v="0"/>
    <s v="RS**"/>
    <s v="FRIL"/>
    <s v="En Ejecución "/>
  </r>
  <r>
    <n v="31"/>
    <s v="A"/>
    <s v="MULTISECTORIAL"/>
    <s v="URBANO"/>
    <s v="SOCIAL"/>
    <x v="1"/>
    <x v="5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36093304"/>
    <n v="0"/>
    <n v="36093304"/>
    <m/>
    <m/>
    <m/>
    <m/>
    <m/>
    <n v="0"/>
    <m/>
    <m/>
    <m/>
    <m/>
    <m/>
    <m/>
    <m/>
    <n v="8864696"/>
    <s v="RS*"/>
    <s v="C33"/>
    <s v="En Ejecución "/>
  </r>
  <r>
    <n v="29"/>
    <s v="N"/>
    <s v="TRANSPORTE Y VIVIENDA"/>
    <s v="RURAL"/>
    <s v="CONECTIVIDAD"/>
    <x v="1"/>
    <x v="5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C33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007260887"/>
    <n v="913033364"/>
    <m/>
    <n v="1066191420"/>
    <n v="888493482"/>
    <n v="177697938"/>
    <n v="0"/>
    <n v="0"/>
    <n v="0"/>
    <n v="0"/>
    <n v="0"/>
    <n v="25973809"/>
    <n v="46702039"/>
    <n v="155570533"/>
    <n v="245651400"/>
    <n v="291713053"/>
    <n v="122882648"/>
    <n v="0"/>
    <m/>
    <n v="1917140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1"/>
    <x v="5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RIO NEGRO"/>
    <m/>
    <m/>
    <m/>
    <m/>
    <m/>
    <m/>
    <m/>
    <n v="2041600887"/>
    <n v="913033364"/>
    <m/>
    <n v="1071191420"/>
    <n v="888493482"/>
    <n v="182697938"/>
    <n v="0"/>
    <n v="0"/>
    <n v="0"/>
    <n v="0"/>
    <n v="0"/>
    <n v="25973809"/>
    <n v="46702039"/>
    <n v="155570533"/>
    <n v="245651400"/>
    <n v="291713053"/>
    <n v="122882648"/>
    <n v="0"/>
    <m/>
    <n v="5737610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x v="6"/>
    <n v="6"/>
    <s v="FIE"/>
    <s v="EJECUCION"/>
    <n v="30110580"/>
    <m/>
    <s v="Ignacio Ortiz Martin"/>
    <s v="30110580EJECUCION"/>
    <m/>
    <s v="REPOSICION LICEO INTERNADO ANTULAFKEN PUAUCHO"/>
    <m/>
    <m/>
    <m/>
    <m/>
    <m/>
    <m/>
    <m/>
    <n v="3406943000"/>
    <n v="3059398659"/>
    <m/>
    <n v="288197803"/>
    <n v="145505558"/>
    <n v="142692245"/>
    <n v="0"/>
    <n v="0"/>
    <n v="0"/>
    <n v="0"/>
    <n v="0"/>
    <n v="0"/>
    <n v="0"/>
    <n v="142672223"/>
    <n v="0"/>
    <n v="0"/>
    <n v="0"/>
    <n v="2833335"/>
    <m/>
    <n v="59346538"/>
    <s v="RE"/>
    <s v="RE"/>
    <s v="En Ejecución / Reevaluación"/>
  </r>
  <r>
    <n v="31"/>
    <s v="N"/>
    <s v="ENERGIA"/>
    <s v="RURAL"/>
    <s v="SOCIAL"/>
    <x v="1"/>
    <x v="6"/>
    <n v="6"/>
    <s v="ENERGIZACION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  <s v="RS"/>
    <s v="En Ejecución "/>
  </r>
  <r>
    <n v="31"/>
    <s v="A"/>
    <s v="SALUD"/>
    <s v="RURAL"/>
    <s v="SOCIAL"/>
    <x v="1"/>
    <x v="6"/>
    <n v="6"/>
    <s v="LIBRE"/>
    <s v="EJECUCION"/>
    <n v="30071878"/>
    <s v="SALUD"/>
    <s v="GLORIA DEL CARMEN QUEZADA VELASQUEZ"/>
    <s v="30071878EJECUCION"/>
    <m/>
    <s v="REPOSICION CONSULTORIO DE SALUD RURAL BAHIA MANSA"/>
    <m/>
    <m/>
    <m/>
    <m/>
    <m/>
    <m/>
    <m/>
    <n v="2587228000"/>
    <n v="0"/>
    <m/>
    <n v="364048000"/>
    <n v="26644784"/>
    <n v="337403216"/>
    <n v="0"/>
    <n v="0"/>
    <n v="0"/>
    <n v="0"/>
    <n v="0"/>
    <n v="0"/>
    <n v="12994362"/>
    <n v="0"/>
    <n v="901728"/>
    <n v="12748694"/>
    <n v="0"/>
    <n v="0"/>
    <m/>
    <n v="2223180000"/>
    <s v="RS"/>
    <s v="RS"/>
    <s v="En Ejecución "/>
  </r>
  <r>
    <n v="33"/>
    <s v="A"/>
    <s v="MULTISECTORIAL"/>
    <s v="URBANO"/>
    <s v="SOCIAL"/>
    <x v="1"/>
    <x v="6"/>
    <n v="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6"/>
    <n v="6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19980911"/>
    <n v="80019089"/>
    <n v="0"/>
    <n v="0"/>
    <n v="0"/>
    <n v="0"/>
    <n v="0"/>
    <n v="7574094"/>
    <n v="23293344"/>
    <n v="0"/>
    <n v="62159365"/>
    <n v="0"/>
    <n v="26954108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SAN JUAN DE LA COSTA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x v="7"/>
    <n v="7"/>
    <s v="LIBRE"/>
    <s v="DISEÑO"/>
    <n v="30405773"/>
    <m/>
    <s v="GLORIA DEL CARMEN QUEZADA VELASQUEZ"/>
    <s v="30405773DISEÑO"/>
    <m/>
    <s v="REPOSICION POSTA RURAL LA POZA, COMUNA DE SAN PABLO"/>
    <m/>
    <m/>
    <m/>
    <m/>
    <m/>
    <m/>
    <m/>
    <n v="24900000"/>
    <n v="6679000"/>
    <m/>
    <n v="17947699"/>
    <n v="5050500"/>
    <n v="12897199"/>
    <n v="0"/>
    <n v="0"/>
    <n v="0"/>
    <n v="0"/>
    <n v="0"/>
    <n v="0"/>
    <n v="5050500"/>
    <n v="0"/>
    <n v="0"/>
    <n v="0"/>
    <n v="0"/>
    <n v="0"/>
    <m/>
    <n v="273301"/>
    <s v="RS"/>
    <s v="RS"/>
    <s v="En Ejecución "/>
  </r>
  <r>
    <n v="29"/>
    <s v="A"/>
    <s v="EDUCACIÓN Y CULTURA"/>
    <s v="URBANO"/>
    <s v="SOCIAL"/>
    <x v="1"/>
    <x v="7"/>
    <n v="7"/>
    <s v="FIE"/>
    <s v="EJECUCION"/>
    <n v="40000985"/>
    <m/>
    <s v="GLORIA DEL CARMEN QUEZADA VELASQUEZ"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9014"/>
    <n v="163408107"/>
    <n v="907"/>
    <n v="0"/>
    <n v="0"/>
    <n v="0"/>
    <n v="0"/>
    <n v="0"/>
    <n v="0"/>
    <n v="0"/>
    <n v="0"/>
    <n v="105255061"/>
    <n v="58153046"/>
    <n v="0"/>
    <n v="0"/>
    <m/>
    <n v="728"/>
    <s v="RS*"/>
    <s v="C33"/>
    <s v="En Ejecución "/>
  </r>
  <r>
    <n v="29"/>
    <s v="N"/>
    <s v="SALUD"/>
    <s v="URBANO"/>
    <s v="SOCIAL"/>
    <x v="1"/>
    <x v="7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  <s v="C33"/>
    <s v="Terminada"/>
  </r>
  <r>
    <n v="29"/>
    <s v="N"/>
    <s v="MULTISECTORIAL"/>
    <s v="URBANO"/>
    <s v="SOCIAL"/>
    <x v="1"/>
    <x v="7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  <s v="C33"/>
    <s v="Terminada"/>
  </r>
  <r>
    <n v="33"/>
    <s v="A"/>
    <s v="MULTISECTORIAL"/>
    <s v="URBANO"/>
    <s v="SOCIAL"/>
    <x v="1"/>
    <x v="7"/>
    <n v="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1"/>
    <x v="7"/>
    <n v="7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80049584"/>
    <n v="119950416"/>
    <n v="0"/>
    <n v="0"/>
    <n v="0"/>
    <n v="0"/>
    <n v="0"/>
    <n v="0"/>
    <n v="0"/>
    <n v="3706026"/>
    <n v="44076261"/>
    <n v="0"/>
    <n v="32267297"/>
    <n v="0"/>
    <m/>
    <n v="0"/>
    <s v="RS**"/>
    <s v="FRIL"/>
    <s v="En Ejecución "/>
  </r>
  <r>
    <n v="31"/>
    <s v="N"/>
    <s v="TRANSPORTE Y VIVIENDA"/>
    <s v="URBANO"/>
    <s v="CONECTIVIDAD"/>
    <x v="1"/>
    <x v="7"/>
    <n v="7"/>
    <s v="FAR"/>
    <s v="EJECUCION"/>
    <n v="30247072"/>
    <m/>
    <m/>
    <s v="30247072EJECUCION"/>
    <m/>
    <s v="MEJORAMIENTO ACCESO NORTE A SAN PABLO"/>
    <m/>
    <m/>
    <m/>
    <m/>
    <m/>
    <m/>
    <m/>
    <n v="14960000"/>
    <n v="1496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770931301"/>
    <n v="159110258"/>
    <m/>
    <n v="611547014"/>
    <n v="378698492"/>
    <n v="232848522"/>
    <n v="0"/>
    <n v="0"/>
    <n v="0"/>
    <n v="0"/>
    <n v="0"/>
    <n v="89690300"/>
    <n v="5050500"/>
    <n v="44206027"/>
    <n v="149331322"/>
    <n v="58153046"/>
    <n v="32267297"/>
    <n v="0"/>
    <m/>
    <n v="27402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EDUCACIÓN Y CULTURA"/>
    <s v="URBANO"/>
    <s v="SOCIAL"/>
    <x v="1"/>
    <x v="7"/>
    <n v="7"/>
    <s v="FIE"/>
    <s v="EJECUCION"/>
    <n v="40000986"/>
    <m/>
    <e v="#N/A"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SAN PABLO"/>
    <m/>
    <m/>
    <m/>
    <m/>
    <m/>
    <m/>
    <m/>
    <n v="1070536301"/>
    <n v="159110258"/>
    <m/>
    <n v="911152014"/>
    <n v="378698492"/>
    <n v="532453522"/>
    <n v="0"/>
    <n v="0"/>
    <n v="0"/>
    <n v="0"/>
    <n v="0"/>
    <n v="89690300"/>
    <n v="5050500"/>
    <n v="44206027"/>
    <n v="149331322"/>
    <n v="58153046"/>
    <n v="32267297"/>
    <n v="0"/>
    <m/>
    <n v="27402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1"/>
    <x v="8"/>
    <n v="8"/>
    <s v="LIBRE"/>
    <s v="EJECUCION"/>
    <n v="30086815"/>
    <s v="G"/>
    <s v="KARIN DEL CARMEN BARRIENTOS WINTER"/>
    <s v="30086815EJECUCION"/>
    <m/>
    <s v="CONSTRUCCION  RELLENO SANITARIO PROV. DE OSORNO"/>
    <m/>
    <m/>
    <m/>
    <m/>
    <m/>
    <m/>
    <m/>
    <n v="15318985549"/>
    <n v="4736606083"/>
    <m/>
    <n v="25158315"/>
    <n v="0"/>
    <n v="25158315"/>
    <n v="0"/>
    <n v="0"/>
    <n v="0"/>
    <n v="0"/>
    <n v="0"/>
    <n v="0"/>
    <n v="0"/>
    <n v="0"/>
    <n v="0"/>
    <n v="0"/>
    <n v="0"/>
    <n v="0"/>
    <m/>
    <n v="10557221151"/>
    <s v="RS"/>
    <s v="RS"/>
    <s v="En Ejecución "/>
  </r>
  <r>
    <n v="31"/>
    <s v="A"/>
    <s v="TRANSPORTE Y VIVIENDA"/>
    <s v="RURAL"/>
    <s v="CONECTIVIDAD"/>
    <x v="1"/>
    <x v="8"/>
    <n v="8"/>
    <s v="FAR"/>
    <s v="EJECUCION"/>
    <n v="40001554"/>
    <m/>
    <e v="#N/A"/>
    <s v="40001554EJECUCION"/>
    <m/>
    <s v="CONSERVACION DE CAMINOS DE ACC. COMUN. INDIGENAS PUYEHUE, RIO NEGRO Y PURRANQUE (C33)"/>
    <m/>
    <m/>
    <m/>
    <m/>
    <m/>
    <m/>
    <m/>
    <n v="271000000"/>
    <n v="45085404"/>
    <m/>
    <n v="170017735"/>
    <n v="119701022"/>
    <n v="50316713"/>
    <n v="0"/>
    <n v="0"/>
    <n v="0"/>
    <n v="0"/>
    <n v="0"/>
    <n v="0"/>
    <n v="0"/>
    <n v="16290216"/>
    <n v="0"/>
    <n v="16999179"/>
    <n v="86411627"/>
    <n v="0"/>
    <m/>
    <n v="55896861"/>
    <s v="RS*"/>
    <s v="C33"/>
    <s v="En Ejecución "/>
  </r>
  <r>
    <n v="31"/>
    <s v="A"/>
    <s v="SALUD"/>
    <s v="URBANO"/>
    <s v="SOCIAL"/>
    <x v="1"/>
    <x v="8"/>
    <n v="8"/>
    <s v="LIBRE"/>
    <s v="EJECUCION"/>
    <n v="30126279"/>
    <s v="SALUD"/>
    <s v="GLORIA DEL CARMEN QUEZADA VELASQUEZ"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  <s v="RS"/>
    <s v="En Ejecución "/>
  </r>
  <r>
    <n v="31"/>
    <s v="A"/>
    <s v="TRANSPORTE Y VIVIENDA"/>
    <s v="RURAL"/>
    <s v="CONECTIVIDAD"/>
    <x v="1"/>
    <x v="8"/>
    <n v="8"/>
    <s v="FAR"/>
    <s v="EJECUCION"/>
    <n v="30448275"/>
    <m/>
    <s v="GLORIA DEL CARMEN QUEZADA VELASQUEZ"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8621550"/>
    <n v="0"/>
    <n v="8621550"/>
    <n v="0"/>
    <n v="0"/>
    <n v="0"/>
    <n v="0"/>
    <n v="0"/>
    <n v="0"/>
    <n v="0"/>
    <n v="0"/>
    <n v="0"/>
    <n v="0"/>
    <n v="0"/>
    <n v="0"/>
    <m/>
    <n v="7350000"/>
    <s v="RS*"/>
    <s v="C33"/>
    <s v="En Ejecución "/>
  </r>
  <r>
    <n v="31"/>
    <s v="A"/>
    <s v="DEFENSA Y SEGURIDAD"/>
    <s v="RURAL"/>
    <s v="SOCIAL"/>
    <x v="1"/>
    <x v="8"/>
    <n v="8"/>
    <s v="LIBRE"/>
    <s v="EJECUCION"/>
    <n v="30087497"/>
    <s v="G"/>
    <s v="Ignacio Ortiz Martin"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2064914131.6666601"/>
    <n v="2060777476"/>
    <n v="4136655.6666600704"/>
    <n v="0"/>
    <n v="0"/>
    <n v="0"/>
    <n v="0"/>
    <n v="0"/>
    <n v="0"/>
    <n v="395388053"/>
    <n v="401942413"/>
    <n v="4837654"/>
    <n v="441994391"/>
    <n v="518614764"/>
    <n v="298000201"/>
    <m/>
    <n v="3741623487.3333397"/>
    <s v="RS"/>
    <s v="RS"/>
    <s v="En Ejecución "/>
  </r>
  <r>
    <n v="31"/>
    <s v="A"/>
    <s v="SALUD"/>
    <s v="URBANO"/>
    <s v="SOCIAL"/>
    <x v="1"/>
    <x v="8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m/>
    <m/>
    <m/>
    <m/>
    <m/>
    <n v="0"/>
    <n v="0"/>
    <n v="7294860"/>
    <m/>
    <m/>
    <m/>
    <m/>
    <m/>
    <n v="107662085"/>
    <s v="RE"/>
    <s v="RE"/>
    <s v="En Ejecución "/>
  </r>
  <r>
    <n v="29"/>
    <s v="N"/>
    <s v="SALUD"/>
    <s v="URBANO"/>
    <s v="SOCIAL"/>
    <x v="1"/>
    <x v="8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m/>
    <m/>
    <m/>
    <m/>
    <m/>
    <n v="0"/>
    <n v="163364000"/>
    <n v="0"/>
    <n v="0"/>
    <m/>
    <m/>
    <m/>
    <m/>
    <n v="0"/>
    <s v="RS*"/>
    <s v="C33"/>
    <s v="Terminada"/>
  </r>
  <r>
    <n v="29"/>
    <s v="N"/>
    <s v="SALUD"/>
    <s v="URBANO"/>
    <s v="SOCIAL"/>
    <x v="1"/>
    <x v="8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3887869"/>
    <n v="43887869"/>
    <n v="0"/>
    <m/>
    <m/>
    <m/>
    <m/>
    <m/>
    <n v="43887869"/>
    <n v="0"/>
    <n v="0"/>
    <n v="0"/>
    <m/>
    <m/>
    <m/>
    <m/>
    <n v="443216131"/>
    <s v="RS*"/>
    <s v="C33"/>
    <s v="En Ejecución "/>
  </r>
  <r>
    <n v="31"/>
    <s v="A"/>
    <s v="SALUD"/>
    <s v="RURAL"/>
    <s v="SOCIAL"/>
    <x v="1"/>
    <x v="8"/>
    <n v="8"/>
    <s v="LIBRE"/>
    <s v="EJECUCION"/>
    <n v="30126943"/>
    <s v="SALUD"/>
    <s v="GLORIA DEL CARMEN QUEZADA VELASQUEZ"/>
    <s v="30126943EJECUCION"/>
    <m/>
    <s v="MEJORAMIENTO HOSPITAL DE RIO NEGRO"/>
    <m/>
    <m/>
    <m/>
    <m/>
    <m/>
    <m/>
    <m/>
    <n v="3542559000"/>
    <n v="2092000"/>
    <m/>
    <n v="599559468"/>
    <n v="44744000"/>
    <n v="554815468"/>
    <n v="0"/>
    <n v="0"/>
    <n v="0"/>
    <n v="0"/>
    <n v="0"/>
    <n v="0"/>
    <n v="0"/>
    <n v="0"/>
    <n v="0"/>
    <n v="44744000"/>
    <n v="0"/>
    <n v="0"/>
    <m/>
    <n v="2940907532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3148496899.6666603"/>
    <n v="2500595634"/>
    <n v="647901265.66666007"/>
    <n v="0"/>
    <n v="0"/>
    <n v="0"/>
    <n v="0"/>
    <n v="0"/>
    <n v="43887869"/>
    <n v="560620220"/>
    <n v="458602899"/>
    <n v="4837654"/>
    <n v="529620400"/>
    <n v="605026391"/>
    <n v="298000201"/>
    <m/>
    <n v="17854048910.3333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1"/>
    <x v="8"/>
    <n v="8"/>
    <s v="LIBRE"/>
    <s v="EJECUCION"/>
    <n v="30402378"/>
    <m/>
    <e v="#N/A"/>
    <s v="30402378EJECUCION"/>
    <m/>
    <s v="DIAGNOSTICO INFRAESTRUCTURA PSR DE LA RED ASISTENCIAL DE OSORNO"/>
    <m/>
    <m/>
    <m/>
    <m/>
    <m/>
    <m/>
    <m/>
    <n v="32260000"/>
    <n v="0"/>
    <m/>
    <n v="32260000"/>
    <n v="0"/>
    <n v="32260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n v="31"/>
    <s v="N"/>
    <s v="TRANSPORTE Y VIVIENDA"/>
    <s v="URBANO"/>
    <s v="AGUA POTABLE"/>
    <x v="1"/>
    <x v="8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0"/>
    <n v="0"/>
    <n v="0"/>
    <n v="0"/>
    <n v="0"/>
    <n v="0"/>
    <n v="0"/>
    <n v="0"/>
    <n v="0"/>
    <n v="0"/>
    <n v="0"/>
    <n v="0"/>
    <n v="0"/>
    <n v="0"/>
    <n v="0"/>
    <m/>
    <n v="402984000"/>
    <s v="RS"/>
    <s v="S-FICHA"/>
    <s v="En Licitación"/>
  </r>
  <r>
    <n v="29"/>
    <s v="N"/>
    <s v="SALUD"/>
    <s v="URBANO"/>
    <s v="SOCIAL"/>
    <x v="1"/>
    <x v="8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m/>
    <m/>
    <m/>
    <m/>
    <m/>
    <n v="0"/>
    <n v="0"/>
    <n v="0"/>
    <n v="0"/>
    <n v="0"/>
    <n v="0"/>
    <n v="0"/>
    <m/>
    <n v="52816000"/>
    <s v="RS*"/>
    <s v="C33"/>
    <s v="Convenio en Confección"/>
  </r>
  <r>
    <n v="31"/>
    <s v="A"/>
    <s v="TRANSPORTE Y VIVIENDA"/>
    <s v="RURAL"/>
    <s v="CONECTIVIDAD"/>
    <x v="1"/>
    <x v="8"/>
    <n v="8"/>
    <s v="FAR"/>
    <s v="EJECUCION"/>
    <n v="30395473"/>
    <m/>
    <e v="#N/A"/>
    <s v="30395473EJECUCION"/>
    <m/>
    <s v="CONSERVACION CAMINOS BASICOS,CAMINO U-925,CARRIL-MEDIALUNA PAMPAGRANDE (C33)"/>
    <m/>
    <m/>
    <m/>
    <m/>
    <m/>
    <m/>
    <m/>
    <n v="1688957000"/>
    <n v="0"/>
    <m/>
    <n v="343614936"/>
    <n v="0"/>
    <n v="343614936"/>
    <n v="0"/>
    <n v="0"/>
    <n v="0"/>
    <n v="0"/>
    <n v="0"/>
    <n v="0"/>
    <n v="0"/>
    <n v="0"/>
    <n v="0"/>
    <n v="0"/>
    <n v="0"/>
    <n v="0"/>
    <m/>
    <n v="1345342064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177017000"/>
    <n v="0"/>
    <m/>
    <n v="375874936"/>
    <n v="0"/>
    <n v="375874936"/>
    <n v="0"/>
    <n v="0"/>
    <n v="0"/>
    <n v="0"/>
    <n v="0"/>
    <n v="0"/>
    <n v="0"/>
    <n v="0"/>
    <n v="0"/>
    <n v="0"/>
    <n v="0"/>
    <n v="0"/>
    <m/>
    <n v="180114206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LES"/>
    <m/>
    <m/>
    <m/>
    <m/>
    <m/>
    <m/>
    <m/>
    <n v="32573522567"/>
    <n v="9393959757"/>
    <m/>
    <n v="3524371835.6666603"/>
    <n v="2500595634"/>
    <n v="1023776201.6666601"/>
    <n v="0"/>
    <n v="0"/>
    <n v="0"/>
    <n v="0"/>
    <n v="0"/>
    <n v="43887869"/>
    <n v="560620220"/>
    <n v="458602899"/>
    <n v="4837654"/>
    <n v="529620400"/>
    <n v="605026391"/>
    <n v="298000201"/>
    <m/>
    <n v="19655190974.3333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OSORNO"/>
    <m/>
    <m/>
    <m/>
    <m/>
    <m/>
    <m/>
    <m/>
    <n v="93186605861"/>
    <n v="31468023844"/>
    <m/>
    <n v="17685010467.999992"/>
    <n v="9349256892"/>
    <n v="8335753575.9999933"/>
    <n v="0"/>
    <n v="0"/>
    <n v="0"/>
    <n v="0"/>
    <n v="0"/>
    <n v="1335194398"/>
    <n v="1488058987"/>
    <n v="1934983469"/>
    <n v="932663669"/>
    <n v="1622647892"/>
    <n v="1387359897"/>
    <n v="648348580"/>
    <m/>
    <n v="44033571549.00000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x v="9"/>
    <n v="9"/>
    <s v="FIE"/>
    <s v="EJECUCION"/>
    <n v="30440174"/>
    <m/>
    <s v="KARIN DEL CARMEN BARRIENTOS WINTER"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21031688"/>
    <n v="0"/>
    <n v="21031688"/>
    <n v="0"/>
    <n v="0"/>
    <n v="0"/>
    <n v="0"/>
    <n v="0"/>
    <n v="0"/>
    <n v="0"/>
    <n v="0"/>
    <n v="0"/>
    <n v="0"/>
    <n v="0"/>
    <n v="0"/>
    <m/>
    <n v="0"/>
    <s v="RS*"/>
    <s v="C33"/>
    <s v="En Ejecución "/>
  </r>
  <r>
    <n v="31"/>
    <s v="A"/>
    <s v="SALUD"/>
    <s v="RURAL"/>
    <s v="SOCIAL"/>
    <x v="2"/>
    <x v="9"/>
    <n v="9"/>
    <s v="LIBRE"/>
    <s v="DISEÑO"/>
    <n v="40005337"/>
    <m/>
    <e v="#N/A"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49462000"/>
    <n v="0"/>
    <n v="49462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s v="EDUCACIÓN Y CULTURA"/>
    <s v="URBANO"/>
    <s v="SOCIAL"/>
    <x v="2"/>
    <x v="9"/>
    <n v="9"/>
    <s v="LIBRE"/>
    <s v="EJECUCION"/>
    <n v="30103446"/>
    <m/>
    <s v="PAULINA HUIDOBRO JARAMI"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TRANSPORTE Y VIVIENDA"/>
    <s v="URBANO"/>
    <s v="SOCIAL"/>
    <x v="2"/>
    <x v="9"/>
    <n v="9"/>
    <s v="FAR"/>
    <s v="EJECUCION"/>
    <n v="30072731"/>
    <s v="G"/>
    <s v="PAULINA HUIDOBRO JARAMI"/>
    <s v="30072731EJECUCION"/>
    <m/>
    <s v="* MEJORAMIENTO CALLE ANTONIO VARAS, PUERTO MONTT"/>
    <s v="* CERT. CORE 79 03.2020 - AUMENTA PPTO"/>
    <m/>
    <m/>
    <m/>
    <m/>
    <m/>
    <m/>
    <n v="8304377035"/>
    <n v="4050000"/>
    <m/>
    <n v="43363388"/>
    <n v="0"/>
    <n v="43363388"/>
    <n v="0"/>
    <n v="0"/>
    <n v="0"/>
    <n v="0"/>
    <n v="0"/>
    <n v="0"/>
    <n v="0"/>
    <n v="0"/>
    <n v="0"/>
    <n v="0"/>
    <n v="0"/>
    <n v="0"/>
    <m/>
    <n v="8256963647"/>
    <s v="RS"/>
    <s v="RS"/>
    <s v="En Ejecución "/>
  </r>
  <r>
    <n v="31"/>
    <s v="A"/>
    <s v="TRANSPORTE Y VIVIENDA"/>
    <s v="URBANO"/>
    <s v="CONECTIVIDAD"/>
    <x v="2"/>
    <x v="9"/>
    <n v="9"/>
    <s v="LIBRE"/>
    <s v="EJECUCION"/>
    <n v="30080460"/>
    <m/>
    <s v="KARIN DEL CARMEN BARRIENTOS WINTER"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  <s v="RS"/>
    <s v="En Ejecución "/>
  </r>
  <r>
    <n v="31"/>
    <s v="A"/>
    <s v="MULTISECTORIAL"/>
    <s v="URBANO"/>
    <s v="SOCIAL"/>
    <x v="2"/>
    <x v="9"/>
    <n v="9"/>
    <s v="LIBRE"/>
    <s v="EJECUCION"/>
    <n v="30104476"/>
    <m/>
    <s v="KARIN DEL CARMEN BARRIENTOS WINTER"/>
    <s v="30104476EJECUCION"/>
    <m/>
    <s v="CONSTRUCCION CIERRE VERTEDERO MUNICIPAL COMUNA DE PUERTO MONTT"/>
    <m/>
    <m/>
    <m/>
    <m/>
    <m/>
    <m/>
    <m/>
    <n v="1111238000"/>
    <n v="2101000"/>
    <m/>
    <n v="308433000"/>
    <n v="108933337"/>
    <n v="199499663"/>
    <n v="0"/>
    <n v="0"/>
    <n v="0"/>
    <n v="0"/>
    <n v="0"/>
    <n v="1800000"/>
    <n v="36753623"/>
    <n v="32932146"/>
    <n v="16139435"/>
    <n v="1800000"/>
    <n v="19508133"/>
    <n v="0"/>
    <m/>
    <n v="800704000"/>
    <s v="RS"/>
    <s v="RS"/>
    <s v="En Ejecución "/>
  </r>
  <r>
    <n v="33"/>
    <s v="A"/>
    <s v="MULTISECTORIAL"/>
    <s v="URBANO"/>
    <s v="SOCIAL"/>
    <x v="2"/>
    <x v="9"/>
    <n v="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9"/>
    <n v="9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4257666"/>
    <n v="195742334"/>
    <n v="0"/>
    <n v="0"/>
    <n v="0"/>
    <n v="0"/>
    <n v="0"/>
    <n v="684580"/>
    <n v="0"/>
    <n v="0"/>
    <n v="0"/>
    <n v="0"/>
    <n v="3573086"/>
    <n v="0"/>
    <m/>
    <n v="0"/>
    <s v="RS**"/>
    <s v="FRIL"/>
    <s v="En Ejecución "/>
  </r>
  <r>
    <n v="31"/>
    <s v="N"/>
    <s v="SALUD"/>
    <s v="URBANO"/>
    <s v="SOCIAL"/>
    <x v="2"/>
    <x v="9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9146882427"/>
    <n v="9223947042"/>
    <m/>
    <n v="828034588"/>
    <n v="218935515"/>
    <n v="609099073"/>
    <n v="0"/>
    <n v="0"/>
    <n v="0"/>
    <n v="0"/>
    <n v="0"/>
    <n v="4984580"/>
    <n v="36753623"/>
    <n v="32932146"/>
    <n v="16139435"/>
    <n v="1800000"/>
    <n v="89615941"/>
    <n v="36709790"/>
    <m/>
    <n v="909490079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x v="9"/>
    <n v="9"/>
    <s v="LIBRE"/>
    <s v="DISEÑO"/>
    <n v="30080922"/>
    <m/>
    <e v="#N/A"/>
    <s v="30080922DISEÑO"/>
    <s v="2332-42-LE19"/>
    <s v="REPOSICIÓN POSTA DE SALUD RURAL DE HUELMO"/>
    <m/>
    <m/>
    <m/>
    <s v="335 15,02,19"/>
    <n v="23524000"/>
    <m/>
    <m/>
    <n v="23524000"/>
    <n v="0"/>
    <m/>
    <n v="14524000"/>
    <n v="0"/>
    <n v="14524000"/>
    <n v="0"/>
    <n v="0"/>
    <n v="0"/>
    <n v="0"/>
    <n v="0"/>
    <n v="0"/>
    <n v="0"/>
    <n v="0"/>
    <n v="0"/>
    <n v="0"/>
    <n v="0"/>
    <n v="0"/>
    <m/>
    <n v="9000000"/>
    <s v="RS"/>
    <s v="RS"/>
    <s v="Licitación Adjudicada"/>
  </r>
  <r>
    <n v="31"/>
    <s v="A"/>
    <s v="SALUD"/>
    <s v="RURAL"/>
    <s v="SOCIAL"/>
    <x v="2"/>
    <x v="9"/>
    <n v="9"/>
    <s v="LIBRE"/>
    <s v="DISEÑO"/>
    <n v="30080921"/>
    <m/>
    <s v="KARIN DEL CARMEN BARRIENTOS WINTER"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22645000"/>
    <n v="0"/>
    <n v="22645000"/>
    <n v="0"/>
    <n v="0"/>
    <n v="0"/>
    <n v="0"/>
    <n v="0"/>
    <n v="0"/>
    <n v="0"/>
    <n v="0"/>
    <n v="0"/>
    <n v="0"/>
    <n v="0"/>
    <n v="0"/>
    <m/>
    <n v="0"/>
    <s v="RS"/>
    <s v="RS"/>
    <s v="Licitación Desierta"/>
  </r>
  <r>
    <n v="31"/>
    <s v="A"/>
    <s v="SALUD"/>
    <s v="RURAL"/>
    <s v="SOCIAL"/>
    <x v="2"/>
    <x v="9"/>
    <n v="9"/>
    <s v="LIBRE"/>
    <s v="DISEÑO"/>
    <n v="30270222"/>
    <m/>
    <s v="KARIN DEL CARMEN BARRIENTOS WINTER"/>
    <s v="30270222DISEÑO"/>
    <s v="2332-84-LE19"/>
    <s v="REPOSICIÓN POSTA DE SALUD RURAL DE CORRENTOSO"/>
    <m/>
    <m/>
    <m/>
    <m/>
    <m/>
    <m/>
    <m/>
    <n v="22000000"/>
    <n v="0"/>
    <m/>
    <n v="17500000"/>
    <n v="0"/>
    <n v="17500000"/>
    <n v="0"/>
    <n v="0"/>
    <n v="0"/>
    <n v="0"/>
    <n v="0"/>
    <n v="0"/>
    <n v="0"/>
    <n v="0"/>
    <n v="0"/>
    <n v="0"/>
    <n v="0"/>
    <n v="0"/>
    <m/>
    <n v="4500000"/>
    <s v="RS"/>
    <s v="RS"/>
    <s v="Licitación Desierta"/>
  </r>
  <r>
    <n v="31"/>
    <s v="N"/>
    <s v="AGUA POTABLE Y ALCANTARILLADO"/>
    <s v="URBANO"/>
    <s v="ALCANTARILLADO"/>
    <x v="2"/>
    <x v="9"/>
    <n v="9"/>
    <s v="LIBRE"/>
    <s v="EJECUCION"/>
    <n v="30429872"/>
    <s v="G"/>
    <s v="PAULINA HUIDOBRO JARAMI"/>
    <s v="30429872EJECUCION"/>
    <m/>
    <s v="CONSTRUCCION REDES AGUA POTABLE Y ALC. VILLA LOS PINOS ALTOS"/>
    <m/>
    <m/>
    <m/>
    <s v="1101 18,05,20"/>
    <n v="445639000"/>
    <m/>
    <m/>
    <n v="445639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345639000"/>
    <s v="RS"/>
    <s v="RS"/>
    <s v="En Licitación"/>
  </r>
  <r>
    <n v="31"/>
    <s v="N"/>
    <s v="EDUCACIÓN Y CULTURA"/>
    <s v="URBANO"/>
    <s v="SOCIAL"/>
    <x v="2"/>
    <x v="9"/>
    <n v="9"/>
    <s v="LIBRE"/>
    <s v="EJECUCION"/>
    <n v="30077490"/>
    <s v="G"/>
    <s v="PAULINA HUIDOBRO JARAMI"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416782000"/>
    <s v="RS"/>
    <s v="RS"/>
    <s v="En Licitación"/>
  </r>
  <r>
    <n v="31"/>
    <s v="N"/>
    <s v="DEFENSA Y SEGURIDAD"/>
    <s v="URBANO"/>
    <s v="SOCIAL"/>
    <x v="2"/>
    <x v="9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809015000"/>
    <s v="RS"/>
    <s v="RS"/>
    <s v="En Licitación"/>
  </r>
  <r>
    <n v="31"/>
    <s v="N"/>
    <s v="TRANSPORTE Y VIVIENDA"/>
    <s v="URBANO"/>
    <s v="CONECTIVIDAD"/>
    <x v="2"/>
    <x v="9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12000000"/>
    <n v="0"/>
    <n v="12000000"/>
    <n v="0"/>
    <n v="0"/>
    <n v="0"/>
    <n v="0"/>
    <n v="0"/>
    <n v="0"/>
    <n v="0"/>
    <n v="0"/>
    <n v="0"/>
    <n v="0"/>
    <n v="0"/>
    <n v="0"/>
    <m/>
    <n v="513598000"/>
    <s v="RS"/>
    <s v="RS"/>
    <s v="Convenio en Confección"/>
  </r>
  <r>
    <n v="31"/>
    <s v="A"/>
    <s v="SALUD"/>
    <s v="URBANO"/>
    <s v="SOCIAL"/>
    <x v="2"/>
    <x v="9"/>
    <n v="9"/>
    <s v="LIBRE"/>
    <s v="EJECUCION"/>
    <n v="30128140"/>
    <m/>
    <s v="KARIN DEL CARMEN BARRIENTOS WINTER"/>
    <s v="30128140EJECUCION"/>
    <m/>
    <s v="NORMALIZACION CESFAM ALERCE "/>
    <m/>
    <m/>
    <m/>
    <m/>
    <m/>
    <m/>
    <m/>
    <n v="4090104000"/>
    <n v="4000000"/>
    <m/>
    <n v="498204000"/>
    <n v="0"/>
    <n v="498204000"/>
    <n v="0"/>
    <n v="0"/>
    <n v="0"/>
    <n v="0"/>
    <n v="0"/>
    <n v="0"/>
    <n v="0"/>
    <n v="0"/>
    <n v="0"/>
    <n v="0"/>
    <n v="0"/>
    <n v="0"/>
    <m/>
    <n v="35879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8525307000"/>
    <n v="4000000"/>
    <m/>
    <n v="834873000"/>
    <n v="0"/>
    <n v="834873000"/>
    <n v="0"/>
    <n v="0"/>
    <n v="0"/>
    <n v="0"/>
    <n v="0"/>
    <n v="0"/>
    <n v="0"/>
    <n v="0"/>
    <n v="0"/>
    <n v="0"/>
    <n v="0"/>
    <n v="0"/>
    <m/>
    <n v="7686434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. MONTT"/>
    <m/>
    <m/>
    <m/>
    <m/>
    <m/>
    <m/>
    <m/>
    <n v="27672189427"/>
    <n v="9227947042"/>
    <m/>
    <n v="1662907588"/>
    <n v="218935515"/>
    <n v="1443972073"/>
    <n v="0"/>
    <n v="0"/>
    <n v="0"/>
    <n v="0"/>
    <n v="0"/>
    <n v="4984580"/>
    <n v="36753623"/>
    <n v="32932146"/>
    <n v="16139435"/>
    <n v="1800000"/>
    <n v="89615941"/>
    <n v="36709790"/>
    <m/>
    <n v="1678133479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SOCIAL"/>
    <x v="2"/>
    <x v="10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300000000"/>
    <n v="0"/>
    <m/>
    <n v="300000000"/>
    <n v="113656769"/>
    <n v="186343231"/>
    <n v="0"/>
    <n v="0"/>
    <n v="0"/>
    <n v="0"/>
    <n v="0"/>
    <n v="0"/>
    <n v="35920984"/>
    <n v="0"/>
    <n v="15827056"/>
    <n v="31320144"/>
    <n v="30588585"/>
    <n v="0"/>
    <m/>
    <n v="0"/>
    <s v="RS***"/>
    <s v="SS.EE"/>
    <s v="En Ejecución "/>
  </r>
  <r>
    <n v="31"/>
    <s v="A"/>
    <s v="MULTISECTORIAL"/>
    <s v="RURAL"/>
    <s v="SOCIAL"/>
    <x v="2"/>
    <x v="10"/>
    <n v="10"/>
    <s v="LIBRE"/>
    <s v="EJECUCION"/>
    <n v="30087299"/>
    <m/>
    <s v="PAULINA HUIDOBRO JARAMI"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82320466"/>
    <n v="134588568"/>
    <n v="0"/>
    <n v="0"/>
    <n v="0"/>
    <n v="0"/>
    <n v="0"/>
    <n v="41382967"/>
    <n v="40937499"/>
    <n v="0"/>
    <n v="0"/>
    <n v="0"/>
    <n v="0"/>
    <n v="0"/>
    <m/>
    <n v="2529416"/>
    <s v="RS"/>
    <s v="RS"/>
    <s v="En Ejecución "/>
  </r>
  <r>
    <m/>
    <m/>
    <m/>
    <m/>
    <m/>
    <x v="0"/>
    <x v="0"/>
    <m/>
    <m/>
    <m/>
    <m/>
    <m/>
    <e v="#N/A"/>
    <m/>
    <m/>
    <s v="CONSULTORIA"/>
    <m/>
    <m/>
    <n v="18392000"/>
    <m/>
    <m/>
    <m/>
    <m/>
    <n v="18392000"/>
    <m/>
    <m/>
    <m/>
    <m/>
    <m/>
    <m/>
    <m/>
    <m/>
    <m/>
    <m/>
    <m/>
    <m/>
    <m/>
    <m/>
    <m/>
    <m/>
    <m/>
    <m/>
    <n v="18392000"/>
    <m/>
    <m/>
    <m/>
  </r>
  <r>
    <m/>
    <m/>
    <m/>
    <m/>
    <m/>
    <x v="0"/>
    <x v="0"/>
    <m/>
    <m/>
    <m/>
    <m/>
    <m/>
    <e v="#N/A"/>
    <m/>
    <m/>
    <s v="EQUIPAMIENTO"/>
    <m/>
    <m/>
    <n v="6404000"/>
    <m/>
    <m/>
    <m/>
    <m/>
    <n v="6404000"/>
    <m/>
    <m/>
    <m/>
    <m/>
    <m/>
    <m/>
    <m/>
    <m/>
    <m/>
    <m/>
    <m/>
    <m/>
    <m/>
    <m/>
    <m/>
    <m/>
    <m/>
    <m/>
    <n v="6404000"/>
    <m/>
    <m/>
    <m/>
  </r>
  <r>
    <m/>
    <m/>
    <m/>
    <m/>
    <m/>
    <x v="0"/>
    <x v="0"/>
    <m/>
    <m/>
    <m/>
    <m/>
    <m/>
    <e v="#N/A"/>
    <m/>
    <m/>
    <s v="EQUIPOS"/>
    <m/>
    <m/>
    <n v="73180000"/>
    <m/>
    <m/>
    <m/>
    <m/>
    <n v="73180000"/>
    <m/>
    <m/>
    <m/>
    <m/>
    <m/>
    <m/>
    <m/>
    <m/>
    <m/>
    <m/>
    <m/>
    <m/>
    <m/>
    <m/>
    <m/>
    <m/>
    <m/>
    <m/>
    <n v="73180000"/>
    <m/>
    <m/>
    <m/>
  </r>
  <r>
    <m/>
    <m/>
    <m/>
    <m/>
    <m/>
    <x v="0"/>
    <x v="0"/>
    <m/>
    <m/>
    <m/>
    <m/>
    <m/>
    <e v="#N/A"/>
    <m/>
    <m/>
    <s v="GASTOS ADMINISTRATIVOS"/>
    <m/>
    <m/>
    <m/>
    <m/>
    <m/>
    <m/>
    <m/>
    <n v="0"/>
    <m/>
    <m/>
    <m/>
    <m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e v="#N/A"/>
    <m/>
    <m/>
    <s v="OBRAS CIVILES"/>
    <m/>
    <m/>
    <n v="1196036000"/>
    <m/>
    <m/>
    <m/>
    <m/>
    <n v="1196036000"/>
    <m/>
    <m/>
    <m/>
    <m/>
    <m/>
    <m/>
    <m/>
    <m/>
    <m/>
    <m/>
    <m/>
    <m/>
    <m/>
    <m/>
    <m/>
    <m/>
    <m/>
    <m/>
    <n v="1196036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1"/>
    <s v="A"/>
    <s v="EDUCACIÓN Y CULTURA"/>
    <s v="URBANO"/>
    <s v="SOCIAL"/>
    <x v="2"/>
    <x v="10"/>
    <n v="10"/>
    <s v="LIBRE"/>
    <s v="EJECUCION"/>
    <n v="20086686"/>
    <s v="G"/>
    <s v="PAULINA HUIDOBRO JARAMI"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400000000"/>
    <n v="0"/>
    <n v="400000000"/>
    <n v="0"/>
    <n v="0"/>
    <n v="0"/>
    <n v="0"/>
    <n v="0"/>
    <n v="0"/>
    <n v="0"/>
    <n v="0"/>
    <n v="0"/>
    <n v="0"/>
    <n v="0"/>
    <n v="0"/>
    <m/>
    <n v="9321966750"/>
    <s v="RS"/>
    <s v="RS"/>
    <s v="En Ejecución "/>
  </r>
  <r>
    <n v="31"/>
    <s v="A"/>
    <s v="EDUCACIÓN Y CULTURA"/>
    <s v="RURAL"/>
    <s v="SOCIAL"/>
    <x v="2"/>
    <x v="10"/>
    <n v="10"/>
    <s v="LIBRE"/>
    <s v="DISEÑO"/>
    <n v="30326322"/>
    <m/>
    <s v="KARIN DEL CARMEN BARRIENTOS WINTER"/>
    <s v="30326322DISEÑO"/>
    <m/>
    <s v="REPOSICION ESCUELA BERNARDO OHIGGINS, CALBUCO"/>
    <m/>
    <m/>
    <m/>
    <m/>
    <m/>
    <m/>
    <m/>
    <n v="290974000"/>
    <n v="200000000"/>
    <m/>
    <n v="90974000"/>
    <n v="0"/>
    <n v="90974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s v="MULTISECTORIAL"/>
    <s v="URBANO"/>
    <s v="SOCIAL"/>
    <x v="2"/>
    <x v="10"/>
    <n v="1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0"/>
    <n v="10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91627806"/>
    <n v="108372194"/>
    <n v="0"/>
    <n v="0"/>
    <n v="0"/>
    <n v="0"/>
    <n v="0"/>
    <n v="14021603"/>
    <n v="7264992"/>
    <n v="0"/>
    <n v="61444815"/>
    <n v="8896396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2064172463"/>
    <n v="1431793263"/>
    <m/>
    <n v="1307883034"/>
    <n v="287605041"/>
    <n v="1020277993"/>
    <n v="0"/>
    <n v="0"/>
    <n v="0"/>
    <n v="0"/>
    <n v="0"/>
    <n v="55404570"/>
    <n v="84123475"/>
    <n v="0"/>
    <n v="77271871"/>
    <n v="40216540"/>
    <n v="30588585"/>
    <n v="0"/>
    <m/>
    <n v="93244961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RECURSOS NATURALES Y MEDIO AMBIENTE"/>
    <s v="URBANO"/>
    <s v="SOCIAL"/>
    <x v="2"/>
    <x v="10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388423000"/>
    <n v="0"/>
    <n v="388423000"/>
    <n v="0"/>
    <n v="0"/>
    <n v="0"/>
    <n v="0"/>
    <n v="0"/>
    <n v="0"/>
    <n v="0"/>
    <n v="0"/>
    <n v="0"/>
    <n v="0"/>
    <n v="0"/>
    <n v="0"/>
    <m/>
    <n v="1165268000"/>
    <s v="RS"/>
    <s v="RS"/>
    <s v="En Licitación"/>
  </r>
  <r>
    <n v="31"/>
    <s v="N"/>
    <s v="TRANSPORTE Y VIVIENDA"/>
    <s v="URBANO"/>
    <s v="CONECTIVIDAD"/>
    <x v="2"/>
    <x v="10"/>
    <n v="10"/>
    <s v="FAR"/>
    <s v="EJECUCION"/>
    <n v="40015774"/>
    <m/>
    <m/>
    <s v="40015774EJECUCION"/>
    <m/>
    <s v="CONSTRUCCION PAVIMENTO CALLE SAN ANDRES Y LOS TULIPANES"/>
    <m/>
    <m/>
    <m/>
    <m/>
    <m/>
    <m/>
    <m/>
    <n v="269785542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19785542"/>
    <s v="RS"/>
    <s v="RS"/>
    <s v="Convenio en Confección"/>
  </r>
  <r>
    <n v="31"/>
    <s v="N"/>
    <s v="TRANSPORTE Y VIVIENDA"/>
    <s v="URBANO"/>
    <s v="CONECTIVIDAD"/>
    <x v="2"/>
    <x v="10"/>
    <n v="10"/>
    <s v="FAR"/>
    <s v="EJECUCION"/>
    <n v="40015770"/>
    <m/>
    <m/>
    <s v="40015770EJECUCION"/>
    <m/>
    <s v="CONSTRUCCION PAVIMENTO CALLE CONDELL, FRAGATA COCHRANE Y LAS VERTIENTES"/>
    <m/>
    <m/>
    <m/>
    <m/>
    <m/>
    <m/>
    <m/>
    <n v="370712904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300712904"/>
    <s v="RS"/>
    <s v="RS"/>
    <s v="Convenio en Confección"/>
  </r>
  <r>
    <n v="22"/>
    <s v="N"/>
    <s v="TRANSPORTE Y VIVIENDA"/>
    <s v="URBANO"/>
    <s v="SOCIAL"/>
    <x v="2"/>
    <x v="10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95000000"/>
    <s v="RS*"/>
    <s v="C33"/>
    <s v="En Licitación (08.07.20)"/>
  </r>
  <r>
    <n v="31"/>
    <s v="N"/>
    <s v="AGUA POTABLE Y ALCANTARILLADO"/>
    <s v="RURAL"/>
    <s v="AGUA POTABLE"/>
    <x v="2"/>
    <x v="10"/>
    <n v="10"/>
    <s v="LIBRE"/>
    <s v="EJECUCION"/>
    <n v="30480526"/>
    <m/>
    <m/>
    <s v="30480526EJECUCION"/>
    <m/>
    <s v="CONSTRUCCION SERVICIO AGUA POTABLE RURAL LA CAMPANA"/>
    <m/>
    <m/>
    <m/>
    <m/>
    <m/>
    <m/>
    <m/>
    <n v="791085000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721085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095274446"/>
    <n v="0"/>
    <m/>
    <n v="593423000"/>
    <n v="0"/>
    <n v="593423000"/>
    <n v="0"/>
    <n v="0"/>
    <n v="0"/>
    <n v="0"/>
    <n v="0"/>
    <n v="0"/>
    <n v="0"/>
    <n v="0"/>
    <n v="0"/>
    <n v="0"/>
    <n v="0"/>
    <n v="0"/>
    <m/>
    <n v="250185144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ALBUCO"/>
    <m/>
    <m/>
    <m/>
    <m/>
    <m/>
    <m/>
    <m/>
    <n v="15159446909"/>
    <n v="1431793263"/>
    <m/>
    <n v="1901306034"/>
    <n v="287605041"/>
    <n v="1613700993"/>
    <n v="0"/>
    <n v="0"/>
    <n v="0"/>
    <n v="0"/>
    <n v="0"/>
    <n v="55404570"/>
    <n v="84123475"/>
    <n v="0"/>
    <n v="77271871"/>
    <n v="40216540"/>
    <n v="30588585"/>
    <n v="0"/>
    <m/>
    <n v="1182634761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x v="11"/>
    <n v="11"/>
    <s v="LIBRE"/>
    <s v="DISEÑO"/>
    <n v="30085125"/>
    <s v="V"/>
    <s v="KARIN DEL CARMEN BARRIENTOS WINTER"/>
    <s v="30085125DISEÑO"/>
    <m/>
    <s v="REPOSICION POSTA DE SALUD RURAL PASO EL LEON, COCHAMO"/>
    <m/>
    <m/>
    <m/>
    <m/>
    <m/>
    <m/>
    <m/>
    <n v="23800000"/>
    <n v="1300000"/>
    <m/>
    <n v="22500000"/>
    <n v="8800000"/>
    <n v="13700000"/>
    <n v="0"/>
    <n v="0"/>
    <n v="0"/>
    <n v="0"/>
    <n v="0"/>
    <n v="0"/>
    <n v="4400000"/>
    <n v="0"/>
    <n v="0"/>
    <n v="0"/>
    <n v="4400000"/>
    <n v="0"/>
    <m/>
    <n v="0"/>
    <s v="RS"/>
    <s v="RS"/>
    <s v="En Ejecución "/>
  </r>
  <r>
    <n v="31"/>
    <s v="A"/>
    <s v="DEPORTE"/>
    <s v="RURAL"/>
    <s v="SOCIAL"/>
    <x v="2"/>
    <x v="11"/>
    <n v="11"/>
    <s v="LIBRE"/>
    <s v="DISEÑO"/>
    <n v="30328431"/>
    <s v="V"/>
    <s v="KARIN DEL CARMEN BARRIENTOS WINTER"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  <s v="RS"/>
    <s v="En Ejecución "/>
  </r>
  <r>
    <n v="33"/>
    <s v="A"/>
    <s v="MULTISECTORIAL"/>
    <s v="URBANO"/>
    <s v="SOCIAL"/>
    <x v="2"/>
    <x v="11"/>
    <n v="1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1"/>
    <n v="11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78356571"/>
    <n v="121643429"/>
    <n v="0"/>
    <n v="0"/>
    <n v="0"/>
    <n v="0"/>
    <n v="0"/>
    <n v="0"/>
    <n v="0"/>
    <n v="9381246"/>
    <n v="7681695"/>
    <n v="0"/>
    <n v="6129363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64080000"/>
    <n v="2300000"/>
    <m/>
    <n v="361780000"/>
    <n v="106896571"/>
    <n v="254883429"/>
    <n v="0"/>
    <n v="0"/>
    <n v="0"/>
    <n v="0"/>
    <n v="0"/>
    <n v="0"/>
    <n v="4400000"/>
    <n v="9381246"/>
    <n v="20841695"/>
    <n v="0"/>
    <n v="65693630"/>
    <n v="658000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x v="11"/>
    <n v="11"/>
    <s v="LIBRE"/>
    <s v="DISEÑO"/>
    <n v="40006863"/>
    <m/>
    <e v="#N/A"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60000000"/>
    <n v="0"/>
    <n v="60000000"/>
    <n v="0"/>
    <n v="0"/>
    <n v="0"/>
    <n v="0"/>
    <n v="0"/>
    <n v="0"/>
    <n v="0"/>
    <n v="0"/>
    <n v="0"/>
    <n v="0"/>
    <n v="0"/>
    <n v="0"/>
    <m/>
    <n v="69430000"/>
    <s v="RS"/>
    <s v="RS"/>
    <s v="Licitación Adjudicada"/>
  </r>
  <r>
    <n v="29"/>
    <s v="N"/>
    <s v="DEFENSA Y SEGURIDAD"/>
    <s v="RURAL"/>
    <s v="SOCIAL"/>
    <x v="2"/>
    <x v="11"/>
    <n v="11"/>
    <s v="ENERGIZACION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89582"/>
    <n v="0"/>
    <m/>
    <n v="127689582"/>
    <n v="0"/>
    <n v="127689582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29"/>
    <s v="A"/>
    <s v="SALUD"/>
    <s v="RURAL"/>
    <s v="SOCIAL"/>
    <x v="2"/>
    <x v="11"/>
    <n v="11"/>
    <s v="FAR"/>
    <s v="EJECUCION"/>
    <n v="40005418"/>
    <m/>
    <e v="#N/A"/>
    <s v="40005418EJECUCION"/>
    <s v="4831-2-LQ20"/>
    <s v="ADQUISICION Y REPOSICION AMBULANCIAS DE EMERGENCIAS PARA TRASLADO DE PACIENTES (C33)"/>
    <m/>
    <m/>
    <m/>
    <s v="369 10,02,20"/>
    <n v="137960000"/>
    <m/>
    <m/>
    <n v="54300000"/>
    <n v="0"/>
    <m/>
    <n v="54300000"/>
    <n v="0"/>
    <n v="54300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31"/>
    <s v="N"/>
    <s v="AGUA POTABLE Y ALCANTARILLADO"/>
    <s v="RURAL"/>
    <s v="AGUA POTABLE"/>
    <x v="2"/>
    <x v="11"/>
    <n v="11"/>
    <s v="LIBRE"/>
    <s v="EJECUCION"/>
    <n v="30116479"/>
    <m/>
    <s v="KARIN DEL CARMEN BARRIENTOS WINTER"/>
    <s v="30116479EJECUCION"/>
    <s v="4831-7-LR20"/>
    <s v="* CONSTRUCCION SISTEMA APR DE LLAGUEPE"/>
    <s v="* CERT. CORE 41 07.02.20 - ACTUALIZA COSTO"/>
    <m/>
    <m/>
    <s v="781 18,03,20"/>
    <n v="425454000"/>
    <m/>
    <m/>
    <n v="425454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345454000"/>
    <s v="RS"/>
    <s v="RS"/>
    <s v="Licitacion Desierta 03.06.20"/>
  </r>
  <r>
    <n v="29"/>
    <s v="N"/>
    <s v="EDUCACIÓN Y CULTURA"/>
    <s v="URBANO"/>
    <s v="SOCIAL"/>
    <x v="2"/>
    <x v="11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0"/>
    <n v="0"/>
    <n v="0"/>
    <n v="0"/>
    <n v="0"/>
    <n v="0"/>
    <n v="0"/>
    <n v="0"/>
    <n v="0"/>
    <n v="0"/>
    <n v="0"/>
    <n v="0"/>
    <n v="0"/>
    <n v="0"/>
    <n v="0"/>
    <m/>
    <n v="290674000"/>
    <s v="RS*"/>
    <s v="C33"/>
    <s v="Convenio en Tramite"/>
  </r>
  <r>
    <n v="31"/>
    <s v="N"/>
    <s v="EDUCACIÓN Y CULTURA"/>
    <s v="RURAL"/>
    <s v="SOCIAL"/>
    <x v="2"/>
    <x v="11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25000000"/>
    <n v="0"/>
    <n v="25000000"/>
    <n v="0"/>
    <n v="0"/>
    <n v="0"/>
    <n v="0"/>
    <n v="0"/>
    <n v="0"/>
    <n v="0"/>
    <n v="0"/>
    <n v="0"/>
    <n v="0"/>
    <n v="0"/>
    <n v="0"/>
    <m/>
    <n v="97370000"/>
    <s v="RS"/>
    <s v="RS"/>
    <s v="Convenio en Confección"/>
  </r>
  <r>
    <n v="31"/>
    <s v="N"/>
    <s v="ENERGIA"/>
    <s v="RURAL"/>
    <s v="ENERGIA"/>
    <x v="2"/>
    <x v="11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766527000"/>
    <n v="0"/>
    <n v="766527000"/>
    <n v="0"/>
    <n v="0"/>
    <n v="0"/>
    <n v="0"/>
    <n v="0"/>
    <n v="0"/>
    <n v="0"/>
    <n v="0"/>
    <n v="0"/>
    <n v="0"/>
    <n v="0"/>
    <n v="0"/>
    <m/>
    <n v="2574000"/>
    <s v="RS"/>
    <s v="RS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919018582"/>
    <n v="0"/>
    <m/>
    <n v="1113516582"/>
    <n v="0"/>
    <n v="1113516582"/>
    <n v="0"/>
    <n v="0"/>
    <n v="0"/>
    <n v="0"/>
    <n v="0"/>
    <n v="0"/>
    <n v="0"/>
    <n v="0"/>
    <n v="0"/>
    <n v="0"/>
    <n v="0"/>
    <n v="0"/>
    <m/>
    <n v="80550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OCHAMO"/>
    <m/>
    <m/>
    <m/>
    <m/>
    <m/>
    <m/>
    <m/>
    <n v="2283098582"/>
    <n v="2300000"/>
    <m/>
    <n v="1475296582"/>
    <n v="106896571"/>
    <n v="1368400011"/>
    <n v="0"/>
    <n v="0"/>
    <n v="0"/>
    <n v="0"/>
    <n v="0"/>
    <n v="0"/>
    <n v="4400000"/>
    <n v="9381246"/>
    <n v="20841695"/>
    <n v="0"/>
    <n v="65693630"/>
    <n v="6580000"/>
    <m/>
    <n v="80550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2"/>
    <x v="12"/>
    <n v="12"/>
    <s v="LIBRE"/>
    <s v="EJECUCION"/>
    <n v="30088011"/>
    <s v="G"/>
    <s v="PAULINA HUIDOBRO JARAMI"/>
    <s v="30088011EJECUCION"/>
    <m/>
    <s v="CONSTRUCCION PLANTA DE TRATAMIENTO PARGA"/>
    <m/>
    <m/>
    <m/>
    <m/>
    <m/>
    <m/>
    <m/>
    <n v="646979000"/>
    <n v="305360040"/>
    <m/>
    <n v="341618960"/>
    <n v="29853568"/>
    <n v="311765392"/>
    <n v="0"/>
    <n v="0"/>
    <n v="0"/>
    <n v="0"/>
    <n v="0"/>
    <n v="0"/>
    <n v="0"/>
    <n v="0"/>
    <n v="0"/>
    <n v="10007311"/>
    <n v="3487763"/>
    <n v="16358494"/>
    <m/>
    <n v="0"/>
    <s v="RS"/>
    <s v="RS"/>
    <s v="En Ejecución "/>
  </r>
  <r>
    <n v="31"/>
    <s v="A"/>
    <s v="AGUA POTABLE Y ALCANTARILLADO"/>
    <s v="RURAL"/>
    <s v="AGUA POTABLE"/>
    <x v="2"/>
    <x v="12"/>
    <n v="12"/>
    <s v="LIBRE"/>
    <s v="EJECUCION"/>
    <n v="30397144"/>
    <s v="G"/>
    <s v="PAULINA HUIDOBRO JARAMI"/>
    <s v="30397144EJECUCION"/>
    <m/>
    <s v="CONSTRUCCION SISTEMA APR SECTOR LAS CRUCES, COMUNA DE FRESIA"/>
    <m/>
    <m/>
    <m/>
    <m/>
    <m/>
    <m/>
    <m/>
    <n v="1134291000"/>
    <n v="698836765"/>
    <m/>
    <n v="435454235"/>
    <n v="258467213"/>
    <n v="176987022"/>
    <n v="0"/>
    <n v="0"/>
    <n v="0"/>
    <n v="0"/>
    <n v="0"/>
    <n v="1250000"/>
    <n v="1250000"/>
    <n v="9961818"/>
    <n v="39677906"/>
    <n v="67667864"/>
    <n v="42695534"/>
    <n v="95964091"/>
    <m/>
    <n v="0"/>
    <s v="RE"/>
    <s v="RE"/>
    <s v="En Ejecución / Reevaluación"/>
  </r>
  <r>
    <n v="31"/>
    <s v="A"/>
    <s v="EDUCACIÓN Y CULTURA"/>
    <s v="RURAL"/>
    <s v="SOCIAL"/>
    <x v="2"/>
    <x v="12"/>
    <n v="12"/>
    <s v="LIBRE"/>
    <s v="EJECUCION"/>
    <n v="30396276"/>
    <m/>
    <s v="KARIN DEL CARMEN BARRIENTOS WINTER"/>
    <s v="30396276EJECUCION"/>
    <m/>
    <s v="CONSERVACION EDIFICIO DAEM, FRESIA (C33)"/>
    <m/>
    <m/>
    <m/>
    <m/>
    <m/>
    <m/>
    <m/>
    <n v="68303000"/>
    <n v="61049360"/>
    <m/>
    <n v="7253640"/>
    <n v="6450636"/>
    <n v="803004"/>
    <n v="0"/>
    <n v="0"/>
    <n v="0"/>
    <n v="0"/>
    <n v="0"/>
    <n v="0"/>
    <n v="1416666"/>
    <n v="3617304"/>
    <n v="0"/>
    <n v="0"/>
    <n v="0"/>
    <n v="1416666"/>
    <m/>
    <n v="0"/>
    <s v="RS*"/>
    <s v="C33"/>
    <s v="En Ejecución "/>
  </r>
  <r>
    <n v="31"/>
    <s v="A"/>
    <s v="SALUD"/>
    <s v="RURAL"/>
    <s v="SOCIAL"/>
    <x v="2"/>
    <x v="12"/>
    <n v="12"/>
    <s v="LIBRE"/>
    <s v="EJECUCION"/>
    <n v="30282773"/>
    <s v="SALUD"/>
    <s v="KARIN DEL CARMEN BARRIENTOS WINTER"/>
    <s v="30282773EJECUCION"/>
    <m/>
    <s v="REPOSICION POSTA DE SALUD RURAL EL TRAIGUEN, FRESIA"/>
    <m/>
    <m/>
    <m/>
    <m/>
    <m/>
    <m/>
    <m/>
    <n v="466789000"/>
    <n v="27961790"/>
    <m/>
    <n v="438827210"/>
    <n v="89282896"/>
    <n v="349544314"/>
    <n v="0"/>
    <n v="0"/>
    <n v="0"/>
    <n v="0"/>
    <n v="0"/>
    <n v="1330000"/>
    <n v="66702268"/>
    <n v="6795593"/>
    <n v="10465035"/>
    <n v="2660000"/>
    <n v="0"/>
    <n v="1330000"/>
    <m/>
    <n v="0"/>
    <s v="RS"/>
    <s v="RS"/>
    <s v="En Ejecución "/>
  </r>
  <r>
    <n v="29"/>
    <s v="A"/>
    <s v="DEFENSA Y SEGURIDAD"/>
    <s v="RURAL"/>
    <s v="SOCIAL"/>
    <x v="2"/>
    <x v="12"/>
    <n v="12"/>
    <s v="LIBRE"/>
    <s v="EJECUCION"/>
    <n v="30340925"/>
    <m/>
    <e v="#N/A"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212085350"/>
    <n v="0"/>
    <n v="212085350"/>
    <n v="0"/>
    <n v="0"/>
    <n v="0"/>
    <n v="0"/>
    <n v="0"/>
    <n v="0"/>
    <n v="0"/>
    <n v="0"/>
    <n v="0"/>
    <n v="0"/>
    <n v="0"/>
    <n v="0"/>
    <m/>
    <n v="322758650"/>
    <s v="RS*"/>
    <s v="C33"/>
    <s v="En Ejecución "/>
  </r>
  <r>
    <n v="31"/>
    <s v="A"/>
    <s v="AGUA POTABLE Y ALCANTARILLADO"/>
    <s v="RURAL"/>
    <s v="AGUA POTABLE"/>
    <x v="2"/>
    <x v="12"/>
    <n v="12"/>
    <s v="LIBRE"/>
    <s v="EJECUCION"/>
    <n v="30212472"/>
    <m/>
    <s v="KARIN DEL CARMEN BARRIENTOS WINTER"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114424497"/>
    <n v="0"/>
    <n v="114424497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n v="33"/>
    <s v="A"/>
    <s v="MULTISECTORIAL"/>
    <s v="URBANO"/>
    <s v="SOCIAL"/>
    <x v="2"/>
    <x v="12"/>
    <n v="1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2"/>
    <n v="12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92828132"/>
    <n v="107171868"/>
    <n v="0"/>
    <n v="0"/>
    <n v="0"/>
    <n v="0"/>
    <n v="0"/>
    <n v="0"/>
    <n v="5966708"/>
    <n v="0"/>
    <n v="35633834"/>
    <n v="0"/>
    <n v="5122759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641996000"/>
    <n v="1469573458"/>
    <m/>
    <n v="1849663892"/>
    <n v="476882445"/>
    <n v="1372781447"/>
    <n v="0"/>
    <n v="0"/>
    <n v="0"/>
    <n v="0"/>
    <n v="0"/>
    <n v="2580000"/>
    <n v="75335642"/>
    <n v="20374715"/>
    <n v="85776775"/>
    <n v="80335175"/>
    <n v="97410887"/>
    <n v="115069251"/>
    <m/>
    <n v="32275865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x v="12"/>
    <n v="12"/>
    <s v="LIBRE"/>
    <s v="EJECUCION"/>
    <n v="30134714"/>
    <m/>
    <e v="#N/A"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319116000"/>
    <n v="0"/>
    <n v="319116000"/>
    <n v="0"/>
    <n v="0"/>
    <n v="0"/>
    <n v="0"/>
    <n v="0"/>
    <n v="0"/>
    <n v="0"/>
    <n v="0"/>
    <n v="0"/>
    <n v="0"/>
    <n v="0"/>
    <n v="0"/>
    <m/>
    <n v="600000000"/>
    <s v="RS"/>
    <s v="RS"/>
    <s v="Licitación Desierta (28.05.20)"/>
  </r>
  <r>
    <n v="31"/>
    <s v="A"/>
    <s v="TRANSPORTE Y VIVIENDA"/>
    <s v="RURAL"/>
    <s v="CONECTIVIDAD"/>
    <x v="2"/>
    <x v="12"/>
    <n v="12"/>
    <s v="FAR"/>
    <s v="EJECUCION"/>
    <n v="40006229"/>
    <m/>
    <e v="#N/A"/>
    <s v="40006229EJECUCION"/>
    <s v="4037-132-LR19"/>
    <s v="MEJORAMIENTO DIVERSAS CALLES, COMUNA DE FRESIA"/>
    <m/>
    <m/>
    <m/>
    <m/>
    <m/>
    <m/>
    <m/>
    <n v="774200000"/>
    <n v="0"/>
    <m/>
    <n v="237621258"/>
    <n v="0"/>
    <n v="237621258"/>
    <n v="0"/>
    <n v="0"/>
    <n v="0"/>
    <n v="0"/>
    <n v="0"/>
    <n v="0"/>
    <n v="0"/>
    <n v="0"/>
    <n v="0"/>
    <n v="0"/>
    <n v="0"/>
    <n v="0"/>
    <m/>
    <n v="536578742"/>
    <s v="RS"/>
    <s v="RS"/>
    <s v="Licitación Desierta"/>
  </r>
  <r>
    <n v="31"/>
    <s v="N"/>
    <s v="TRANSPORTE Y VIVIENDA"/>
    <s v="RURAL"/>
    <s v="CONECTIVIDAD"/>
    <x v="2"/>
    <x v="12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716629000"/>
    <s v="RS*"/>
    <s v="C33"/>
    <s v="En Licitación (15.07.20)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559945000"/>
    <n v="0"/>
    <m/>
    <n v="706737258"/>
    <n v="0"/>
    <n v="706737258"/>
    <n v="0"/>
    <n v="0"/>
    <n v="0"/>
    <n v="0"/>
    <n v="0"/>
    <n v="0"/>
    <n v="0"/>
    <n v="0"/>
    <n v="0"/>
    <n v="0"/>
    <n v="0"/>
    <n v="0"/>
    <m/>
    <n v="185320774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RESIA"/>
    <m/>
    <m/>
    <m/>
    <m/>
    <m/>
    <m/>
    <m/>
    <n v="6201941000"/>
    <n v="1469573458"/>
    <m/>
    <n v="2556401150"/>
    <n v="476882445"/>
    <n v="2079518705"/>
    <n v="0"/>
    <n v="0"/>
    <n v="0"/>
    <n v="0"/>
    <n v="0"/>
    <n v="2580000"/>
    <n v="75335642"/>
    <n v="20374715"/>
    <n v="85776775"/>
    <n v="80335175"/>
    <n v="97410887"/>
    <n v="115069251"/>
    <m/>
    <n v="217596639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x v="13"/>
    <n v="13"/>
    <s v="LIBRE"/>
    <s v="EJECUCION"/>
    <n v="30484262"/>
    <m/>
    <s v="KARIN DEL CARMEN BARRIENTOS WINTER"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  <s v="RS"/>
    <s v="En Ejecución "/>
  </r>
  <r>
    <n v="31"/>
    <s v="A"/>
    <s v="AGUA POTABLE Y ALCANTARILLADO"/>
    <s v="RURAL"/>
    <s v="AGUA POTABLE"/>
    <x v="2"/>
    <x v="13"/>
    <n v="13"/>
    <s v="LIBRE"/>
    <s v="EJECUCION"/>
    <n v="30465246"/>
    <m/>
    <s v="PAULINA HUIDOBRO JARAMI"/>
    <s v="30465246EJECUCION"/>
    <m/>
    <s v="CONSTRUCCION RED DE APR SECTOR VILLA ALEGRE"/>
    <m/>
    <m/>
    <m/>
    <m/>
    <m/>
    <m/>
    <m/>
    <n v="175409000"/>
    <n v="148115391"/>
    <m/>
    <n v="27293609"/>
    <n v="3600000"/>
    <n v="23693609"/>
    <n v="0"/>
    <n v="0"/>
    <n v="0"/>
    <n v="0"/>
    <n v="0"/>
    <n v="0"/>
    <n v="0"/>
    <n v="0"/>
    <n v="0"/>
    <n v="1200000"/>
    <n v="1200000"/>
    <n v="1200000"/>
    <m/>
    <n v="0"/>
    <s v="RS"/>
    <s v="RS"/>
    <s v="En Ejecución "/>
  </r>
  <r>
    <n v="31"/>
    <s v="A"/>
    <s v="EDUCACIÓN Y CULTURA"/>
    <s v="RURAL"/>
    <s v="SOCIAL"/>
    <x v="2"/>
    <x v="13"/>
    <n v="13"/>
    <s v="LIBRE"/>
    <s v="EJECUCION"/>
    <n v="40005302"/>
    <m/>
    <e v="#N/A"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  <s v="C33"/>
    <s v="En Ejecución "/>
  </r>
  <r>
    <n v="31"/>
    <s v="A"/>
    <s v="TRANSPORTE Y VIVIENDA"/>
    <s v="RURAL"/>
    <s v="CONECTIVIDAD"/>
    <x v="2"/>
    <x v="13"/>
    <n v="13"/>
    <s v="FAR"/>
    <s v="EJECUCION"/>
    <n v="30077934"/>
    <m/>
    <e v="#N/A"/>
    <s v="30077934EJECUCION"/>
    <m/>
    <s v="CONSTRUCCION CALLE NUEVA NUEVE DE FRUTILLAR"/>
    <m/>
    <m/>
    <m/>
    <m/>
    <m/>
    <m/>
    <m/>
    <n v="1461360000"/>
    <n v="26796157"/>
    <m/>
    <n v="816715492"/>
    <n v="816715492"/>
    <n v="0"/>
    <n v="0"/>
    <n v="0"/>
    <n v="0"/>
    <n v="0"/>
    <n v="0"/>
    <n v="108020617"/>
    <n v="153392100"/>
    <n v="185052534"/>
    <n v="170070988"/>
    <n v="200179253"/>
    <n v="0"/>
    <n v="0"/>
    <m/>
    <n v="617848351"/>
    <s v="RS"/>
    <s v="RS"/>
    <s v="En Ejecución "/>
  </r>
  <r>
    <n v="31"/>
    <s v="A"/>
    <s v="AGUA POTABLE Y ALCANTARILLADO"/>
    <s v="RURAL"/>
    <s v="SOCIAL"/>
    <x v="2"/>
    <x v="13"/>
    <n v="13"/>
    <s v="LIBRE"/>
    <s v="EJECUCION"/>
    <n v="30485141"/>
    <m/>
    <e v="#N/A"/>
    <s v="30485141EJECUCION"/>
    <s v="2289-42-LQ19"/>
    <s v="CONSTRUCCION SISTEMA DE APR SECT. LOS RADALES, COMUNA FRUTILLAR"/>
    <m/>
    <m/>
    <m/>
    <m/>
    <m/>
    <m/>
    <m/>
    <n v="229003000"/>
    <n v="0"/>
    <m/>
    <n v="157561125"/>
    <n v="13908959"/>
    <n v="143652166"/>
    <n v="0"/>
    <n v="0"/>
    <n v="0"/>
    <n v="0"/>
    <n v="0"/>
    <n v="5036628"/>
    <n v="1600000"/>
    <n v="7272331"/>
    <n v="0"/>
    <n v="0"/>
    <n v="0"/>
    <n v="0"/>
    <m/>
    <n v="71441875"/>
    <s v="RS"/>
    <s v="RS"/>
    <s v="En Ejecución "/>
  </r>
  <r>
    <n v="33"/>
    <s v="A"/>
    <s v="MULTISECTORIAL"/>
    <s v="URBANO"/>
    <s v="SOCIAL"/>
    <x v="2"/>
    <x v="13"/>
    <n v="1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3"/>
    <n v="13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46340240"/>
    <n v="53659760"/>
    <n v="0"/>
    <n v="0"/>
    <n v="0"/>
    <n v="0"/>
    <n v="0"/>
    <n v="0"/>
    <n v="33502308"/>
    <n v="17866850"/>
    <n v="80706105"/>
    <n v="14264977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819285000"/>
    <n v="521109487"/>
    <m/>
    <n v="1608885287"/>
    <n v="1256934275"/>
    <n v="351951012"/>
    <n v="0"/>
    <n v="0"/>
    <n v="0"/>
    <n v="0"/>
    <n v="0"/>
    <n v="113057245"/>
    <n v="189616408"/>
    <n v="227597254"/>
    <n v="284043968"/>
    <n v="246159825"/>
    <n v="60385221"/>
    <n v="136074354"/>
    <m/>
    <n v="68929022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SOCIAL"/>
    <x v="2"/>
    <x v="13"/>
    <n v="13"/>
    <s v="LIBRE"/>
    <s v="EJECUCION"/>
    <n v="30485139"/>
    <m/>
    <s v="KARIN DEL CARMEN BARRIENTOS WINTER"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218397000"/>
    <n v="0"/>
    <n v="218397000"/>
    <n v="0"/>
    <n v="0"/>
    <n v="0"/>
    <n v="0"/>
    <n v="0"/>
    <n v="0"/>
    <n v="0"/>
    <n v="0"/>
    <n v="0"/>
    <n v="0"/>
    <n v="0"/>
    <n v="0"/>
    <m/>
    <n v="0"/>
    <s v="RS"/>
    <s v="RS"/>
    <s v="Licitacion Cerrada (28.11.2019)"/>
  </r>
  <r>
    <n v="31"/>
    <s v="A"/>
    <s v="AGUA POTABLE Y ALCANTARILLADO"/>
    <s v="RURAL"/>
    <s v="SOCIAL"/>
    <x v="2"/>
    <x v="13"/>
    <n v="13"/>
    <s v="LIBRE"/>
    <s v="EJECUCION"/>
    <n v="30485133"/>
    <m/>
    <e v="#N/A"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341863000"/>
    <n v="0"/>
    <n v="341863000"/>
    <n v="0"/>
    <n v="0"/>
    <n v="0"/>
    <n v="0"/>
    <n v="0"/>
    <n v="0"/>
    <n v="0"/>
    <n v="0"/>
    <n v="0"/>
    <n v="0"/>
    <n v="0"/>
    <n v="0"/>
    <m/>
    <n v="107709000"/>
    <s v="RS"/>
    <s v="RS"/>
    <s v="En Licitación (27.07.20)"/>
  </r>
  <r>
    <n v="31"/>
    <s v="A"/>
    <s v="EDUCACIÓN Y CULTURA"/>
    <s v="URBANO"/>
    <s v="SOCIAL"/>
    <x v="2"/>
    <x v="13"/>
    <n v="13"/>
    <s v="LIBRE"/>
    <s v="EJECUCION"/>
    <n v="30085259"/>
    <m/>
    <e v="#N/A"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759422906"/>
    <n v="0"/>
    <n v="759422906"/>
    <n v="0"/>
    <n v="0"/>
    <n v="0"/>
    <n v="0"/>
    <n v="0"/>
    <n v="0"/>
    <n v="0"/>
    <n v="0"/>
    <n v="0"/>
    <n v="0"/>
    <n v="0"/>
    <n v="0"/>
    <m/>
    <n v="5620487094"/>
    <s v="RS"/>
    <s v="RS"/>
    <s v="Licitación Desierta"/>
  </r>
  <r>
    <n v="31"/>
    <s v="A"/>
    <s v="AGUA POTABLE Y ALCANTARILLADO"/>
    <s v="RURAL"/>
    <s v="SOCIAL"/>
    <x v="2"/>
    <x v="13"/>
    <n v="13"/>
    <s v="LIBRE"/>
    <s v="EJECUCION"/>
    <n v="30485115"/>
    <m/>
    <s v="KARIN DEL CARMEN BARRIENTOS WINTER"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233849472"/>
    <n v="0"/>
    <n v="233849472"/>
    <n v="0"/>
    <n v="0"/>
    <n v="0"/>
    <n v="0"/>
    <n v="0"/>
    <n v="0"/>
    <n v="0"/>
    <n v="0"/>
    <n v="0"/>
    <n v="0"/>
    <n v="0"/>
    <n v="0"/>
    <m/>
    <n v="191892528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7473621000"/>
    <n v="0"/>
    <m/>
    <n v="1553532378"/>
    <n v="0"/>
    <n v="1553532378"/>
    <n v="0"/>
    <n v="0"/>
    <n v="0"/>
    <n v="0"/>
    <n v="0"/>
    <n v="0"/>
    <n v="0"/>
    <n v="0"/>
    <n v="0"/>
    <n v="0"/>
    <n v="0"/>
    <n v="0"/>
    <m/>
    <n v="59200886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RUTILLAR"/>
    <m/>
    <m/>
    <m/>
    <m/>
    <m/>
    <m/>
    <m/>
    <n v="10292906000"/>
    <n v="521109487"/>
    <m/>
    <n v="3162417665"/>
    <n v="1256934275"/>
    <n v="1905483390"/>
    <n v="0"/>
    <n v="0"/>
    <n v="0"/>
    <n v="0"/>
    <n v="0"/>
    <n v="113057245"/>
    <n v="189616408"/>
    <n v="227597254"/>
    <n v="284043968"/>
    <n v="246159825"/>
    <n v="60385221"/>
    <n v="136074354"/>
    <m/>
    <n v="660937884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2"/>
    <x v="14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340475445"/>
    <n v="340475445"/>
    <n v="0"/>
    <m/>
    <m/>
    <m/>
    <m/>
    <m/>
    <n v="138450528"/>
    <n v="47172432"/>
    <n v="49512188"/>
    <n v="0"/>
    <n v="40577094"/>
    <n v="64763203"/>
    <n v="0"/>
    <m/>
    <n v="93150094"/>
    <s v="RS"/>
    <s v="RS"/>
    <s v="En Ejecución "/>
  </r>
  <r>
    <n v="31"/>
    <s v="A"/>
    <s v="AGUA POTABLE Y ALCANTARILLADO"/>
    <s v="RURAL"/>
    <s v="AGUA POTABLE"/>
    <x v="2"/>
    <x v="14"/>
    <n v="14"/>
    <s v="FAR"/>
    <s v="EJECUCION"/>
    <n v="40007476"/>
    <m/>
    <e v="#N/A"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55371110"/>
    <n v="19723055"/>
    <n v="35648055"/>
    <n v="0"/>
    <n v="0"/>
    <n v="0"/>
    <n v="0"/>
    <n v="0"/>
    <n v="1330000"/>
    <n v="17063055"/>
    <n v="0"/>
    <n v="1330000"/>
    <n v="0"/>
    <n v="0"/>
    <n v="0"/>
    <m/>
    <n v="329809890"/>
    <s v="RS"/>
    <s v="RS"/>
    <s v="En Ejecución "/>
  </r>
  <r>
    <n v="33"/>
    <s v="A"/>
    <s v="MULTISECTORIAL"/>
    <s v="URBANO"/>
    <s v="SOCIAL"/>
    <x v="2"/>
    <x v="14"/>
    <n v="1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4"/>
    <n v="14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51446313"/>
    <n v="48553687"/>
    <n v="0"/>
    <n v="0"/>
    <n v="0"/>
    <n v="0"/>
    <n v="0"/>
    <n v="4000185"/>
    <n v="9907625"/>
    <n v="18722865"/>
    <n v="53399067"/>
    <n v="0"/>
    <n v="65416571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200168095"/>
    <n v="3081361556"/>
    <m/>
    <n v="695846555"/>
    <n v="511644813"/>
    <n v="184201742"/>
    <n v="0"/>
    <n v="0"/>
    <n v="0"/>
    <n v="0"/>
    <n v="0"/>
    <n v="143780713"/>
    <n v="74143112"/>
    <n v="68235053"/>
    <n v="54729067"/>
    <n v="40577094"/>
    <n v="130179774"/>
    <n v="0"/>
    <m/>
    <n v="42295998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SOCIAL"/>
    <x v="2"/>
    <x v="14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LLANQUIHUE"/>
    <m/>
    <m/>
    <m/>
    <m/>
    <m/>
    <m/>
    <m/>
    <n v="4282568095"/>
    <n v="3081361556"/>
    <m/>
    <n v="706685457"/>
    <n v="511644813"/>
    <n v="195040644"/>
    <n v="0"/>
    <n v="0"/>
    <n v="0"/>
    <n v="0"/>
    <n v="0"/>
    <n v="143780713"/>
    <n v="74143112"/>
    <n v="68235053"/>
    <n v="54729067"/>
    <n v="40577094"/>
    <n v="130179774"/>
    <n v="0"/>
    <m/>
    <n v="49452108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x v="15"/>
    <n v="15"/>
    <s v="LIBRE"/>
    <s v="DISEÑO"/>
    <n v="30361529"/>
    <m/>
    <s v="KARIN DEL CARMEN BARRIENTOS WINTER"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  <s v="RS"/>
    <s v="En Ejecución "/>
  </r>
  <r>
    <n v="31"/>
    <s v="A"/>
    <s v="TRANSPORTE Y VIVIENDA"/>
    <s v="RURAL"/>
    <s v="SOCIAL"/>
    <x v="2"/>
    <x v="15"/>
    <n v="15"/>
    <s v="FAR"/>
    <s v="EJECUCION"/>
    <n v="40004593"/>
    <m/>
    <s v="KARIN DEL CARMEN BARRIENTOS WINTER"/>
    <s v="40004593EJECUCION"/>
    <m/>
    <s v="CONSERVACION CAMINOS VECINALES, COMUNA LOS MUERMOS (C33)"/>
    <m/>
    <m/>
    <m/>
    <m/>
    <m/>
    <m/>
    <m/>
    <n v="583059000"/>
    <n v="352770860"/>
    <m/>
    <n v="230288140"/>
    <n v="230288070"/>
    <n v="70"/>
    <n v="0"/>
    <n v="0"/>
    <n v="0"/>
    <n v="0"/>
    <n v="0"/>
    <n v="0"/>
    <n v="0"/>
    <n v="0"/>
    <n v="42677639"/>
    <n v="43417701"/>
    <n v="74464993"/>
    <n v="69727737"/>
    <m/>
    <n v="0"/>
    <s v="RS*"/>
    <s v="C33"/>
    <s v="En Ejecución "/>
  </r>
  <r>
    <n v="31"/>
    <s v="A"/>
    <s v="AGUA POTABLE Y ALCANTARILLADO"/>
    <s v="RURAL"/>
    <s v="AGUA POTABLE"/>
    <x v="2"/>
    <x v="15"/>
    <n v="15"/>
    <s v="LIBRE"/>
    <s v="DISEÑO"/>
    <n v="30465403"/>
    <m/>
    <s v="KARIN DEL CARMEN BARRIENTOS WINTER"/>
    <s v="30465403DISEÑO"/>
    <m/>
    <s v="CONSTRUCCION SERVICIO APR SECTOR CUESTA LA VACA, C LOS MUERMOS"/>
    <m/>
    <m/>
    <m/>
    <m/>
    <m/>
    <m/>
    <m/>
    <n v="27413000"/>
    <n v="10036840"/>
    <m/>
    <n v="12555260"/>
    <n v="0"/>
    <n v="12555260"/>
    <n v="0"/>
    <n v="0"/>
    <n v="0"/>
    <n v="0"/>
    <n v="0"/>
    <n v="0"/>
    <n v="0"/>
    <n v="0"/>
    <n v="0"/>
    <n v="0"/>
    <n v="0"/>
    <n v="0"/>
    <m/>
    <n v="4820900"/>
    <s v="RS"/>
    <s v="RS"/>
    <s v="En Ejecución "/>
  </r>
  <r>
    <n v="31"/>
    <s v="A"/>
    <s v="AGUA POTABLE Y ALCANTARILLADO"/>
    <s v="RURAL"/>
    <s v="AGUA POTABLE"/>
    <x v="2"/>
    <x v="15"/>
    <n v="15"/>
    <s v="LIBRE"/>
    <s v="EJECUCION"/>
    <n v="30289475"/>
    <m/>
    <e v="#N/A"/>
    <s v="30289475EJECUCION"/>
    <s v="1522-18-LR19"/>
    <s v="CONSTRUCCION SERVICIO APR SAN CARLOS EL ÑADY"/>
    <m/>
    <m/>
    <m/>
    <m/>
    <m/>
    <m/>
    <m/>
    <n v="1114527000"/>
    <n v="0"/>
    <m/>
    <n v="873325686"/>
    <n v="784969129"/>
    <n v="88356557"/>
    <n v="0"/>
    <n v="0"/>
    <n v="0"/>
    <n v="0"/>
    <n v="0"/>
    <n v="112741228"/>
    <n v="130061989"/>
    <n v="129205773"/>
    <n v="234242369"/>
    <n v="7678985"/>
    <n v="104661331"/>
    <n v="66377454"/>
    <m/>
    <n v="241201314"/>
    <s v="RS"/>
    <s v="RS"/>
    <s v="En Ejecución "/>
  </r>
  <r>
    <n v="31"/>
    <s v="A"/>
    <s v="TRANSPORTE Y VIVIENDA"/>
    <s v="URBANO"/>
    <s v="SOCIAL"/>
    <x v="2"/>
    <x v="15"/>
    <n v="15"/>
    <s v="FAR"/>
    <s v="EJECUCION"/>
    <n v="40009545"/>
    <m/>
    <e v="#N/A"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433072215"/>
    <n v="313638230"/>
    <n v="119433985"/>
    <n v="0"/>
    <n v="0"/>
    <n v="0"/>
    <n v="0"/>
    <n v="0"/>
    <n v="0"/>
    <n v="81685603"/>
    <n v="79700957"/>
    <n v="65553297"/>
    <n v="47419115"/>
    <n v="39279258"/>
    <n v="0"/>
    <m/>
    <n v="93490785"/>
    <s v="RS*"/>
    <s v="C33"/>
    <s v="En Ejecución "/>
  </r>
  <r>
    <n v="33"/>
    <s v="A"/>
    <s v="MULTISECTORIAL"/>
    <s v="URBANO"/>
    <s v="SOCIAL"/>
    <x v="2"/>
    <x v="15"/>
    <n v="1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5"/>
    <n v="15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053614"/>
    <n v="145946386"/>
    <n v="0"/>
    <n v="0"/>
    <n v="0"/>
    <n v="0"/>
    <n v="0"/>
    <n v="0"/>
    <n v="0"/>
    <n v="31046508"/>
    <n v="23007106"/>
    <n v="0"/>
    <n v="0"/>
    <n v="0"/>
    <m/>
    <n v="0"/>
    <s v="RS**"/>
    <s v="FRIL"/>
    <s v="En Ejecución "/>
  </r>
  <r>
    <n v="29"/>
    <s v="N"/>
    <s v="TRANSPORTE Y VIVIENDA"/>
    <s v="RURAL"/>
    <s v="CONECTIVIDAD"/>
    <x v="2"/>
    <x v="15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  <s v="C33"/>
    <s v="En Ejecución "/>
  </r>
  <r>
    <n v="31"/>
    <s v="A"/>
    <s v="AGUA POTABLE Y ALCANTARILLADO"/>
    <s v="RURAL"/>
    <s v="AGUA POTABLE"/>
    <x v="2"/>
    <x v="15"/>
    <n v="15"/>
    <s v="LIBRE"/>
    <s v="EJECUCION"/>
    <n v="30422722"/>
    <m/>
    <s v="KARIN DEL CARMEN BARRIENTOS WINTER"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653685000"/>
    <n v="0"/>
    <m/>
    <n v="159806159"/>
    <n v="42188593"/>
    <n v="117617566"/>
    <n v="0"/>
    <n v="0"/>
    <n v="0"/>
    <n v="0"/>
    <n v="0"/>
    <n v="40038593"/>
    <n v="2150000"/>
    <n v="0"/>
    <n v="0"/>
    <n v="0"/>
    <n v="0"/>
    <n v="0"/>
    <m/>
    <n v="493878841"/>
    <s v="RS"/>
    <s v="RS"/>
    <s v="Licitación Adjudicada (16.04.20)"/>
  </r>
  <r>
    <n v="29"/>
    <s v="N"/>
    <s v="SALUD"/>
    <s v="URBANO"/>
    <s v="SOCIAL"/>
    <x v="2"/>
    <x v="15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92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920"/>
    <s v="RS*"/>
    <s v="C33"/>
    <s v="Licitación Desierta (06.05.20)"/>
  </r>
  <r>
    <n v="31"/>
    <s v="A"/>
    <s v="MULTISECTORIAL"/>
    <s v="RURAL"/>
    <s v="SOCIAL"/>
    <x v="2"/>
    <x v="15"/>
    <n v="15"/>
    <s v="LIBRE"/>
    <s v="EJECUCION"/>
    <n v="30103323"/>
    <m/>
    <s v="KARIN DEL CARMEN BARRIENTOS WINTER"/>
    <s v="30103323EJECUCION"/>
    <m/>
    <s v="CONSTRUCCION CIERRE EX VERTEDERO MUNICIPAL LOS MUERMOS"/>
    <m/>
    <m/>
    <m/>
    <m/>
    <m/>
    <m/>
    <m/>
    <n v="207019010"/>
    <n v="99601553"/>
    <m/>
    <n v="107417457"/>
    <n v="0"/>
    <n v="107417457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701152930"/>
    <n v="468557253"/>
    <m/>
    <n v="2395286911"/>
    <n v="1687603630"/>
    <n v="707683281"/>
    <n v="0"/>
    <n v="0"/>
    <n v="0"/>
    <n v="0"/>
    <n v="0"/>
    <n v="152779821"/>
    <n v="290464592"/>
    <n v="239953238"/>
    <n v="551379405"/>
    <n v="98515801"/>
    <n v="218405582"/>
    <n v="136105191"/>
    <m/>
    <n v="8373087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CONECTIVIDAD"/>
    <x v="2"/>
    <x v="15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25580000"/>
    <s v="RS"/>
    <s v="RS"/>
    <s v="Licitación Cerrada (15.06.20)"/>
  </r>
  <r>
    <n v="31"/>
    <s v="N"/>
    <s v="TRANSPORTE Y VIVIENDA"/>
    <s v="RURAL"/>
    <s v="SOCIAL"/>
    <x v="2"/>
    <x v="15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45000000"/>
    <n v="0"/>
    <n v="45000000"/>
    <n v="0"/>
    <n v="0"/>
    <n v="0"/>
    <n v="0"/>
    <n v="0"/>
    <n v="0"/>
    <n v="0"/>
    <n v="0"/>
    <n v="0"/>
    <n v="0"/>
    <n v="0"/>
    <n v="0"/>
    <m/>
    <n v="306704000"/>
    <s v="RS*"/>
    <s v="C33"/>
    <s v="Licitación Adjudicada (29.05.20)"/>
  </r>
  <r>
    <n v="31"/>
    <s v="N"/>
    <s v="MULTISECTORIAL"/>
    <s v="URBANO"/>
    <s v="SOCIAL"/>
    <x v="2"/>
    <x v="15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6000000"/>
    <n v="0"/>
    <n v="6000000"/>
    <n v="0"/>
    <n v="0"/>
    <n v="0"/>
    <n v="0"/>
    <n v="0"/>
    <n v="0"/>
    <n v="0"/>
    <n v="0"/>
    <n v="0"/>
    <n v="0"/>
    <n v="0"/>
    <n v="0"/>
    <m/>
    <n v="13165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529934000"/>
    <n v="0"/>
    <m/>
    <n v="66000000"/>
    <n v="0"/>
    <n v="66000000"/>
    <n v="0"/>
    <n v="0"/>
    <n v="0"/>
    <n v="0"/>
    <n v="0"/>
    <n v="0"/>
    <n v="0"/>
    <n v="0"/>
    <n v="0"/>
    <n v="0"/>
    <n v="0"/>
    <n v="0"/>
    <m/>
    <n v="463934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LOS MUERMOS"/>
    <m/>
    <m/>
    <m/>
    <m/>
    <m/>
    <m/>
    <m/>
    <n v="4231086930"/>
    <n v="468557253"/>
    <m/>
    <n v="2461286911"/>
    <n v="1687603630"/>
    <n v="773683281"/>
    <n v="0"/>
    <n v="0"/>
    <n v="0"/>
    <n v="0"/>
    <n v="0"/>
    <n v="152779821"/>
    <n v="290464592"/>
    <n v="239953238"/>
    <n v="551379405"/>
    <n v="98515801"/>
    <n v="218405582"/>
    <n v="136105191"/>
    <m/>
    <n v="13012427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x v="16"/>
    <n v="16"/>
    <s v="FAR"/>
    <s v="EJECUCION"/>
    <n v="30117891"/>
    <m/>
    <s v="KARIN DEL CARMEN BARRIENTOS WINTER"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  <s v="RS"/>
    <s v="En Ejecución "/>
  </r>
  <r>
    <n v="31"/>
    <s v="A"/>
    <s v="TRANSPORTE Y VIVIENDA"/>
    <s v="URBANO"/>
    <s v="SOCIAL"/>
    <x v="2"/>
    <x v="16"/>
    <n v="16"/>
    <s v="FAR"/>
    <s v="EJECUCION"/>
    <n v="30390477"/>
    <m/>
    <e v="#N/A"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31092000"/>
    <n v="18426870"/>
    <n v="12665130"/>
    <n v="0"/>
    <n v="0"/>
    <n v="0"/>
    <n v="0"/>
    <n v="0"/>
    <n v="0"/>
    <n v="0"/>
    <n v="18426870"/>
    <n v="0"/>
    <n v="0"/>
    <n v="0"/>
    <n v="0"/>
    <m/>
    <n v="0"/>
    <s v="RS"/>
    <s v="RS"/>
    <s v="En Ejecución "/>
  </r>
  <r>
    <n v="31"/>
    <s v="N"/>
    <s v="TRANSPORTE Y VIVIENDA"/>
    <s v="RURAL"/>
    <s v="CONECTIVIDAD"/>
    <x v="2"/>
    <x v="16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AGUA POTABLE Y ALCANTARILLADO"/>
    <s v="RURAL"/>
    <s v="SOCIAL"/>
    <x v="2"/>
    <x v="16"/>
    <n v="16"/>
    <s v="LIBRE"/>
    <s v="EJECUCION"/>
    <n v="30115466"/>
    <m/>
    <s v="KARIN DEL CARMEN BARRIENTOS WINTER"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192840721"/>
    <n v="81601279"/>
    <n v="0"/>
    <n v="0"/>
    <n v="0"/>
    <n v="0"/>
    <n v="0"/>
    <n v="52546846"/>
    <n v="46265179"/>
    <n v="40581485"/>
    <n v="0"/>
    <n v="51108782"/>
    <n v="1235000"/>
    <n v="1103429"/>
    <m/>
    <n v="0"/>
    <s v="RE"/>
    <s v="RE"/>
    <s v="En Ejecución "/>
  </r>
  <r>
    <n v="29"/>
    <s v="A"/>
    <s v="TRANSPORTE Y VIVIENDA"/>
    <s v="RURAL"/>
    <s v="CONECTIVIDAD"/>
    <x v="2"/>
    <x v="16"/>
    <n v="16"/>
    <s v="FAR"/>
    <s v="EJECUCION"/>
    <n v="40003228"/>
    <m/>
    <e v="#N/A"/>
    <s v="40003228EJECUCION"/>
    <s v="4086-12-H220"/>
    <s v="REPOSICION DE MOTONIVELADORA MUNICIPALIDAD DE MAULLIN (C33)"/>
    <m/>
    <m/>
    <m/>
    <m/>
    <m/>
    <m/>
    <m/>
    <n v="170000000"/>
    <n v="0"/>
    <m/>
    <n v="170000000"/>
    <n v="169999830"/>
    <n v="170"/>
    <n v="0"/>
    <n v="0"/>
    <n v="0"/>
    <n v="0"/>
    <n v="0"/>
    <n v="0"/>
    <n v="0"/>
    <n v="0"/>
    <n v="0"/>
    <n v="0"/>
    <n v="169999830"/>
    <n v="0"/>
    <m/>
    <n v="0"/>
    <s v="RS*"/>
    <s v="C33"/>
    <s v="En Ejecución "/>
  </r>
  <r>
    <n v="33"/>
    <s v="A"/>
    <s v="MULTISECTORIAL"/>
    <s v="URBANO"/>
    <s v="SOCIAL"/>
    <x v="2"/>
    <x v="16"/>
    <n v="1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6"/>
    <n v="16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939959"/>
    <n v="145060041"/>
    <n v="0"/>
    <n v="0"/>
    <n v="0"/>
    <n v="0"/>
    <n v="0"/>
    <n v="0"/>
    <n v="0"/>
    <n v="0"/>
    <n v="27514354"/>
    <n v="27425605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11843000"/>
    <n v="311373193"/>
    <m/>
    <n v="793219185"/>
    <n v="453892565"/>
    <n v="339326620"/>
    <n v="0"/>
    <n v="0"/>
    <n v="0"/>
    <n v="0"/>
    <n v="0"/>
    <n v="52546846"/>
    <n v="46265179"/>
    <n v="59008355"/>
    <n v="27514354"/>
    <n v="78534387"/>
    <n v="188920015"/>
    <n v="1103429"/>
    <m/>
    <n v="72506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DEFENSA Y SEGURIDAD"/>
    <s v="URBANO"/>
    <s v="SOCIAL"/>
    <x v="2"/>
    <x v="16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MAULLIN"/>
    <m/>
    <m/>
    <m/>
    <m/>
    <m/>
    <m/>
    <m/>
    <n v="2014038624"/>
    <n v="311373193"/>
    <m/>
    <n v="1695414809"/>
    <n v="453892565"/>
    <n v="1241522244"/>
    <n v="0"/>
    <n v="0"/>
    <n v="0"/>
    <n v="0"/>
    <n v="0"/>
    <n v="52546846"/>
    <n v="46265179"/>
    <n v="59008355"/>
    <n v="27514354"/>
    <n v="78534387"/>
    <n v="188920015"/>
    <n v="1103429"/>
    <m/>
    <n v="72506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x v="17"/>
    <n v="17"/>
    <s v="LIBRE"/>
    <s v="EJECUCION"/>
    <n v="30064230"/>
    <s v="G"/>
    <s v="PAULINA HUIDOBRO JARAMI"/>
    <s v="30064230EJECUCION"/>
    <m/>
    <s v="REPOSICION ESTADIO EWALDO KLEIN DE PUERTO VARAS"/>
    <m/>
    <m/>
    <m/>
    <m/>
    <m/>
    <m/>
    <m/>
    <n v="2746936000"/>
    <n v="1002255904"/>
    <m/>
    <n v="953255040"/>
    <n v="74125963"/>
    <n v="879129077"/>
    <n v="0"/>
    <n v="0"/>
    <n v="0"/>
    <n v="0"/>
    <n v="0"/>
    <n v="0"/>
    <n v="0"/>
    <n v="0"/>
    <n v="2200000"/>
    <n v="2200000"/>
    <n v="67525963"/>
    <n v="2200000"/>
    <m/>
    <n v="791425056"/>
    <s v="RS"/>
    <s v="RS"/>
    <s v="En Ejecución "/>
  </r>
  <r>
    <n v="31"/>
    <s v="A"/>
    <s v="TRANSPORTE Y VIVIENDA"/>
    <s v="URBANO"/>
    <s v="CONECTIVIDAD"/>
    <x v="2"/>
    <x v="17"/>
    <n v="17"/>
    <s v="FAR"/>
    <s v="EJECUCION"/>
    <n v="40005578"/>
    <m/>
    <s v="KARIN DEL CARMEN BARRIENTOS WINTER"/>
    <s v="40005578EJECUCION"/>
    <m/>
    <s v="* MEJORAMIENTO CALLE TERRAPLEN, PUERTO VARAS"/>
    <s v="* CERT. CORE 92 03.2020 - AUMENTA PPTO"/>
    <m/>
    <m/>
    <m/>
    <m/>
    <m/>
    <m/>
    <n v="258669418"/>
    <n v="31198653"/>
    <m/>
    <n v="76100000"/>
    <n v="1100000"/>
    <n v="75000000"/>
    <n v="0"/>
    <n v="0"/>
    <n v="0"/>
    <n v="0"/>
    <n v="0"/>
    <n v="1100000"/>
    <n v="0"/>
    <n v="0"/>
    <n v="0"/>
    <n v="0"/>
    <n v="0"/>
    <n v="0"/>
    <m/>
    <n v="151370765"/>
    <s v="RS"/>
    <s v="RS"/>
    <s v="En Ejecución "/>
  </r>
  <r>
    <n v="31"/>
    <s v="A"/>
    <s v="TRANSPORTE Y VIVIENDA"/>
    <s v="URBANO"/>
    <s v="CONECTIVIDAD"/>
    <x v="2"/>
    <x v="17"/>
    <n v="17"/>
    <s v="FAR"/>
    <s v="EJECUCION"/>
    <n v="40001254"/>
    <m/>
    <s v="KARIN DEL CARMEN BARRIENTOS WINTER"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140045564"/>
    <n v="66985066"/>
    <n v="73060498"/>
    <n v="0"/>
    <n v="0"/>
    <n v="0"/>
    <n v="0"/>
    <n v="0"/>
    <n v="1133000"/>
    <n v="45295885"/>
    <n v="20556181"/>
    <n v="0"/>
    <n v="0"/>
    <n v="0"/>
    <n v="0"/>
    <m/>
    <n v="107166970"/>
    <s v="RS"/>
    <s v="RS"/>
    <s v="En Ejecución "/>
  </r>
  <r>
    <n v="31"/>
    <s v="A"/>
    <s v="EDUCACIÓN Y CULTURA"/>
    <s v="RURAL"/>
    <s v="SOCIAL"/>
    <x v="2"/>
    <x v="17"/>
    <n v="17"/>
    <s v="LIBRE"/>
    <s v="EJECUCION"/>
    <n v="30066636"/>
    <m/>
    <s v="KARIN DEL CARMEN BARRIENTOS WINTER"/>
    <s v="30066636EJECUCION"/>
    <m/>
    <s v="REPOSICION ESCUELA EPSON ENSENADA"/>
    <s v="* CERT. CORE 278 12.09.19 - APRUEBA AUMENTO PPTO"/>
    <m/>
    <m/>
    <m/>
    <m/>
    <m/>
    <m/>
    <n v="2826817000"/>
    <n v="1720257350"/>
    <m/>
    <n v="342986334"/>
    <n v="205357195"/>
    <n v="137629139"/>
    <n v="0"/>
    <n v="0"/>
    <n v="0"/>
    <n v="0"/>
    <n v="0"/>
    <n v="27380960"/>
    <n v="0"/>
    <n v="123214316"/>
    <n v="54761919"/>
    <n v="0"/>
    <n v="0"/>
    <n v="0"/>
    <m/>
    <n v="763573316"/>
    <s v="RS"/>
    <s v="RS"/>
    <s v="En Ejecución "/>
  </r>
  <r>
    <n v="29"/>
    <s v="A"/>
    <s v="DEFENSA Y SEGURIDAD"/>
    <s v="RURAL"/>
    <s v="SOCIAL"/>
    <x v="2"/>
    <x v="17"/>
    <n v="17"/>
    <s v="LIBRE"/>
    <s v="EJECUCION"/>
    <n v="30396974"/>
    <m/>
    <e v="#N/A"/>
    <s v="30396974EJECUCION"/>
    <m/>
    <s v="ADQUISICION LUMINARIAS LED ALUMBRADO PUBLICO, PUERTO VARAS (C33)"/>
    <m/>
    <m/>
    <m/>
    <m/>
    <m/>
    <m/>
    <m/>
    <n v="2414287000"/>
    <n v="1357741523"/>
    <m/>
    <n v="490000900"/>
    <n v="332259377"/>
    <n v="157741523"/>
    <n v="0"/>
    <n v="0"/>
    <n v="0"/>
    <n v="0"/>
    <n v="0"/>
    <n v="0"/>
    <n v="0"/>
    <n v="0"/>
    <n v="0"/>
    <n v="332259377"/>
    <n v="0"/>
    <n v="0"/>
    <m/>
    <n v="566544577"/>
    <s v="RS*"/>
    <s v="C33"/>
    <s v="En Ejecución "/>
  </r>
  <r>
    <n v="29"/>
    <s v="A"/>
    <s v="EDUCACIÓN Y CULTURA"/>
    <s v="URBANO"/>
    <s v="SOCIAL"/>
    <x v="2"/>
    <x v="17"/>
    <n v="17"/>
    <s v="LIBRE"/>
    <s v="EJECUCION"/>
    <n v="30436694"/>
    <m/>
    <e v="#N/A"/>
    <s v="30436694EJECUCION"/>
    <m/>
    <s v="ADQUISICION EQUIPAMIENTO ESTABLECIMIENTOS EDUCACIONALES, PTO VARAS(C33)"/>
    <m/>
    <m/>
    <m/>
    <m/>
    <m/>
    <m/>
    <m/>
    <n v="488214000"/>
    <n v="80298900"/>
    <m/>
    <n v="407915070"/>
    <n v="0"/>
    <n v="407915070"/>
    <n v="0"/>
    <n v="0"/>
    <n v="0"/>
    <n v="0"/>
    <n v="0"/>
    <n v="0"/>
    <n v="0"/>
    <n v="0"/>
    <n v="0"/>
    <n v="0"/>
    <n v="0"/>
    <n v="0"/>
    <m/>
    <n v="30"/>
    <s v="RS*"/>
    <s v="C33"/>
    <s v="En Ejecución "/>
  </r>
  <r>
    <n v="31"/>
    <s v="A"/>
    <s v="TRANSPORTE Y VIVIENDA"/>
    <s v="URBANO"/>
    <s v="CONECTIVIDAD"/>
    <x v="2"/>
    <x v="17"/>
    <n v="17"/>
    <s v="FAR"/>
    <s v="EJECUCION"/>
    <n v="40005278"/>
    <m/>
    <e v="#N/A"/>
    <s v="40005278EJECUCION"/>
    <m/>
    <s v="CONSERVACION VIAS URBANAS PUERTO VARAS (C33)"/>
    <m/>
    <m/>
    <m/>
    <m/>
    <m/>
    <m/>
    <m/>
    <n v="980817000"/>
    <n v="21532561"/>
    <m/>
    <n v="447057333"/>
    <n v="323318119"/>
    <n v="123739214"/>
    <n v="0"/>
    <n v="0"/>
    <n v="0"/>
    <n v="0"/>
    <n v="0"/>
    <n v="0"/>
    <n v="0"/>
    <n v="0"/>
    <n v="93397323"/>
    <n v="181252621"/>
    <n v="0"/>
    <n v="48668175"/>
    <m/>
    <n v="512227106"/>
    <s v="RS*"/>
    <s v="C33"/>
    <s v="En Ejecución "/>
  </r>
  <r>
    <n v="31"/>
    <s v="A"/>
    <s v="TRANSPORTE Y VIVIENDA"/>
    <s v="URBANO"/>
    <s v="SOCIAL"/>
    <x v="2"/>
    <x v="17"/>
    <n v="17"/>
    <s v="FAR"/>
    <s v="EJECUCION"/>
    <n v="30485313"/>
    <m/>
    <e v="#N/A"/>
    <s v="30485313EJECUCION"/>
    <s v="2852-112-LR19"/>
    <s v="CONSERVACION PLAZA DE ARMAS Y SU ENTORNO, PUERTO VARAS (C33)"/>
    <m/>
    <m/>
    <m/>
    <m/>
    <m/>
    <m/>
    <m/>
    <n v="468032000"/>
    <n v="0"/>
    <m/>
    <n v="468032000"/>
    <n v="294209030"/>
    <n v="173822970"/>
    <n v="0"/>
    <n v="0"/>
    <n v="0"/>
    <n v="0"/>
    <n v="0"/>
    <n v="83369654"/>
    <n v="96635450"/>
    <n v="76593628"/>
    <n v="37610298"/>
    <n v="0"/>
    <n v="0"/>
    <n v="0"/>
    <m/>
    <n v="0"/>
    <s v="RS*"/>
    <s v="C33"/>
    <s v="En Ejecución "/>
  </r>
  <r>
    <n v="33"/>
    <s v="A"/>
    <s v="MULTISECTORIAL"/>
    <s v="URBANO"/>
    <s v="SOCIAL"/>
    <x v="2"/>
    <x v="17"/>
    <n v="1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2"/>
    <x v="17"/>
    <n v="17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91813611"/>
    <n v="108186389"/>
    <n v="0"/>
    <n v="0"/>
    <n v="0"/>
    <n v="0"/>
    <n v="0"/>
    <n v="1804209"/>
    <n v="0"/>
    <n v="0"/>
    <n v="37181846"/>
    <n v="0"/>
    <n v="52827556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0732014952"/>
    <n v="4214314891"/>
    <m/>
    <n v="3625392241"/>
    <n v="1389168361"/>
    <n v="2236223880"/>
    <n v="0"/>
    <n v="0"/>
    <n v="0"/>
    <n v="0"/>
    <n v="0"/>
    <n v="114787823"/>
    <n v="141931335"/>
    <n v="220364125"/>
    <n v="225151386"/>
    <n v="515711998"/>
    <n v="120353519"/>
    <n v="50868175"/>
    <m/>
    <n v="289230782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FENSA Y SEGURIDAD"/>
    <s v="URBANO"/>
    <s v="SOCIAL"/>
    <x v="2"/>
    <x v="17"/>
    <n v="17"/>
    <s v="LIBRE"/>
    <s v="EJECUCION"/>
    <n v="30204522"/>
    <m/>
    <e v="#N/A"/>
    <s v="30204522EJECUCION"/>
    <s v="2852-31-LR20"/>
    <s v="REPOSICION CUARTEL SEXTA COMPAÑIA DE BOMBEROS"/>
    <m/>
    <m/>
    <m/>
    <s v="2505 30,08,19"/>
    <n v="1169057000"/>
    <m/>
    <m/>
    <n v="1237007000"/>
    <n v="0"/>
    <m/>
    <n v="348175103"/>
    <n v="0"/>
    <n v="348175103"/>
    <n v="0"/>
    <n v="0"/>
    <n v="0"/>
    <n v="0"/>
    <n v="0"/>
    <n v="0"/>
    <n v="0"/>
    <n v="0"/>
    <n v="0"/>
    <n v="0"/>
    <n v="0"/>
    <n v="0"/>
    <m/>
    <n v="888831897"/>
    <s v="RS"/>
    <s v="RS"/>
    <s v="En Licitación (03.07.20)"/>
  </r>
  <r>
    <n v="31"/>
    <s v="N"/>
    <s v="INDUSTRIA, COMERCIO, FINANZAS Y TURISMO"/>
    <s v="RURAL"/>
    <s v="TURISMO"/>
    <x v="2"/>
    <x v="17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m/>
    <m/>
    <m/>
    <m/>
    <m/>
    <n v="0"/>
    <n v="0"/>
    <n v="0"/>
    <n v="0"/>
    <n v="0"/>
    <m/>
    <m/>
    <m/>
    <n v="288600000"/>
    <s v="RS"/>
    <s v="RS"/>
    <s v="Convenio en Confección"/>
  </r>
  <r>
    <n v="31"/>
    <s v="N"/>
    <s v="TRANSPORTE Y VIVIENDA"/>
    <s v="URBANO"/>
    <s v="CONECTIVIDAD"/>
    <x v="2"/>
    <x v="17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12300000"/>
    <n v="0"/>
    <n v="12300000"/>
    <n v="0"/>
    <n v="0"/>
    <n v="0"/>
    <n v="0"/>
    <n v="0"/>
    <n v="0"/>
    <n v="0"/>
    <n v="0"/>
    <n v="0"/>
    <n v="0"/>
    <n v="0"/>
    <n v="0"/>
    <m/>
    <n v="233700000"/>
    <s v="RS"/>
    <s v="RS"/>
    <s v="Licitación Cerrada (08.06.20)"/>
  </r>
  <r>
    <n v="31"/>
    <s v="N"/>
    <s v="TRANSPORTE Y VIVIENDA"/>
    <s v="URBANO"/>
    <s v="SOCIAL"/>
    <x v="2"/>
    <x v="17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71800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589607000"/>
    <n v="0"/>
    <m/>
    <n v="460475103"/>
    <n v="0"/>
    <n v="460475103"/>
    <n v="0"/>
    <n v="0"/>
    <n v="0"/>
    <n v="0"/>
    <n v="0"/>
    <n v="0"/>
    <n v="0"/>
    <n v="0"/>
    <n v="0"/>
    <n v="0"/>
    <n v="0"/>
    <n v="0"/>
    <m/>
    <n v="212913189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.VARAS"/>
    <m/>
    <m/>
    <m/>
    <m/>
    <m/>
    <m/>
    <m/>
    <n v="13321621952"/>
    <n v="4214314891"/>
    <m/>
    <n v="4085867344"/>
    <n v="1389168361"/>
    <n v="2696698983"/>
    <n v="0"/>
    <n v="0"/>
    <n v="0"/>
    <n v="0"/>
    <n v="0"/>
    <n v="114787823"/>
    <n v="141931335"/>
    <n v="220364125"/>
    <n v="225151386"/>
    <n v="515711998"/>
    <n v="120353519"/>
    <n v="50868175"/>
    <m/>
    <n v="502143971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x v="18"/>
    <n v="18"/>
    <s v="PV"/>
    <s v="EJECUCION"/>
    <n v="30342773"/>
    <s v="V"/>
    <s v="PAULINA HUIDOBRO JARAMI"/>
    <s v="30342773EJECUCION"/>
    <m/>
    <s v="MEJORAMIENTO RUTA V 69 SECTOR RALUN COCHAMO"/>
    <m/>
    <m/>
    <m/>
    <m/>
    <m/>
    <m/>
    <m/>
    <n v="7077521000"/>
    <n v="3408630569"/>
    <m/>
    <n v="1752412529"/>
    <n v="1705519135"/>
    <n v="46893394"/>
    <n v="0"/>
    <n v="0"/>
    <n v="0"/>
    <n v="0"/>
    <n v="0"/>
    <n v="77106606"/>
    <n v="44742626"/>
    <n v="100888405"/>
    <n v="284031169"/>
    <n v="367910604"/>
    <n v="327156331"/>
    <n v="503683394"/>
    <m/>
    <n v="1916477902"/>
    <s v="RE"/>
    <s v="RE"/>
    <s v="En Ejecución / Reevaluación"/>
  </r>
  <r>
    <n v="31"/>
    <s v="A"/>
    <s v="SALUD"/>
    <s v="RURAL"/>
    <s v="SOCIAL"/>
    <x v="2"/>
    <x v="18"/>
    <n v="18"/>
    <s v="LIBRE"/>
    <s v="EJECUCION"/>
    <n v="30380331"/>
    <s v="SALUD"/>
    <s v="KARIN DEL CARMEN BARRIENTOS WINTER"/>
    <s v="30380331EJECUCION"/>
    <m/>
    <s v="CONSTRUCCION Y HABILITACION CENTRO DE DIALISIS HOSPITAL DE CALBUCO"/>
    <m/>
    <m/>
    <m/>
    <m/>
    <m/>
    <m/>
    <m/>
    <n v="1947580000"/>
    <n v="0"/>
    <m/>
    <n v="288831897"/>
    <n v="177066265"/>
    <n v="111765632"/>
    <n v="0"/>
    <n v="0"/>
    <n v="0"/>
    <n v="0"/>
    <n v="0"/>
    <n v="0"/>
    <n v="39431720"/>
    <n v="0"/>
    <n v="53722525"/>
    <n v="0"/>
    <n v="27825832"/>
    <n v="56086188"/>
    <m/>
    <n v="1658748103"/>
    <s v="RS"/>
    <s v="RS"/>
    <s v="En Ejecución "/>
  </r>
  <r>
    <n v="31"/>
    <s v="A"/>
    <s v="TRANSPORTE Y VIVIENDA"/>
    <s v="RURAL"/>
    <s v="CONECTIVIDAD"/>
    <x v="2"/>
    <x v="18"/>
    <n v="18"/>
    <s v="FAR"/>
    <s v="EJECUCION"/>
    <n v="30133755"/>
    <m/>
    <s v="GLORIA DEL CARMEN QUEZADA VELASQUEZ"/>
    <s v="30133755EJECUCION"/>
    <m/>
    <s v="CONSERVACION RED VIAL DE VARIOS CAMINOS PAVIMENTADOS AÑO 2013 (C33)"/>
    <m/>
    <m/>
    <m/>
    <m/>
    <m/>
    <m/>
    <m/>
    <n v="9774474000"/>
    <n v="4532551127"/>
    <m/>
    <n v="2895923713"/>
    <n v="2889531773"/>
    <n v="6391940"/>
    <n v="0"/>
    <n v="0"/>
    <n v="0"/>
    <n v="0"/>
    <n v="0"/>
    <n v="0"/>
    <n v="177140947"/>
    <n v="0"/>
    <n v="898024426"/>
    <n v="186853563"/>
    <n v="1252698058"/>
    <n v="374814779"/>
    <m/>
    <n v="2345999160"/>
    <s v="RS*"/>
    <s v="C33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4937168139"/>
    <n v="4772117173"/>
    <n v="165050966"/>
    <n v="0"/>
    <n v="0"/>
    <n v="0"/>
    <n v="0"/>
    <n v="0"/>
    <n v="77106606"/>
    <n v="261315293"/>
    <n v="100888405"/>
    <n v="1235778120"/>
    <n v="554764167"/>
    <n v="1607680221"/>
    <n v="934584361"/>
    <m/>
    <n v="592122516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2"/>
    <x v="18"/>
    <n v="18"/>
    <s v="LIBRE"/>
    <s v="EJECUCION"/>
    <n v="30077481"/>
    <s v="G"/>
    <e v="#N/A"/>
    <s v="30077481EJECUCION"/>
    <s v="827-22-O119"/>
    <s v="RESTAURACION IGLESIA N. SRA. DE LA CANDELARIA (MN), CARELMAPU"/>
    <s v="* CORE 358 24.10.19 - AUMENTA PPTO ($ 2.057.540.000)"/>
    <m/>
    <m/>
    <m/>
    <m/>
    <m/>
    <m/>
    <n v="2057540000"/>
    <n v="0"/>
    <m/>
    <n v="87119019"/>
    <n v="0"/>
    <n v="87119019"/>
    <n v="0"/>
    <n v="0"/>
    <n v="0"/>
    <n v="0"/>
    <n v="0"/>
    <n v="0"/>
    <n v="0"/>
    <n v="0"/>
    <n v="0"/>
    <n v="0"/>
    <n v="0"/>
    <n v="0"/>
    <m/>
    <n v="1970420981"/>
    <s v="RS"/>
    <s v="RS"/>
    <s v="Licitación Desierta"/>
  </r>
  <r>
    <n v="31"/>
    <s v="A"/>
    <s v="DEFENSA Y SEGURIDAD"/>
    <s v="URBANO"/>
    <s v="SOCIAL"/>
    <x v="2"/>
    <x v="18"/>
    <n v="18"/>
    <s v="LIBRE"/>
    <s v="EJECUCION"/>
    <n v="30077182"/>
    <s v="G"/>
    <s v="KARIN DEL CARMEN BARRIENTOS WINTER"/>
    <s v="30077182EJECUCION"/>
    <m/>
    <s v="REPOSICION CUARTEL INVESTIGACIONES PUERTO VARAS"/>
    <m/>
    <m/>
    <m/>
    <m/>
    <m/>
    <m/>
    <m/>
    <n v="2369092000"/>
    <n v="9000000"/>
    <m/>
    <n v="103242800"/>
    <n v="0"/>
    <n v="103242800"/>
    <n v="0"/>
    <n v="0"/>
    <n v="0"/>
    <n v="0"/>
    <n v="0"/>
    <n v="0"/>
    <n v="0"/>
    <n v="0"/>
    <n v="0"/>
    <n v="0"/>
    <n v="0"/>
    <n v="0"/>
    <m/>
    <n v="2256849200"/>
    <s v="RS"/>
    <s v="RS"/>
    <s v="Convenio en Confección"/>
  </r>
  <r>
    <n v="31"/>
    <s v="N"/>
    <s v="TRANSPORTE Y VIVIENDA"/>
    <s v="URBANO"/>
    <s v="SOCIAL"/>
    <x v="2"/>
    <x v="18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  <s v="S-FICHA"/>
    <s v="En Licitación"/>
  </r>
  <r>
    <n v="31"/>
    <s v="N"/>
    <s v="TRANSPORTE Y VIVIENDA"/>
    <s v="URBANO"/>
    <s v="CONECTIVIDAD"/>
    <x v="2"/>
    <x v="18"/>
    <n v="18"/>
    <s v="FAR"/>
    <s v="EJECUCION"/>
    <n v="30127010"/>
    <s v="CIU.+HUM."/>
    <s v="PAULINA HUIDOBRO JARAMI"/>
    <s v="30127010EJECUCION"/>
    <m/>
    <s v="MEJORAMIENTO CALLE EL TENIENTE BARRIO INDUSTRIAL"/>
    <m/>
    <m/>
    <m/>
    <s v="796 19,03,20"/>
    <n v="3678096000"/>
    <m/>
    <m/>
    <n v="3678102000"/>
    <n v="0"/>
    <m/>
    <n v="116467113"/>
    <n v="0"/>
    <n v="116467113"/>
    <n v="0"/>
    <n v="0"/>
    <n v="0"/>
    <n v="0"/>
    <n v="0"/>
    <n v="0"/>
    <n v="0"/>
    <n v="0"/>
    <n v="0"/>
    <n v="0"/>
    <n v="0"/>
    <n v="0"/>
    <m/>
    <n v="3561634887"/>
    <s v="RS"/>
    <s v="RS"/>
    <s v="En Licitación"/>
  </r>
  <r>
    <n v="29"/>
    <s v="N"/>
    <s v="DEFENSA Y SEGURIDAD"/>
    <s v="RURAL"/>
    <s v="SOCIAL"/>
    <x v="2"/>
    <x v="18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105867000"/>
    <n v="0"/>
    <n v="105867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s v="TRANSPORTE Y VIVIENDA"/>
    <s v="URBANO"/>
    <s v="CONECTIVIDAD"/>
    <x v="2"/>
    <x v="18"/>
    <n v="18"/>
    <s v="FAR"/>
    <s v="DISEÑO"/>
    <n v="30437675"/>
    <s v="CIU.+HUM."/>
    <s v="PAULINA HUIDOBRO JARAMI"/>
    <s v="30437675DISEÑO"/>
    <m/>
    <s v="CONSTRUCCION INTERTERRAZAS PUERTO MONTT, ETAPA I"/>
    <m/>
    <m/>
    <m/>
    <s v="798 19,03,20"/>
    <n v="500000000"/>
    <m/>
    <m/>
    <n v="50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250000000"/>
    <s v="RS"/>
    <s v="RS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9145944000"/>
    <n v="9000000"/>
    <m/>
    <n v="662745016"/>
    <n v="49084"/>
    <n v="662695932"/>
    <n v="0"/>
    <n v="0"/>
    <n v="0"/>
    <n v="0"/>
    <n v="0"/>
    <n v="49084"/>
    <n v="0"/>
    <n v="0"/>
    <n v="0"/>
    <n v="0"/>
    <n v="0"/>
    <n v="0"/>
    <m/>
    <n v="847419898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LES"/>
    <m/>
    <m/>
    <m/>
    <m/>
    <m/>
    <m/>
    <m/>
    <n v="27945519000"/>
    <n v="7950181696"/>
    <m/>
    <n v="5599913155"/>
    <n v="4772166257"/>
    <n v="827746898"/>
    <n v="0"/>
    <n v="0"/>
    <n v="0"/>
    <n v="0"/>
    <n v="0"/>
    <n v="77155690"/>
    <n v="261315293"/>
    <n v="100888405"/>
    <n v="1235778120"/>
    <n v="554764167"/>
    <n v="1607680221"/>
    <n v="934584361"/>
    <m/>
    <n v="1439542414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LLANQUIHUE"/>
    <m/>
    <m/>
    <m/>
    <m/>
    <m/>
    <m/>
    <m/>
    <n v="113404416519"/>
    <n v="28678511839"/>
    <m/>
    <n v="25307496695"/>
    <n v="11161729473"/>
    <n v="14145767222"/>
    <n v="0"/>
    <n v="0"/>
    <n v="0"/>
    <n v="0"/>
    <n v="0"/>
    <n v="717077288"/>
    <n v="1204348659"/>
    <n v="978734537"/>
    <n v="2578626076"/>
    <n v="1656614987"/>
    <n v="2609233375"/>
    <n v="1417094551"/>
    <m/>
    <n v="5941840798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x v="19"/>
    <n v="19"/>
    <s v="LIBRE"/>
    <s v="EJECUCION"/>
    <n v="30085972"/>
    <m/>
    <s v="FRANCISCA MONTECINO  OPAZO"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AGUA POTABLE Y ALCANTARILLADO"/>
    <s v="URBANO"/>
    <s v="AGUA POTABLE"/>
    <x v="3"/>
    <x v="19"/>
    <n v="19"/>
    <s v="LIBRE"/>
    <s v="EJECUCION"/>
    <n v="30341232"/>
    <m/>
    <s v="HARRY FRANKLIN  MONSALVE FUENTES"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0"/>
    <n v="27448301"/>
    <n v="0"/>
    <n v="0"/>
    <n v="0"/>
    <n v="0"/>
    <n v="0"/>
    <n v="0"/>
    <n v="0"/>
    <n v="0"/>
    <n v="0"/>
    <n v="0"/>
    <n v="0"/>
    <n v="0"/>
    <m/>
    <n v="44657275"/>
    <s v="RS"/>
    <s v="RS"/>
    <s v="En Ejecución "/>
  </r>
  <r>
    <n v="31"/>
    <s v="A"/>
    <s v="AGUA POTABLE Y ALCANTARILLADO"/>
    <s v="URBANO"/>
    <s v="AGUA POTABLE"/>
    <x v="3"/>
    <x v="19"/>
    <n v="19"/>
    <s v="LIBRE"/>
    <s v="EJECUCION"/>
    <n v="30476333"/>
    <m/>
    <s v="HARRY FRANKLIN  MONSALVE FUENTES"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  <s v="RS"/>
    <s v="En Ejecución "/>
  </r>
  <r>
    <n v="31"/>
    <s v="A"/>
    <s v="DEPORTE"/>
    <s v="URBANO"/>
    <s v="SOCIAL"/>
    <x v="3"/>
    <x v="19"/>
    <n v="19"/>
    <s v="LIBRE"/>
    <s v="EJECUCION"/>
    <n v="30486350"/>
    <m/>
    <s v="HARRY FRANKLIN  MONSALVE FUENTES"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m/>
    <m/>
    <m/>
    <m/>
    <m/>
    <n v="0"/>
    <n v="0"/>
    <n v="0"/>
    <n v="0"/>
    <n v="0"/>
    <n v="15371804"/>
    <n v="0"/>
    <m/>
    <n v="0"/>
    <s v="RS*"/>
    <s v="C33"/>
    <s v="En Ejecución "/>
  </r>
  <r>
    <n v="31"/>
    <s v="A"/>
    <s v="AGUA POTABLE Y ALCANTARILLADO"/>
    <s v="RURAL"/>
    <s v="AGUA POTABLE"/>
    <x v="3"/>
    <x v="19"/>
    <n v="19"/>
    <s v="LIBRE"/>
    <s v="EJECUCION"/>
    <n v="30109898"/>
    <m/>
    <e v="#N/A"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540394269"/>
    <n v="217345732"/>
    <n v="323048537"/>
    <n v="0"/>
    <n v="0"/>
    <n v="0"/>
    <n v="0"/>
    <n v="0"/>
    <n v="82349998"/>
    <n v="56913014"/>
    <n v="0"/>
    <n v="0"/>
    <n v="78082720"/>
    <n v="0"/>
    <n v="0"/>
    <m/>
    <n v="121211731"/>
    <s v="RS"/>
    <s v="RS"/>
    <s v="En Ejecución "/>
  </r>
  <r>
    <n v="33"/>
    <s v="A"/>
    <s v="MULTISECTORIAL"/>
    <s v="URBANO"/>
    <s v="SOCIAL"/>
    <x v="3"/>
    <x v="19"/>
    <n v="1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19"/>
    <n v="19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70294738"/>
    <n v="129705262"/>
    <n v="0"/>
    <n v="0"/>
    <n v="0"/>
    <n v="0"/>
    <n v="0"/>
    <n v="0"/>
    <n v="0"/>
    <n v="0"/>
    <n v="0"/>
    <n v="70294738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576690768"/>
    <n v="2122659030"/>
    <m/>
    <n v="1288162732"/>
    <n v="704375410"/>
    <n v="583787322"/>
    <n v="0"/>
    <n v="0"/>
    <n v="0"/>
    <n v="0"/>
    <n v="0"/>
    <n v="82349998"/>
    <n v="56913014"/>
    <n v="0"/>
    <n v="21109805"/>
    <n v="150677458"/>
    <n v="175119431"/>
    <n v="218205704"/>
    <m/>
    <n v="16586900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URBANO"/>
    <s v="AGUA POTABLE"/>
    <x v="3"/>
    <x v="19"/>
    <n v="19"/>
    <s v="LIBRE"/>
    <s v="EJECUCION"/>
    <n v="40009233"/>
    <m/>
    <e v="#N/A"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44233927"/>
    <n v="0"/>
    <n v="44233927"/>
    <n v="0"/>
    <n v="0"/>
    <n v="0"/>
    <n v="0"/>
    <n v="0"/>
    <n v="0"/>
    <n v="0"/>
    <n v="0"/>
    <n v="0"/>
    <n v="0"/>
    <n v="0"/>
    <n v="0"/>
    <m/>
    <n v="614861073"/>
    <s v="RS"/>
    <s v="RS"/>
    <s v="Licitación Adjudicada"/>
  </r>
  <r>
    <n v="31"/>
    <s v="A"/>
    <s v="SALUD"/>
    <s v="RURAL"/>
    <s v="SOCIAL"/>
    <x v="3"/>
    <x v="19"/>
    <n v="19"/>
    <s v="LIBRE"/>
    <s v="EJECUCION"/>
    <n v="30093349"/>
    <s v="SALUD"/>
    <s v="FRANCISCA MONTECINO  OPAZO"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463580000"/>
    <s v="RS"/>
    <s v="RS"/>
    <s v="En Licitación"/>
  </r>
  <r>
    <n v="31"/>
    <s v="N"/>
    <s v="AGUA POTABLE Y ALCANTARILLADO"/>
    <s v="RURAL"/>
    <s v="AGUA POTABLE"/>
    <x v="3"/>
    <x v="19"/>
    <n v="19"/>
    <s v="LIBRE"/>
    <s v="EJECUCION"/>
    <n v="30116708"/>
    <m/>
    <s v="FRANCISCA MONTECINO  OPAZO"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28332450"/>
    <n v="0"/>
    <n v="28332450"/>
    <n v="0"/>
    <n v="0"/>
    <n v="0"/>
    <n v="0"/>
    <n v="0"/>
    <n v="0"/>
    <n v="0"/>
    <n v="0"/>
    <n v="0"/>
    <n v="0"/>
    <n v="0"/>
    <n v="0"/>
    <m/>
    <n v="813921550"/>
    <s v="RS"/>
    <s v="RS"/>
    <s v="En Licitación"/>
  </r>
  <r>
    <n v="31"/>
    <s v="N"/>
    <s v="AGUA POTABLE Y ALCANTARILLADO"/>
    <s v="URBANO"/>
    <s v="ALCANTARILLADO"/>
    <x v="3"/>
    <x v="19"/>
    <n v="19"/>
    <s v="LIBRE"/>
    <s v="EJECUCION"/>
    <n v="40017416"/>
    <s v="AC. COMPL."/>
    <s v="FRANCISCA MONTECINO  OPAZO"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406672000"/>
    <n v="0"/>
    <n v="406672000"/>
    <m/>
    <m/>
    <m/>
    <m/>
    <m/>
    <n v="0"/>
    <n v="0"/>
    <n v="0"/>
    <n v="0"/>
    <n v="0"/>
    <n v="0"/>
    <n v="0"/>
    <m/>
    <n v="0"/>
    <s v="RS"/>
    <s v="RS"/>
    <s v="En Licitación"/>
  </r>
  <r>
    <n v="31"/>
    <s v="N"/>
    <s v="EDUCACIÓN Y CULTURA"/>
    <s v="URBANO"/>
    <s v="SOCIAL"/>
    <x v="3"/>
    <x v="19"/>
    <n v="19"/>
    <s v="LIBRE"/>
    <s v="EJECUCION"/>
    <n v="40001823"/>
    <m/>
    <s v="FRANCISCA MONTECINO  OPAZO"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7500000"/>
    <n v="0"/>
    <n v="7500000"/>
    <n v="0"/>
    <n v="0"/>
    <n v="0"/>
    <n v="0"/>
    <n v="0"/>
    <n v="0"/>
    <n v="0"/>
    <n v="0"/>
    <n v="0"/>
    <n v="0"/>
    <n v="0"/>
    <n v="0"/>
    <m/>
    <n v="217728000"/>
    <s v="RS"/>
    <s v="RS"/>
    <s v="En Licitación"/>
  </r>
  <r>
    <n v="31"/>
    <s v="N"/>
    <s v="ENERGIA"/>
    <s v="RURAL"/>
    <s v="ENERGIA"/>
    <x v="3"/>
    <x v="19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0"/>
    <n v="310199000"/>
    <m/>
    <m/>
    <m/>
    <m/>
    <m/>
    <n v="0"/>
    <n v="0"/>
    <n v="0"/>
    <n v="0"/>
    <n v="0"/>
    <n v="0"/>
    <n v="0"/>
    <m/>
    <n v="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007028000"/>
    <n v="0"/>
    <m/>
    <n v="896937377"/>
    <n v="0"/>
    <n v="896937377"/>
    <n v="0"/>
    <n v="0"/>
    <n v="0"/>
    <n v="0"/>
    <n v="0"/>
    <n v="0"/>
    <n v="0"/>
    <n v="0"/>
    <n v="0"/>
    <n v="0"/>
    <n v="0"/>
    <n v="0"/>
    <m/>
    <n v="211009062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ANCUD"/>
    <m/>
    <m/>
    <m/>
    <m/>
    <m/>
    <m/>
    <m/>
    <n v="6583718768"/>
    <n v="2122659030"/>
    <m/>
    <n v="2185100109"/>
    <n v="704375410"/>
    <n v="1480724699"/>
    <n v="0"/>
    <n v="0"/>
    <n v="0"/>
    <n v="0"/>
    <n v="0"/>
    <n v="82349998"/>
    <n v="56913014"/>
    <n v="0"/>
    <n v="21109805"/>
    <n v="150677458"/>
    <n v="175119431"/>
    <n v="218205704"/>
    <m/>
    <n v="227595962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3"/>
    <x v="20"/>
    <n v="20"/>
    <s v="FAR"/>
    <s v="EJECUCION"/>
    <n v="30485135"/>
    <m/>
    <s v="FRANCISCA MONTECINO  OPAZO"/>
    <s v="30485135EJECUCION"/>
    <m/>
    <s v="CONSERVACION VEREDAS CASTRO ALTO, COMUNA DE CASTRO (C33)"/>
    <m/>
    <m/>
    <m/>
    <m/>
    <m/>
    <m/>
    <m/>
    <n v="457733000"/>
    <n v="0"/>
    <m/>
    <n v="444723548"/>
    <n v="435946053"/>
    <n v="8777495"/>
    <n v="0"/>
    <n v="0"/>
    <n v="0"/>
    <n v="0"/>
    <n v="0"/>
    <n v="0"/>
    <n v="0"/>
    <n v="103844241"/>
    <n v="0"/>
    <n v="0"/>
    <n v="94313272"/>
    <n v="237788540"/>
    <m/>
    <n v="13009452"/>
    <s v="RS*"/>
    <s v="C33"/>
    <s v="En Ejecución "/>
  </r>
  <r>
    <n v="31"/>
    <s v="A"/>
    <s v="AGUA POTABLE Y ALCANTARILLADO"/>
    <s v="URBANO"/>
    <s v="AGUA POTABLE"/>
    <x v="3"/>
    <x v="20"/>
    <n v="20"/>
    <s v="LIBRE"/>
    <s v="EJECUCION"/>
    <n v="30121787"/>
    <m/>
    <s v="HARRY FRANKLIN  MONSALVE FUENTES"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s v="EDUCACIÓN Y CULTURA"/>
    <s v="URBANO"/>
    <s v="SOCIAL"/>
    <x v="3"/>
    <x v="20"/>
    <n v="20"/>
    <s v="LIBRE"/>
    <s v="DISEÑO"/>
    <n v="30076949"/>
    <m/>
    <s v="FRANCISCA MONTECINO  OPAZO"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81586005"/>
    <n v="148384968"/>
    <n v="0"/>
    <n v="0"/>
    <n v="0"/>
    <n v="0"/>
    <n v="0"/>
    <n v="0"/>
    <n v="0"/>
    <n v="46620574"/>
    <n v="0"/>
    <n v="34965431"/>
    <n v="0"/>
    <n v="0"/>
    <m/>
    <n v="102168027"/>
    <s v="RS"/>
    <s v="RS"/>
    <s v="En Ejecución "/>
  </r>
  <r>
    <n v="31"/>
    <s v="A"/>
    <s v="TRANSPORTE Y VIVIENDA"/>
    <s v="URBANO"/>
    <s v="CONECTIVIDAD"/>
    <x v="3"/>
    <x v="20"/>
    <n v="20"/>
    <s v="FAR"/>
    <s v="EJECUCION"/>
    <n v="40003369"/>
    <m/>
    <s v="FRANCISCA MONTECINO  OPAZO"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  <s v="C33"/>
    <s v="En Ejecución "/>
  </r>
  <r>
    <n v="24"/>
    <s v="N"/>
    <s v="ENERGIA"/>
    <s v="RURAL"/>
    <s v="ENERGIA"/>
    <x v="3"/>
    <x v="20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50892340"/>
    <n v="0"/>
    <m/>
    <n v="50892340"/>
    <n v="50892340"/>
    <n v="0"/>
    <m/>
    <m/>
    <m/>
    <m/>
    <m/>
    <n v="0"/>
    <n v="0"/>
    <n v="0"/>
    <n v="50892340"/>
    <m/>
    <m/>
    <m/>
    <m/>
    <n v="0"/>
    <s v="RS***"/>
    <s v="SS.EE"/>
    <s v="En Ejecución "/>
  </r>
  <r>
    <n v="31"/>
    <s v="A"/>
    <s v="INDUSTRIA, COMERCIO, FINANZAS Y TURISMO"/>
    <s v="URBANO"/>
    <s v="FOMENTO PRODUCTIVO"/>
    <x v="3"/>
    <x v="20"/>
    <n v="20"/>
    <s v="LIBRE"/>
    <s v="EJECUCION"/>
    <n v="30076663"/>
    <m/>
    <e v="#N/A"/>
    <s v="30076663EJECUCION"/>
    <s v="966131-55-LR19"/>
    <s v="CONSERVACION FERIA LILLO COMUNA CASTRO (C33)"/>
    <m/>
    <m/>
    <m/>
    <m/>
    <m/>
    <m/>
    <m/>
    <n v="564532000"/>
    <n v="0"/>
    <m/>
    <n v="366700027"/>
    <n v="122263164"/>
    <n v="244436863"/>
    <n v="0"/>
    <n v="0"/>
    <n v="0"/>
    <n v="0"/>
    <n v="0"/>
    <n v="115983164"/>
    <n v="1570000"/>
    <n v="1570000"/>
    <n v="3140000"/>
    <n v="0"/>
    <n v="0"/>
    <n v="0"/>
    <m/>
    <n v="197831973"/>
    <s v="RS*"/>
    <s v="C33"/>
    <s v="En Ejecución "/>
  </r>
  <r>
    <n v="33"/>
    <s v="A"/>
    <s v="MULTISECTORIAL"/>
    <s v="URBANO"/>
    <s v="SOCIAL"/>
    <x v="3"/>
    <x v="20"/>
    <n v="2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0"/>
    <n v="20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49257331"/>
    <n v="150742669"/>
    <n v="0"/>
    <n v="0"/>
    <n v="0"/>
    <n v="0"/>
    <n v="0"/>
    <n v="0"/>
    <n v="17517562"/>
    <n v="23102764"/>
    <n v="8637005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004520650"/>
    <n v="747772307"/>
    <m/>
    <n v="1679297244"/>
    <n v="1025503246"/>
    <n v="653793998"/>
    <n v="0"/>
    <n v="0"/>
    <n v="0"/>
    <n v="0"/>
    <n v="0"/>
    <n v="179755617"/>
    <n v="19087562"/>
    <n v="252239289"/>
    <n v="126481854"/>
    <n v="115837112"/>
    <n v="94313272"/>
    <n v="237788540"/>
    <m/>
    <n v="57745109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3"/>
    <x v="20"/>
    <n v="20"/>
    <s v="LIBRE"/>
    <s v="EJECUCION"/>
    <n v="20140221"/>
    <m/>
    <e v="#N/A"/>
    <s v="20140221EJECUCION"/>
    <s v="966131-80-LR19"/>
    <s v="REPOSICION POSTA DE SALUD RURAL DE LA ISLA CHELIN, CASTRO"/>
    <m/>
    <m/>
    <m/>
    <m/>
    <m/>
    <m/>
    <m/>
    <n v="600518000"/>
    <n v="0"/>
    <m/>
    <n v="200518000"/>
    <n v="0"/>
    <n v="200518000"/>
    <n v="0"/>
    <n v="0"/>
    <n v="0"/>
    <n v="0"/>
    <n v="0"/>
    <n v="0"/>
    <n v="0"/>
    <n v="0"/>
    <n v="0"/>
    <n v="0"/>
    <n v="0"/>
    <n v="0"/>
    <m/>
    <n v="400000000"/>
    <s v="RS"/>
    <s v="RS"/>
    <s v="Licitación Adjudicada"/>
  </r>
  <r>
    <n v="31"/>
    <s v="A"/>
    <s v="MULTISECTORIAL"/>
    <s v="URBANO"/>
    <s v="CONECTIVIDAD"/>
    <x v="3"/>
    <x v="20"/>
    <n v="20"/>
    <s v="FAR"/>
    <s v="EJECUCION"/>
    <n v="40002877"/>
    <m/>
    <s v="HARRY FRANKLIN  MONSALVE FUENTES"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77451099"/>
    <n v="0"/>
    <n v="77451099"/>
    <n v="0"/>
    <n v="0"/>
    <n v="0"/>
    <n v="0"/>
    <n v="0"/>
    <n v="0"/>
    <n v="0"/>
    <n v="0"/>
    <n v="0"/>
    <n v="0"/>
    <n v="0"/>
    <n v="0"/>
    <m/>
    <n v="3701904901"/>
    <s v="RS"/>
    <s v="RS"/>
    <s v="En Licitación (14.07.20)"/>
  </r>
  <r>
    <n v="31"/>
    <s v="N"/>
    <s v="EDUCACIÓN Y CULTURA"/>
    <s v="URBANO"/>
    <s v="SOCIAL"/>
    <x v="3"/>
    <x v="20"/>
    <n v="20"/>
    <s v="LIBRE"/>
    <s v="DISEÑO"/>
    <n v="40005957"/>
    <m/>
    <m/>
    <s v="40005957DISEÑO"/>
    <m/>
    <s v="* REPOSICION MUSEO MUNICIPAL Y BIBLIOTECA PUBLICA"/>
    <m/>
    <m/>
    <m/>
    <m/>
    <m/>
    <m/>
    <m/>
    <n v="139625000"/>
    <n v="0"/>
    <m/>
    <n v="5324600"/>
    <n v="0"/>
    <n v="5324600"/>
    <n v="0"/>
    <n v="0"/>
    <n v="0"/>
    <n v="0"/>
    <n v="0"/>
    <n v="0"/>
    <n v="0"/>
    <n v="0"/>
    <n v="0"/>
    <n v="0"/>
    <n v="0"/>
    <n v="0"/>
    <m/>
    <n v="134300400"/>
    <s v="RS"/>
    <s v="RS"/>
    <s v="Convenio en Confección"/>
  </r>
  <r>
    <n v="29"/>
    <s v="N"/>
    <s v="MULTISECTORIAL"/>
    <s v="URBANO"/>
    <s v="SOCIAL"/>
    <x v="3"/>
    <x v="20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233710000"/>
    <n v="0"/>
    <n v="233710000"/>
    <n v="0"/>
    <n v="0"/>
    <n v="0"/>
    <n v="0"/>
    <n v="0"/>
    <n v="0"/>
    <n v="0"/>
    <n v="0"/>
    <n v="0"/>
    <n v="0"/>
    <n v="0"/>
    <n v="0"/>
    <m/>
    <n v="417815000"/>
    <s v="RS*"/>
    <s v="C33"/>
    <s v="Convenio en Tramite"/>
  </r>
  <r>
    <n v="31"/>
    <s v="N"/>
    <s v="TRANSPORTE Y VIVIENDA"/>
    <s v="URBANO"/>
    <s v="CONECTIVIDAD"/>
    <x v="3"/>
    <x v="20"/>
    <n v="22"/>
    <s v="FAR"/>
    <s v="EJECUCION"/>
    <n v="40014732"/>
    <m/>
    <m/>
    <s v="40014732EJECUCION"/>
    <m/>
    <s v="CONSERVACION CAMINOS RURALES Y URBANOS SECTOR TEN TEN Y LA CHACRAN (C33)"/>
    <m/>
    <m/>
    <m/>
    <m/>
    <m/>
    <m/>
    <m/>
    <n v="158000000"/>
    <n v="0"/>
    <m/>
    <n v="7900000"/>
    <n v="0"/>
    <n v="7900000"/>
    <n v="0"/>
    <n v="0"/>
    <n v="0"/>
    <n v="0"/>
    <n v="0"/>
    <n v="0"/>
    <n v="0"/>
    <n v="0"/>
    <n v="0"/>
    <n v="0"/>
    <n v="0"/>
    <n v="0"/>
    <m/>
    <n v="15010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5329024000"/>
    <n v="0"/>
    <m/>
    <n v="524903699"/>
    <n v="0"/>
    <n v="524903699"/>
    <n v="0"/>
    <n v="0"/>
    <n v="0"/>
    <n v="0"/>
    <n v="0"/>
    <n v="0"/>
    <n v="0"/>
    <n v="0"/>
    <n v="0"/>
    <n v="0"/>
    <n v="0"/>
    <n v="0"/>
    <m/>
    <n v="480412030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ASTRO"/>
    <m/>
    <m/>
    <m/>
    <m/>
    <m/>
    <m/>
    <m/>
    <n v="8333544650"/>
    <n v="747772307"/>
    <m/>
    <n v="2204200943"/>
    <n v="1025503246"/>
    <n v="1178697697"/>
    <n v="0"/>
    <n v="0"/>
    <n v="0"/>
    <n v="0"/>
    <n v="0"/>
    <n v="179755617"/>
    <n v="19087562"/>
    <n v="252239289"/>
    <n v="126481854"/>
    <n v="115837112"/>
    <n v="94313272"/>
    <n v="237788540"/>
    <m/>
    <n v="53815714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AGUA POTABLE Y ALCANTARILLADO"/>
    <s v="RURAL"/>
    <s v="AGUA POTABLE"/>
    <x v="3"/>
    <x v="21"/>
    <n v="21"/>
    <s v="PMB"/>
    <s v="EJECUCION"/>
    <n v="30091901"/>
    <m/>
    <s v="HARRY FRANKLIN  MONSALVE FUENTES"/>
    <s v="30091901EJECUCION"/>
    <m/>
    <s v="* MEJORAMIENTO Y AMPLIACION  APR DE HUILLINCO"/>
    <s v="* CERT. CORE 45 07.02.20 - ACTUALIZA COSTO"/>
    <m/>
    <m/>
    <m/>
    <m/>
    <m/>
    <m/>
    <n v="597480684"/>
    <n v="421356397"/>
    <m/>
    <n v="133443603"/>
    <n v="78611350"/>
    <n v="54832253"/>
    <n v="0"/>
    <n v="0"/>
    <n v="0"/>
    <n v="0"/>
    <n v="0"/>
    <n v="0"/>
    <n v="29372549"/>
    <n v="0"/>
    <n v="0"/>
    <n v="0"/>
    <n v="0"/>
    <n v="49238801"/>
    <m/>
    <n v="42680684"/>
    <s v="RS"/>
    <s v="RS"/>
    <s v="En Ejecución "/>
  </r>
  <r>
    <n v="31"/>
    <s v="A"/>
    <s v="DEFENSA Y SEGURIDAD"/>
    <s v="RURAL"/>
    <s v="SOCIAL"/>
    <x v="3"/>
    <x v="21"/>
    <n v="21"/>
    <s v="LIBRE"/>
    <s v="EJECUCION"/>
    <n v="30126506"/>
    <m/>
    <s v="HARRY FRANKLIN  MONSALVE FUENTES"/>
    <s v="30126506EJECUCION"/>
    <m/>
    <s v="CONSTRUCCION CUARTEL 2° COMPAÑIA BOMBEROS DE LA COMUNA DE CHONCHI"/>
    <m/>
    <m/>
    <m/>
    <m/>
    <m/>
    <m/>
    <m/>
    <n v="644396000"/>
    <n v="126246486"/>
    <m/>
    <n v="313832800"/>
    <n v="131269737"/>
    <n v="182563063"/>
    <n v="0"/>
    <n v="0"/>
    <n v="0"/>
    <n v="0"/>
    <n v="0"/>
    <n v="0"/>
    <n v="0"/>
    <n v="1800000"/>
    <n v="3600000"/>
    <n v="1800000"/>
    <n v="86045461"/>
    <n v="38024276"/>
    <m/>
    <n v="204316714"/>
    <s v="RS"/>
    <s v="RS"/>
    <s v="En Ejecución "/>
  </r>
  <r>
    <n v="29"/>
    <s v="A"/>
    <s v="MULTISECTORIAL"/>
    <s v="RURAL"/>
    <s v="SOCIAL"/>
    <x v="3"/>
    <x v="21"/>
    <n v="21"/>
    <s v="LIBRE"/>
    <s v="EJECUCION"/>
    <n v="30208122"/>
    <m/>
    <s v="FRANCISCA MONTECINO  OPAZO"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  <s v="C33"/>
    <s v="En Ejecución "/>
  </r>
  <r>
    <n v="22"/>
    <s v="A"/>
    <s v="TRANSPORTE Y VIVIENDA"/>
    <s v="RURAL"/>
    <s v="SOCIAL"/>
    <x v="3"/>
    <x v="21"/>
    <n v="21"/>
    <s v="LIBRE"/>
    <s v="EJECUCION"/>
    <n v="30126522"/>
    <m/>
    <s v="FRANCISCA MONTECINO  OPAZO"/>
    <s v="30126522EJECUCION"/>
    <m/>
    <s v="ACTUALIZACION PLAN REGULADOR COMUNA DE CHONCHI (C33)"/>
    <m/>
    <m/>
    <m/>
    <m/>
    <m/>
    <m/>
    <m/>
    <n v="120000000"/>
    <n v="60000000"/>
    <m/>
    <n v="60000000"/>
    <n v="50000000"/>
    <n v="10000000"/>
    <n v="0"/>
    <n v="0"/>
    <n v="0"/>
    <n v="0"/>
    <n v="0"/>
    <n v="25000000"/>
    <n v="0"/>
    <n v="0"/>
    <n v="0"/>
    <n v="0"/>
    <n v="25000000"/>
    <n v="0"/>
    <m/>
    <n v="0"/>
    <s v="RS*"/>
    <s v="C33"/>
    <s v="En Ejecución "/>
  </r>
  <r>
    <n v="31"/>
    <s v="A"/>
    <s v="EDUCACIÓN Y CULTURA"/>
    <s v="RURAL"/>
    <s v="SOCIAL"/>
    <x v="3"/>
    <x v="21"/>
    <n v="21"/>
    <s v="LIBRE"/>
    <s v="DISEÑO"/>
    <n v="20157700"/>
    <m/>
    <s v="HARRY FRANKLIN  MONSALVE FUENTES"/>
    <s v="20157700DISEÑO"/>
    <m/>
    <s v="REPOSICION ESCUELA RURAL DE QUITRIPULLI"/>
    <m/>
    <m/>
    <m/>
    <m/>
    <m/>
    <m/>
    <m/>
    <n v="62758000"/>
    <n v="38544070"/>
    <m/>
    <n v="24213930"/>
    <n v="23855381"/>
    <n v="358549"/>
    <n v="0"/>
    <n v="0"/>
    <n v="0"/>
    <n v="0"/>
    <n v="0"/>
    <n v="0"/>
    <n v="0"/>
    <n v="0"/>
    <n v="0"/>
    <n v="0"/>
    <n v="0"/>
    <n v="23855381"/>
    <m/>
    <n v="0"/>
    <s v="RS"/>
    <s v="RS"/>
    <s v="En Ejecución "/>
  </r>
  <r>
    <n v="31"/>
    <s v="A"/>
    <s v="AGUA POTABLE Y ALCANTARILLADO"/>
    <s v="RURAL"/>
    <s v="AGUA POTABLE"/>
    <x v="3"/>
    <x v="21"/>
    <n v="21"/>
    <s v="LIBRE"/>
    <s v="EJECUCION"/>
    <n v="30466394"/>
    <m/>
    <s v="FRANCISCA MONTECINO  OPAZO"/>
    <s v="30466394EJECUCION"/>
    <m/>
    <s v="CONSTRUCCION SISTEMA APR DE TARAHUIN, CHONCHI"/>
    <m/>
    <m/>
    <m/>
    <m/>
    <m/>
    <m/>
    <m/>
    <n v="483702000"/>
    <n v="233771289"/>
    <m/>
    <n v="249930711"/>
    <n v="125751201"/>
    <n v="124179510"/>
    <n v="0"/>
    <n v="0"/>
    <n v="0"/>
    <n v="0"/>
    <n v="0"/>
    <n v="23775593"/>
    <n v="0"/>
    <n v="15423454"/>
    <n v="18147894"/>
    <n v="36791677"/>
    <n v="14320197"/>
    <n v="17292386"/>
    <m/>
    <n v="0"/>
    <s v="RS"/>
    <s v="RS"/>
    <s v="En Ejecución "/>
  </r>
  <r>
    <n v="31"/>
    <s v="A"/>
    <s v="EDUCACIÓN Y CULTURA"/>
    <s v="RURAL"/>
    <s v="SOCIAL"/>
    <x v="3"/>
    <x v="21"/>
    <n v="21"/>
    <s v="LIBRE"/>
    <s v="DISEÑO"/>
    <n v="30126487"/>
    <m/>
    <e v="#N/A"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  <s v="RS"/>
    <s v="En Ejecución "/>
  </r>
  <r>
    <n v="31"/>
    <s v="A"/>
    <s v="SALUD"/>
    <s v="RURAL"/>
    <s v="SOCIAL"/>
    <x v="3"/>
    <x v="21"/>
    <n v="21"/>
    <s v="LIBRE"/>
    <s v="EJECUCION"/>
    <n v="30476688"/>
    <s v="SALUD"/>
    <s v="HARRY FRANKLIN  MONSALVE FUENTES"/>
    <s v="30476688EJECUCION"/>
    <s v="4318-34-LR19"/>
    <s v="REPOSICION POSTA SALUD RURAL CUCAO, COMUNA CHONCHI"/>
    <m/>
    <m/>
    <m/>
    <m/>
    <m/>
    <m/>
    <m/>
    <n v="543264000"/>
    <n v="0"/>
    <m/>
    <n v="243264000"/>
    <n v="45952294"/>
    <n v="197311706"/>
    <n v="0"/>
    <n v="0"/>
    <n v="0"/>
    <n v="0"/>
    <n v="0"/>
    <n v="0"/>
    <n v="0"/>
    <n v="1944444"/>
    <n v="23894501"/>
    <n v="16224461"/>
    <n v="3888888"/>
    <n v="0"/>
    <m/>
    <n v="300000000"/>
    <s v="RS"/>
    <s v="RS"/>
    <s v="En Ejecución "/>
  </r>
  <r>
    <n v="31"/>
    <s v="A"/>
    <s v="DEPORTE"/>
    <s v="RURAL"/>
    <s v="SOCIAL"/>
    <x v="3"/>
    <x v="21"/>
    <n v="21"/>
    <s v="LIBRE"/>
    <s v="DISEÑO"/>
    <n v="30484959"/>
    <m/>
    <e v="#N/A"/>
    <s v="30484959DISEÑO"/>
    <s v="4318-41-LP19"/>
    <s v="CONSTRUCCION CENTRO DEPORTIVO MUNICIPAL COMUNA DE CHONCHI"/>
    <m/>
    <m/>
    <m/>
    <m/>
    <m/>
    <m/>
    <m/>
    <n v="75000000"/>
    <n v="0"/>
    <m/>
    <n v="75000000"/>
    <n v="30600000"/>
    <n v="44400000"/>
    <n v="0"/>
    <n v="0"/>
    <n v="0"/>
    <n v="0"/>
    <n v="0"/>
    <n v="0"/>
    <n v="0"/>
    <n v="20400000"/>
    <n v="0"/>
    <n v="10200000"/>
    <n v="0"/>
    <n v="0"/>
    <m/>
    <n v="0"/>
    <s v="RS"/>
    <s v="RS"/>
    <s v="En Ejecución "/>
  </r>
  <r>
    <n v="31"/>
    <s v="A"/>
    <s v="TRANSPORTE Y VIVIENDA"/>
    <s v="RURAL"/>
    <s v="CONECTIVIDAD"/>
    <x v="3"/>
    <x v="21"/>
    <n v="21"/>
    <s v="FAR"/>
    <s v="EJECUCION"/>
    <n v="40006762"/>
    <m/>
    <e v="#N/A"/>
    <s v="40006762EJECUCION"/>
    <s v="4318-44-LR19"/>
    <s v="CONSERVACION CAMINOS NO ENROLADOS COMUNA DE CHONCHI (C33)"/>
    <m/>
    <m/>
    <m/>
    <m/>
    <m/>
    <m/>
    <m/>
    <n v="588576000"/>
    <n v="0"/>
    <m/>
    <n v="390235378"/>
    <n v="390235378"/>
    <n v="0"/>
    <n v="0"/>
    <n v="0"/>
    <n v="0"/>
    <n v="0"/>
    <n v="0"/>
    <n v="83980522"/>
    <n v="103983204"/>
    <n v="143762495"/>
    <n v="4000000"/>
    <n v="54509157"/>
    <n v="0"/>
    <n v="0"/>
    <m/>
    <n v="198340622"/>
    <s v="RS*"/>
    <s v="C33"/>
    <s v="En Ejecución "/>
  </r>
  <r>
    <n v="33"/>
    <s v="A"/>
    <s v="MULTISECTORIAL"/>
    <s v="URBANO"/>
    <s v="SOCIAL"/>
    <x v="3"/>
    <x v="21"/>
    <n v="2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1"/>
    <n v="21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146804052"/>
    <n v="53195948"/>
    <n v="0"/>
    <n v="0"/>
    <n v="0"/>
    <n v="0"/>
    <n v="0"/>
    <n v="9323445"/>
    <n v="27148180"/>
    <n v="0"/>
    <n v="25999195"/>
    <n v="0"/>
    <n v="84333232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3523030684"/>
    <n v="879918242"/>
    <m/>
    <n v="1897774422"/>
    <n v="1104462393"/>
    <n v="793312029"/>
    <n v="0"/>
    <n v="0"/>
    <n v="0"/>
    <n v="0"/>
    <n v="0"/>
    <n v="142079560"/>
    <n v="160503933"/>
    <n v="183330393"/>
    <n v="99353590"/>
    <n v="131381295"/>
    <n v="213587778"/>
    <n v="174225844"/>
    <m/>
    <n v="74533802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MULTISECTORIAL"/>
    <s v="URBANO"/>
    <s v="SOCIAL"/>
    <x v="3"/>
    <x v="21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HONCHI"/>
    <m/>
    <m/>
    <m/>
    <m/>
    <m/>
    <m/>
    <m/>
    <n v="3773030684"/>
    <n v="879918242"/>
    <m/>
    <n v="2124388605"/>
    <n v="1104462393"/>
    <n v="1019926212"/>
    <n v="0"/>
    <n v="0"/>
    <n v="0"/>
    <n v="0"/>
    <n v="0"/>
    <n v="142079560"/>
    <n v="160503933"/>
    <n v="183330393"/>
    <n v="99353590"/>
    <n v="131381295"/>
    <n v="213587778"/>
    <n v="174225844"/>
    <m/>
    <n v="76872383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2"/>
    <n v="22"/>
    <s v="LIBRE"/>
    <s v="DISEÑO"/>
    <n v="30095333"/>
    <m/>
    <s v="FRANCISCA MONTECINO  OPAZO"/>
    <s v="30095333DISEÑO"/>
    <m/>
    <s v="REPOSICION ESTADIO MUNICIPAL CURACO DE VELEZ"/>
    <m/>
    <m/>
    <m/>
    <m/>
    <m/>
    <m/>
    <m/>
    <n v="178850000"/>
    <n v="155316500"/>
    <m/>
    <n v="21658500"/>
    <n v="0"/>
    <n v="21658500"/>
    <n v="0"/>
    <n v="0"/>
    <n v="0"/>
    <n v="0"/>
    <n v="0"/>
    <n v="0"/>
    <n v="0"/>
    <n v="0"/>
    <n v="0"/>
    <n v="0"/>
    <n v="0"/>
    <n v="0"/>
    <m/>
    <n v="1875000"/>
    <s v="RS"/>
    <s v="RS"/>
    <s v="En Ejecución "/>
  </r>
  <r>
    <n v="31"/>
    <s v="A"/>
    <s v="SALUD"/>
    <s v="RURAL"/>
    <s v="SOCIAL"/>
    <x v="3"/>
    <x v="22"/>
    <n v="22"/>
    <s v="LIBRE"/>
    <s v="EJECUCION"/>
    <n v="30135738"/>
    <s v="SALUD"/>
    <s v="HARRY FRANKLIN  MONSALVE FUENTES"/>
    <s v="30135738EJECUCION"/>
    <m/>
    <s v="REPOSICION POSTA DE SALUD HUYAR ALTO"/>
    <m/>
    <m/>
    <m/>
    <m/>
    <m/>
    <m/>
    <m/>
    <n v="575525000"/>
    <n v="537497538"/>
    <m/>
    <n v="38027462"/>
    <n v="23471430"/>
    <n v="14556032"/>
    <n v="0"/>
    <n v="0"/>
    <n v="0"/>
    <n v="0"/>
    <n v="0"/>
    <n v="0"/>
    <n v="23471430"/>
    <n v="0"/>
    <n v="0"/>
    <n v="0"/>
    <n v="0"/>
    <n v="0"/>
    <m/>
    <n v="0"/>
    <s v="RS"/>
    <s v="RS"/>
    <s v="En Ejecución "/>
  </r>
  <r>
    <n v="31"/>
    <s v="A"/>
    <s v="SALUD"/>
    <s v="RURAL"/>
    <s v="SOCIAL"/>
    <x v="3"/>
    <x v="22"/>
    <n v="22"/>
    <s v="LIBRE"/>
    <s v="EJECUCION"/>
    <n v="30135739"/>
    <s v="SALUD"/>
    <e v="#N/A"/>
    <s v="30135739EJECUCION"/>
    <m/>
    <s v="REPOSICION POSTA DE SALUD DE PALQUI"/>
    <m/>
    <m/>
    <m/>
    <m/>
    <m/>
    <m/>
    <m/>
    <n v="571440000"/>
    <n v="42821820"/>
    <m/>
    <n v="371440000"/>
    <n v="351263065"/>
    <n v="20176935"/>
    <n v="0"/>
    <n v="0"/>
    <n v="0"/>
    <n v="0"/>
    <n v="0"/>
    <n v="64602977"/>
    <n v="40186025"/>
    <n v="110687671"/>
    <n v="1903000"/>
    <n v="49224958"/>
    <n v="84658434"/>
    <n v="0"/>
    <m/>
    <n v="157178180"/>
    <s v="RS"/>
    <s v="RS"/>
    <s v="En Ejecución "/>
  </r>
  <r>
    <n v="33"/>
    <s v="A"/>
    <s v="MULTISECTORIAL"/>
    <s v="URBANO"/>
    <s v="SOCIAL"/>
    <x v="3"/>
    <x v="22"/>
    <n v="2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2"/>
    <n v="22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07103667"/>
    <n v="92896333"/>
    <n v="0"/>
    <n v="0"/>
    <n v="0"/>
    <n v="0"/>
    <n v="0"/>
    <n v="8476830"/>
    <n v="24420645"/>
    <n v="2115172"/>
    <n v="24308361"/>
    <n v="47782659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625815000"/>
    <n v="735635858"/>
    <m/>
    <n v="731125962"/>
    <n v="481838162"/>
    <n v="249287800"/>
    <n v="0"/>
    <n v="0"/>
    <n v="0"/>
    <n v="0"/>
    <n v="0"/>
    <n v="73079807"/>
    <n v="88078100"/>
    <n v="112802843"/>
    <n v="26211361"/>
    <n v="97007617"/>
    <n v="84658434"/>
    <n v="0"/>
    <m/>
    <n v="1590531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TRANSPORTE Y VIVIENDA"/>
    <s v="RURAL"/>
    <s v="CONECTIVIDAD"/>
    <x v="3"/>
    <x v="22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.VELEZ"/>
    <m/>
    <m/>
    <m/>
    <m/>
    <m/>
    <m/>
    <m/>
    <n v="1712315000"/>
    <n v="735635858"/>
    <m/>
    <n v="817625962"/>
    <n v="481838162"/>
    <n v="335787800"/>
    <n v="0"/>
    <n v="0"/>
    <n v="0"/>
    <n v="0"/>
    <n v="0"/>
    <n v="73079807"/>
    <n v="88078100"/>
    <n v="112802843"/>
    <n v="26211361"/>
    <n v="97007617"/>
    <n v="84658434"/>
    <n v="0"/>
    <m/>
    <n v="15905318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3"/>
    <x v="23"/>
    <n v="23"/>
    <s v="LIBRE"/>
    <s v="EJECUCION"/>
    <n v="30395727"/>
    <m/>
    <s v="FRANCISCA MONTECINO  OPAZO"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  <s v="RS"/>
    <s v="En Ejecución "/>
  </r>
  <r>
    <n v="31"/>
    <s v="A"/>
    <s v="DEPORTE"/>
    <s v="RURAL"/>
    <s v="SOCIAL"/>
    <x v="3"/>
    <x v="23"/>
    <n v="23"/>
    <s v="LIBRE"/>
    <s v="EJECUCION"/>
    <n v="30134014"/>
    <m/>
    <s v="HARRY FRANKLIN  MONSALVE FUENTES"/>
    <s v="30134014EJECUCION"/>
    <m/>
    <s v="CONSTRUCCION GIMNASIO TENAUN"/>
    <m/>
    <m/>
    <m/>
    <m/>
    <m/>
    <m/>
    <m/>
    <n v="368365000"/>
    <n v="63846643"/>
    <m/>
    <n v="23739456"/>
    <n v="0"/>
    <n v="23739456"/>
    <n v="0"/>
    <n v="0"/>
    <n v="0"/>
    <n v="0"/>
    <n v="0"/>
    <n v="0"/>
    <n v="0"/>
    <n v="0"/>
    <n v="0"/>
    <n v="0"/>
    <n v="0"/>
    <n v="0"/>
    <m/>
    <n v="280778901"/>
    <s v="RS"/>
    <s v="RS"/>
    <s v="En Ejecución "/>
  </r>
  <r>
    <n v="31"/>
    <s v="A"/>
    <s v="MULTISECTORIAL"/>
    <s v="URBANO"/>
    <s v="SOCIAL"/>
    <x v="3"/>
    <x v="23"/>
    <n v="23"/>
    <s v="LIBRE"/>
    <s v="DISEÑO"/>
    <n v="30129912"/>
    <m/>
    <s v="HARRY FRANKLIN  MONSALVE FUENTES"/>
    <s v="30129912DISEÑO"/>
    <m/>
    <s v="CONSTRUCCION CENTRO CIVICO DE DALCAHUE"/>
    <m/>
    <m/>
    <m/>
    <m/>
    <m/>
    <m/>
    <m/>
    <n v="96890200"/>
    <n v="58512850"/>
    <m/>
    <n v="38377350"/>
    <n v="0"/>
    <n v="3837735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s v="AGUA POTABLE Y ALCANTARILLADO"/>
    <s v="RURAL"/>
    <s v="ALCANTARILLADO"/>
    <x v="3"/>
    <x v="23"/>
    <n v="23"/>
    <s v="LIBRE"/>
    <s v="EJECUCION"/>
    <n v="30485152"/>
    <m/>
    <s v="HARRY FRANKLIN  MONSALVE FUENTES"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18873114"/>
    <n v="170940708"/>
    <n v="47932406"/>
    <n v="0"/>
    <n v="0"/>
    <n v="0"/>
    <n v="0"/>
    <n v="0"/>
    <n v="22019054"/>
    <n v="1550000"/>
    <n v="33840093"/>
    <n v="48788029"/>
    <n v="1550000"/>
    <n v="25843859"/>
    <n v="37349673"/>
    <m/>
    <n v="18668319"/>
    <s v="RS"/>
    <s v="RS"/>
    <s v="En Ejecución "/>
  </r>
  <r>
    <n v="33"/>
    <s v="A"/>
    <s v="MULTISECTORIAL"/>
    <s v="URBANO"/>
    <s v="SOCIAL"/>
    <x v="3"/>
    <x v="23"/>
    <n v="2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3"/>
    <n v="23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56931211"/>
    <n v="43068789"/>
    <n v="0"/>
    <n v="0"/>
    <n v="0"/>
    <n v="0"/>
    <n v="0"/>
    <n v="0"/>
    <n v="156931211"/>
    <n v="0"/>
    <n v="0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689195384"/>
    <n v="722327363"/>
    <m/>
    <n v="667420801"/>
    <n v="405934629"/>
    <n v="261486172"/>
    <n v="0"/>
    <n v="0"/>
    <n v="0"/>
    <n v="0"/>
    <n v="0"/>
    <n v="22019054"/>
    <n v="158481211"/>
    <n v="33840093"/>
    <n v="62353831"/>
    <n v="1550000"/>
    <n v="46733862"/>
    <n v="80956578"/>
    <m/>
    <n v="29944722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3"/>
    <x v="23"/>
    <n v="23"/>
    <s v="PIR"/>
    <s v="EJECUCION"/>
    <n v="40004659"/>
    <m/>
    <s v="FRANCISCA MONTECINO  OPAZO"/>
    <s v="40004659EJECUCION"/>
    <s v="3520-5-LR20"/>
    <s v="CONSTRUCCION SISTEMA APR SECTOR BUTALCURA"/>
    <m/>
    <m/>
    <m/>
    <s v="2698 23,09,19"/>
    <n v="317511000"/>
    <m/>
    <m/>
    <n v="320000000"/>
    <n v="0"/>
    <m/>
    <n v="148204315"/>
    <n v="0"/>
    <n v="148204315"/>
    <n v="0"/>
    <n v="0"/>
    <n v="0"/>
    <n v="0"/>
    <n v="0"/>
    <n v="0"/>
    <n v="0"/>
    <n v="0"/>
    <n v="0"/>
    <n v="0"/>
    <n v="0"/>
    <n v="0"/>
    <m/>
    <n v="171795685"/>
    <s v="RS"/>
    <s v="RS"/>
    <s v="Licitación Adjudicada"/>
  </r>
  <r>
    <n v="31"/>
    <s v="N"/>
    <s v="DEPORTE"/>
    <s v="RURAL"/>
    <s v="SOCIAL"/>
    <x v="3"/>
    <x v="23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1049950"/>
    <n v="0"/>
    <n v="1049950"/>
    <n v="0"/>
    <n v="0"/>
    <n v="0"/>
    <n v="0"/>
    <n v="0"/>
    <n v="0"/>
    <n v="0"/>
    <n v="0"/>
    <n v="0"/>
    <n v="0"/>
    <n v="0"/>
    <n v="0"/>
    <m/>
    <n v="19949050"/>
    <s v="RS"/>
    <s v="RS"/>
    <s v="Licitación Adjudicada"/>
  </r>
  <r>
    <n v="31"/>
    <s v="N"/>
    <s v="EDUCACIÓN Y CULTURA"/>
    <s v="RURAL"/>
    <s v="SOCIAL"/>
    <x v="3"/>
    <x v="23"/>
    <n v="23"/>
    <s v="FIE"/>
    <s v="EJECUCION"/>
    <n v="30134013"/>
    <m/>
    <s v="HARRY FRANKLIN  MONSALVE FUENTES"/>
    <s v="30134013EJECUCION"/>
    <s v="3520-15-LR20"/>
    <s v="REPOSICION ESCUELA TEHUACO - QUETALCO COMUNA DE DALCAHUE"/>
    <m/>
    <m/>
    <m/>
    <m/>
    <m/>
    <m/>
    <m/>
    <n v="758577000"/>
    <n v="0"/>
    <m/>
    <n v="112518688"/>
    <n v="0"/>
    <n v="112518688"/>
    <n v="0"/>
    <n v="0"/>
    <n v="0"/>
    <n v="0"/>
    <n v="0"/>
    <n v="0"/>
    <n v="0"/>
    <n v="0"/>
    <n v="0"/>
    <n v="0"/>
    <n v="0"/>
    <n v="0"/>
    <m/>
    <n v="646058312"/>
    <s v="RS"/>
    <s v="RS"/>
    <s v="Licitacion Cerrada (05.06.20)"/>
  </r>
  <r>
    <n v="31"/>
    <s v="N"/>
    <s v="EDUCACIÓN Y CULTURA"/>
    <s v="URBANO"/>
    <s v="SOCIAL"/>
    <x v="3"/>
    <x v="23"/>
    <n v="23"/>
    <s v="FIE"/>
    <s v="EJECUCION"/>
    <n v="30419547"/>
    <m/>
    <s v="FRANCISCA MONTECINO  OPAZO"/>
    <s v="30419547EJECUCION"/>
    <m/>
    <s v="MEJORAMIENTO INTEGRAL ESCUELA BASICA DE DALCAHUE"/>
    <m/>
    <m/>
    <m/>
    <m/>
    <m/>
    <m/>
    <m/>
    <n v="239685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139685000"/>
    <s v="RS"/>
    <s v="RS"/>
    <s v="En Licitación"/>
  </r>
  <r>
    <n v="31"/>
    <s v="N"/>
    <s v="TRANSPORTE Y VIVIENDA"/>
    <s v="URBANO"/>
    <s v="CONECTIVIDAD"/>
    <x v="3"/>
    <x v="23"/>
    <n v="23"/>
    <s v="FAR"/>
    <s v="EJECUCION"/>
    <n v="40013905"/>
    <m/>
    <m/>
    <s v="40013905EJECUCION"/>
    <m/>
    <s v="PAVIMENTACION DIVERSOS SECTORES"/>
    <m/>
    <m/>
    <m/>
    <m/>
    <m/>
    <m/>
    <m/>
    <n v="450000000"/>
    <n v="0"/>
    <m/>
    <n v="22500000"/>
    <n v="0"/>
    <n v="22500000"/>
    <n v="0"/>
    <n v="0"/>
    <n v="0"/>
    <n v="0"/>
    <n v="0"/>
    <n v="0"/>
    <n v="0"/>
    <n v="0"/>
    <n v="0"/>
    <n v="0"/>
    <n v="0"/>
    <n v="0"/>
    <m/>
    <n v="4275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789261000"/>
    <n v="0"/>
    <m/>
    <n v="384272953"/>
    <n v="0"/>
    <n v="384272953"/>
    <n v="0"/>
    <n v="0"/>
    <n v="0"/>
    <n v="0"/>
    <n v="0"/>
    <n v="0"/>
    <n v="0"/>
    <n v="0"/>
    <n v="0"/>
    <n v="0"/>
    <n v="0"/>
    <n v="0"/>
    <m/>
    <n v="140498804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DALCAHUE"/>
    <m/>
    <m/>
    <m/>
    <m/>
    <m/>
    <m/>
    <m/>
    <n v="3478456384"/>
    <n v="722327363"/>
    <m/>
    <n v="1051693754"/>
    <n v="405934629"/>
    <n v="645759125"/>
    <n v="0"/>
    <n v="0"/>
    <n v="0"/>
    <n v="0"/>
    <n v="0"/>
    <n v="22019054"/>
    <n v="158481211"/>
    <n v="33840093"/>
    <n v="62353831"/>
    <n v="1550000"/>
    <n v="46733862"/>
    <n v="80956578"/>
    <m/>
    <n v="1704435267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3"/>
    <x v="24"/>
    <n v="24"/>
    <s v="LIBRE"/>
    <s v="EJECUCION"/>
    <n v="30466153"/>
    <m/>
    <e v="#N/A"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  <s v="C33"/>
    <s v="Terminada"/>
  </r>
  <r>
    <n v="31"/>
    <s v="A"/>
    <s v="SALUD"/>
    <s v="RURAL"/>
    <s v="SOCIAL"/>
    <x v="3"/>
    <x v="24"/>
    <n v="24"/>
    <s v="LIBRE"/>
    <s v="EJECUCION"/>
    <n v="30042613"/>
    <s v="SALUD"/>
    <e v="#N/A"/>
    <s v="30042613EJECUCION"/>
    <m/>
    <s v="NORMALIZACION CONSULTORIO RURAL PUQUELDON"/>
    <m/>
    <m/>
    <m/>
    <m/>
    <m/>
    <m/>
    <m/>
    <n v="3472101337"/>
    <n v="2618173447"/>
    <m/>
    <n v="828009198"/>
    <n v="0"/>
    <n v="828009198"/>
    <n v="0"/>
    <n v="0"/>
    <n v="0"/>
    <n v="0"/>
    <n v="0"/>
    <n v="0"/>
    <n v="0"/>
    <n v="0"/>
    <n v="0"/>
    <n v="0"/>
    <n v="0"/>
    <n v="0"/>
    <m/>
    <n v="25918692"/>
    <s v="RS"/>
    <s v="RS"/>
    <s v="En Ejecución "/>
  </r>
  <r>
    <n v="31"/>
    <s v="A"/>
    <s v="TRANSPORTE Y VIVIENDA"/>
    <s v="RURAL"/>
    <s v="CONECTIVIDAD"/>
    <x v="3"/>
    <x v="24"/>
    <n v="24"/>
    <s v="FAR"/>
    <s v="EJECUCION"/>
    <n v="40006078"/>
    <m/>
    <e v="#N/A"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486769170"/>
    <n v="1600000"/>
    <n v="485169170"/>
    <n v="0"/>
    <n v="0"/>
    <n v="0"/>
    <n v="0"/>
    <n v="0"/>
    <n v="1600000"/>
    <n v="0"/>
    <n v="0"/>
    <n v="0"/>
    <n v="0"/>
    <n v="0"/>
    <n v="0"/>
    <m/>
    <n v="180061830"/>
    <s v="RS*"/>
    <s v="C33"/>
    <s v="En Ejecución "/>
  </r>
  <r>
    <n v="33"/>
    <s v="A"/>
    <s v="MULTISECTORIAL"/>
    <s v="URBANO"/>
    <s v="SOCIAL"/>
    <x v="3"/>
    <x v="24"/>
    <n v="2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4"/>
    <n v="24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72712983"/>
    <n v="127287017"/>
    <n v="0"/>
    <n v="0"/>
    <n v="0"/>
    <n v="0"/>
    <n v="0"/>
    <n v="0"/>
    <n v="11809721"/>
    <n v="0"/>
    <n v="60903262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UQUELDON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URBANO"/>
    <s v="SOCIAL"/>
    <x v="3"/>
    <x v="25"/>
    <n v="25"/>
    <s v="FAR"/>
    <s v="EJECUCION"/>
    <n v="40004579"/>
    <m/>
    <e v="#N/A"/>
    <s v="40004579EJECUCION"/>
    <m/>
    <s v="ADQUISICION CAMIONETAS PARA DIVERSAS OFICINAS MUNICIPALES (C33)"/>
    <m/>
    <m/>
    <m/>
    <m/>
    <m/>
    <m/>
    <m/>
    <n v="93784000"/>
    <n v="0"/>
    <m/>
    <n v="93784000"/>
    <n v="76472052"/>
    <n v="17311948"/>
    <n v="0"/>
    <n v="0"/>
    <n v="0"/>
    <n v="0"/>
    <n v="0"/>
    <n v="0"/>
    <n v="76472052"/>
    <n v="0"/>
    <n v="0"/>
    <n v="0"/>
    <n v="0"/>
    <n v="0"/>
    <m/>
    <n v="0"/>
    <s v="RS*"/>
    <s v="C33"/>
    <s v="En Ejecución "/>
  </r>
  <r>
    <n v="31"/>
    <s v="A"/>
    <s v="EDUCACIÓN Y CULTURA"/>
    <s v="RURAL"/>
    <s v="SOCIAL"/>
    <x v="3"/>
    <x v="25"/>
    <n v="25"/>
    <s v="LIBRE"/>
    <s v="EJECUCION"/>
    <n v="30343540"/>
    <m/>
    <s v="FRANCISCA MONTECINO  OPAZO"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DEPORTE"/>
    <s v="RURAL"/>
    <s v="SOCIAL"/>
    <x v="3"/>
    <x v="25"/>
    <n v="25"/>
    <s v="LIBRE"/>
    <s v="EJECUCION"/>
    <n v="30480757"/>
    <m/>
    <s v="FRANCISCA MONTECINO  OPAZO"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  <s v="C33"/>
    <s v="En Ejecución "/>
  </r>
  <r>
    <n v="31"/>
    <s v="A"/>
    <s v="SALUD"/>
    <s v="RURAL"/>
    <s v="SOCIAL"/>
    <x v="3"/>
    <x v="25"/>
    <n v="25"/>
    <s v="LIBRE"/>
    <s v="EJECUCION"/>
    <n v="30078798"/>
    <s v="SALUD"/>
    <s v="HARRY FRANKLIN  MONSALVE FUENTES"/>
    <s v="30078798EJECUCION"/>
    <m/>
    <s v="REPOSICION POSTA DE SALUD RURAL DE PIO PIO, COMUNA DE QUEILEN"/>
    <m/>
    <m/>
    <m/>
    <s v="979 27,04,20"/>
    <n v="23622000"/>
    <m/>
    <m/>
    <n v="487098000"/>
    <n v="140554528"/>
    <m/>
    <n v="310545507"/>
    <n v="310545507"/>
    <n v="0"/>
    <n v="0"/>
    <n v="0"/>
    <n v="0"/>
    <n v="0"/>
    <n v="0"/>
    <n v="0"/>
    <n v="22612490"/>
    <n v="41650296"/>
    <n v="0"/>
    <n v="48715866"/>
    <n v="48756690"/>
    <n v="148810165"/>
    <m/>
    <n v="35997965"/>
    <s v="RS"/>
    <s v="RS"/>
    <s v="En Ejecución "/>
  </r>
  <r>
    <n v="33"/>
    <s v="A"/>
    <s v="MULTISECTORIAL"/>
    <s v="URBANO"/>
    <s v="SOCIAL"/>
    <x v="3"/>
    <x v="25"/>
    <n v="2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5"/>
    <n v="25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1137653"/>
    <n v="188862347"/>
    <n v="0"/>
    <n v="0"/>
    <n v="0"/>
    <n v="0"/>
    <n v="0"/>
    <n v="0"/>
    <n v="0"/>
    <n v="0"/>
    <n v="11137653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362187239"/>
    <n v="1498326510"/>
    <m/>
    <n v="827862764"/>
    <n v="472916222"/>
    <n v="354946542"/>
    <n v="0"/>
    <n v="0"/>
    <n v="0"/>
    <n v="0"/>
    <n v="0"/>
    <n v="0"/>
    <n v="99084542"/>
    <n v="41650296"/>
    <n v="26588006"/>
    <n v="48715866"/>
    <n v="78002145"/>
    <n v="178875367"/>
    <m/>
    <n v="3599796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URBANO"/>
    <s v="SOCIAL"/>
    <x v="3"/>
    <x v="25"/>
    <n v="25"/>
    <s v="LIBRE"/>
    <s v="EJECUCION"/>
    <n v="40002386"/>
    <m/>
    <m/>
    <s v="40002386EJECUCION"/>
    <m/>
    <s v="MEJORAMIENTO INTEGRAL ESTADIO MUNICIPAL DE QUEILEN"/>
    <m/>
    <m/>
    <m/>
    <m/>
    <m/>
    <m/>
    <m/>
    <n v="1159931000"/>
    <n v="0"/>
    <m/>
    <n v="118306731"/>
    <n v="0"/>
    <n v="118306731"/>
    <n v="0"/>
    <n v="0"/>
    <n v="0"/>
    <n v="0"/>
    <n v="0"/>
    <n v="0"/>
    <n v="0"/>
    <n v="0"/>
    <n v="0"/>
    <n v="0"/>
    <n v="0"/>
    <n v="0"/>
    <m/>
    <n v="1041624269"/>
    <s v="RS"/>
    <s v="RS"/>
    <s v="Convenio en Confección"/>
  </r>
  <r>
    <n v="31"/>
    <s v="N"/>
    <s v="ENERGIA"/>
    <s v="RURAL"/>
    <s v="ENERGIA"/>
    <x v="3"/>
    <x v="25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0"/>
    <n v="238672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398603000"/>
    <n v="0"/>
    <m/>
    <n v="356978731"/>
    <n v="0"/>
    <n v="356978731"/>
    <n v="0"/>
    <n v="0"/>
    <n v="0"/>
    <n v="0"/>
    <n v="0"/>
    <n v="0"/>
    <n v="0"/>
    <n v="0"/>
    <n v="0"/>
    <n v="0"/>
    <n v="0"/>
    <n v="0"/>
    <m/>
    <n v="1041624269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ILEN"/>
    <m/>
    <m/>
    <m/>
    <m/>
    <m/>
    <m/>
    <m/>
    <n v="3760790239"/>
    <n v="1498326510"/>
    <m/>
    <n v="1184841495"/>
    <n v="472916222"/>
    <n v="711925273"/>
    <n v="0"/>
    <n v="0"/>
    <n v="0"/>
    <n v="0"/>
    <n v="0"/>
    <n v="0"/>
    <n v="99084542"/>
    <n v="41650296"/>
    <n v="26588006"/>
    <n v="48715866"/>
    <n v="78002145"/>
    <n v="178875367"/>
    <m/>
    <n v="107762223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x v="26"/>
    <n v="26"/>
    <s v="LIBRE"/>
    <s v="DISEÑO"/>
    <n v="30069919"/>
    <m/>
    <s v="FRANCISCA MONTECINO  OPAZO"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  <s v="RS"/>
    <s v="En Ejecución "/>
  </r>
  <r>
    <n v="31"/>
    <s v="A"/>
    <s v="EDUCACIÓN Y CULTURA"/>
    <s v="URBANO"/>
    <s v="SOCIAL"/>
    <x v="3"/>
    <x v="26"/>
    <n v="26"/>
    <s v="FIE"/>
    <s v="EJECUCION"/>
    <n v="30472589"/>
    <m/>
    <s v="HARRY FRANKLIN  MONSALVE FUENTES"/>
    <s v="30472589EJECUCION"/>
    <m/>
    <s v="REPOSICION ESCUELA RURAL DE COINCO"/>
    <m/>
    <m/>
    <m/>
    <m/>
    <m/>
    <m/>
    <m/>
    <n v="2531139000"/>
    <n v="427545288"/>
    <m/>
    <n v="1129372835.3333359"/>
    <n v="1129372835"/>
    <n v="0.33333587646484375"/>
    <n v="0"/>
    <n v="0"/>
    <n v="0"/>
    <n v="0"/>
    <n v="0"/>
    <n v="6665180"/>
    <n v="500691339"/>
    <n v="3332590"/>
    <n v="3332590"/>
    <n v="469859360"/>
    <n v="0"/>
    <n v="145491776"/>
    <m/>
    <n v="974220876.66666412"/>
    <s v="RS"/>
    <s v="RS"/>
    <s v="En Ejecución "/>
  </r>
  <r>
    <n v="31"/>
    <s v="A"/>
    <s v="EDUCACIÓN Y CULTURA"/>
    <s v="URBANO"/>
    <s v="SOCIAL"/>
    <x v="3"/>
    <x v="26"/>
    <n v="26"/>
    <s v="LIBRE"/>
    <s v="EJECUCION"/>
    <n v="30135630"/>
    <m/>
    <s v="HARRY FRANKLIN  MONSALVE FUENTES"/>
    <s v="30135630EJECUCION"/>
    <m/>
    <s v="REPOSICION ESCUELA RURAL DE COMPU, COMUNA DE QUELLON"/>
    <m/>
    <m/>
    <m/>
    <m/>
    <m/>
    <m/>
    <m/>
    <n v="1452474000"/>
    <n v="551464"/>
    <m/>
    <n v="548507814"/>
    <n v="0"/>
    <n v="548507814"/>
    <n v="0"/>
    <n v="0"/>
    <n v="0"/>
    <n v="0"/>
    <n v="0"/>
    <n v="0"/>
    <n v="0"/>
    <n v="0"/>
    <n v="0"/>
    <n v="0"/>
    <n v="0"/>
    <n v="0"/>
    <m/>
    <n v="903414722"/>
    <s v="RS"/>
    <s v="RS"/>
    <s v="En Ejecución "/>
  </r>
  <r>
    <n v="24"/>
    <s v="N"/>
    <s v="ENERGIA"/>
    <s v="RURAL"/>
    <s v="ENERGIA"/>
    <x v="3"/>
    <x v="26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47929519"/>
    <n v="0"/>
    <m/>
    <n v="47929519"/>
    <n v="47929519"/>
    <n v="0"/>
    <m/>
    <m/>
    <m/>
    <m/>
    <m/>
    <n v="0"/>
    <n v="0"/>
    <n v="0"/>
    <n v="47929519"/>
    <m/>
    <m/>
    <m/>
    <m/>
    <n v="0"/>
    <s v="RS***"/>
    <s v="SS.EE"/>
    <s v="En Ejecución "/>
  </r>
  <r>
    <n v="24"/>
    <s v="N"/>
    <s v="ENERGIA"/>
    <s v="RURAL"/>
    <s v="ENERGIA"/>
    <x v="3"/>
    <x v="26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42444276"/>
    <n v="0"/>
    <m/>
    <n v="42444276"/>
    <n v="42444276"/>
    <n v="0"/>
    <m/>
    <m/>
    <m/>
    <m/>
    <m/>
    <n v="0"/>
    <n v="0"/>
    <n v="0"/>
    <n v="42444276"/>
    <m/>
    <m/>
    <m/>
    <m/>
    <n v="0"/>
    <s v="RS***"/>
    <s v="SS.EE"/>
    <s v="En Ejecución "/>
  </r>
  <r>
    <n v="24"/>
    <s v="N"/>
    <s v="ENERGIA"/>
    <s v="RURAL"/>
    <s v="ENERGIA"/>
    <x v="3"/>
    <x v="26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40768995"/>
    <n v="0"/>
    <m/>
    <n v="40768995"/>
    <n v="40768995"/>
    <n v="0"/>
    <m/>
    <m/>
    <m/>
    <m/>
    <m/>
    <n v="0"/>
    <n v="0"/>
    <n v="0"/>
    <n v="40768995"/>
    <m/>
    <m/>
    <m/>
    <m/>
    <n v="0"/>
    <s v="RS***"/>
    <s v="SS.EE"/>
    <s v="En Ejecución "/>
  </r>
  <r>
    <n v="31"/>
    <s v="A"/>
    <s v="DEPORTE"/>
    <s v="URBANO"/>
    <s v="SOCIAL"/>
    <x v="3"/>
    <x v="26"/>
    <n v="26"/>
    <s v="LIBRE"/>
    <s v="EJECUCION"/>
    <n v="30125850"/>
    <m/>
    <e v="#N/A"/>
    <s v="30125850EJECUCION"/>
    <s v="2928-30-B219"/>
    <s v="CONSTRUCCION MULTICANCHA CERRADA FRANCISCO COLOANE COMUNA DE QUELLON"/>
    <m/>
    <m/>
    <m/>
    <m/>
    <m/>
    <m/>
    <m/>
    <n v="302702000"/>
    <n v="0"/>
    <m/>
    <n v="174301700"/>
    <n v="137454633"/>
    <n v="36847067"/>
    <n v="0"/>
    <n v="0"/>
    <n v="0"/>
    <n v="0"/>
    <n v="0"/>
    <n v="34180296"/>
    <n v="26546037"/>
    <n v="26669016"/>
    <n v="50059284"/>
    <n v="0"/>
    <n v="0"/>
    <n v="0"/>
    <m/>
    <n v="128400300"/>
    <s v="RS"/>
    <s v="RS"/>
    <s v="En Ejecución "/>
  </r>
  <r>
    <n v="33"/>
    <s v="A"/>
    <s v="MULTISECTORIAL"/>
    <s v="URBANO"/>
    <s v="SOCIAL"/>
    <x v="3"/>
    <x v="26"/>
    <n v="2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6"/>
    <n v="26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50370754"/>
    <n v="49629246"/>
    <n v="0"/>
    <n v="0"/>
    <n v="0"/>
    <n v="0"/>
    <n v="0"/>
    <n v="15485307"/>
    <n v="22304633"/>
    <n v="26684765"/>
    <n v="41194280"/>
    <n v="44701769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4751831470"/>
    <n v="455595696"/>
    <m/>
    <n v="2290199875.3333359"/>
    <n v="1555215748"/>
    <n v="734984127.33333588"/>
    <n v="0"/>
    <n v="0"/>
    <n v="0"/>
    <n v="0"/>
    <n v="0"/>
    <n v="56330783"/>
    <n v="549542009"/>
    <n v="56686371"/>
    <n v="232603680"/>
    <n v="514561129"/>
    <n v="0"/>
    <n v="145491776"/>
    <m/>
    <n v="1877635598.666664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AGUA POTABLE Y ALCANTARILLADO"/>
    <s v="RURAL"/>
    <s v="AGUA POTABLE"/>
    <x v="3"/>
    <x v="26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1618750"/>
    <n v="0"/>
    <n v="21618750"/>
    <n v="0"/>
    <n v="0"/>
    <n v="0"/>
    <n v="0"/>
    <n v="0"/>
    <n v="0"/>
    <n v="0"/>
    <n v="0"/>
    <n v="0"/>
    <n v="0"/>
    <n v="0"/>
    <n v="0"/>
    <m/>
    <n v="7206250"/>
    <s v="RS"/>
    <s v="RS"/>
    <s v="Licitación Cerrada (12.06.20)"/>
  </r>
  <r>
    <n v="31"/>
    <s v="N"/>
    <s v="AGUA POTABLE Y ALCANTARILLADO"/>
    <s v="URBANO"/>
    <s v="AGUA POTABLE"/>
    <x v="3"/>
    <x v="26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18559100"/>
    <n v="0"/>
    <n v="18559100"/>
    <n v="0"/>
    <n v="0"/>
    <n v="0"/>
    <n v="0"/>
    <n v="0"/>
    <n v="0"/>
    <n v="0"/>
    <n v="0"/>
    <n v="0"/>
    <n v="0"/>
    <n v="0"/>
    <n v="0"/>
    <m/>
    <n v="489742900"/>
    <s v="RS"/>
    <s v="RS"/>
    <s v="Convenio en Confección"/>
  </r>
  <r>
    <n v="31"/>
    <s v="N"/>
    <s v="AGUA POTABLE Y ALCANTARILLADO"/>
    <s v="RURAL"/>
    <s v="AGUA POTABLE"/>
    <x v="3"/>
    <x v="26"/>
    <n v="26"/>
    <s v="LIBRE"/>
    <s v="DISEÑO"/>
    <n v="40000178"/>
    <m/>
    <m/>
    <s v="40000178DISEÑO"/>
    <m/>
    <s v="CONSTRUCCION SISTEMA APR SECTORES CHAILDAD-CHANCO-YATEHUE, QUELLON"/>
    <m/>
    <m/>
    <m/>
    <m/>
    <m/>
    <m/>
    <m/>
    <n v="46350000"/>
    <n v="0"/>
    <m/>
    <n v="2317500"/>
    <n v="0"/>
    <n v="2317500"/>
    <n v="0"/>
    <n v="0"/>
    <n v="0"/>
    <n v="0"/>
    <n v="0"/>
    <n v="0"/>
    <n v="0"/>
    <n v="0"/>
    <n v="0"/>
    <n v="0"/>
    <n v="0"/>
    <n v="0"/>
    <m/>
    <n v="44032500"/>
    <s v="RS"/>
    <s v="RS"/>
    <s v="Convenio en Tramite"/>
  </r>
  <r>
    <n v="29"/>
    <s v="N"/>
    <s v="MULTISECTORIAL"/>
    <s v="URBANO"/>
    <s v="SOCIAL"/>
    <x v="3"/>
    <x v="26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194565000"/>
    <n v="0"/>
    <n v="194565000"/>
    <n v="0"/>
    <n v="0"/>
    <n v="0"/>
    <n v="0"/>
    <n v="0"/>
    <n v="0"/>
    <n v="0"/>
    <n v="0"/>
    <n v="0"/>
    <n v="0"/>
    <n v="0"/>
    <n v="0"/>
    <m/>
    <n v="38913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167172000"/>
    <n v="0"/>
    <m/>
    <n v="237060350"/>
    <n v="0"/>
    <n v="237060350"/>
    <n v="0"/>
    <n v="0"/>
    <n v="0"/>
    <n v="0"/>
    <n v="0"/>
    <n v="0"/>
    <n v="0"/>
    <n v="0"/>
    <n v="0"/>
    <n v="0"/>
    <n v="0"/>
    <n v="0"/>
    <m/>
    <n v="93011165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LLON"/>
    <m/>
    <m/>
    <m/>
    <m/>
    <m/>
    <m/>
    <m/>
    <n v="5919003470"/>
    <n v="455595696"/>
    <m/>
    <n v="2527260225.3333359"/>
    <n v="1555215748"/>
    <n v="972044477.33333588"/>
    <n v="0"/>
    <n v="0"/>
    <n v="0"/>
    <n v="0"/>
    <n v="0"/>
    <n v="56330783"/>
    <n v="549542009"/>
    <n v="56686371"/>
    <n v="232603680"/>
    <n v="514561129"/>
    <n v="0"/>
    <n v="145491776"/>
    <m/>
    <n v="2936147548.666664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7"/>
    <n v="27"/>
    <s v="LIBRE"/>
    <s v="EJECUCION"/>
    <n v="30133125"/>
    <m/>
    <e v="#N/A"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s v="EDUCACIÓN Y CULTURA"/>
    <s v="RURAL"/>
    <s v="SOCIAL"/>
    <x v="3"/>
    <x v="27"/>
    <n v="27"/>
    <s v="LIBRE"/>
    <s v="EJECUCION"/>
    <n v="30185572"/>
    <m/>
    <s v="HARRY FRANKLIN  MONSALVE FUENTES"/>
    <s v="30185572EJECUCION"/>
    <m/>
    <s v="REPOSICION ESCUELA BASICA LLIUCO "/>
    <s v="* CERT. CORE 360 24.10.19 AUMENTO PPTO"/>
    <m/>
    <m/>
    <m/>
    <m/>
    <m/>
    <m/>
    <n v="253257867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-11253160"/>
    <s v="RS"/>
    <s v="RS"/>
    <s v="En Ejecución "/>
  </r>
  <r>
    <n v="31"/>
    <s v="A"/>
    <s v="SALUD"/>
    <s v="RURAL"/>
    <s v="SOCIAL"/>
    <x v="3"/>
    <x v="27"/>
    <n v="27"/>
    <s v="LIBRE"/>
    <s v="EJECUCION"/>
    <n v="30071585"/>
    <s v="SALUD"/>
    <s v="HARRY FRANKLIN  MONSALVE FUENTES"/>
    <s v="30071585EJECUCION"/>
    <m/>
    <s v="REPOSICION POSTA DE SALUD ISLA TAC"/>
    <m/>
    <m/>
    <m/>
    <m/>
    <m/>
    <m/>
    <m/>
    <n v="511435000"/>
    <n v="462800000"/>
    <m/>
    <n v="48635000"/>
    <n v="7200000"/>
    <n v="41435000"/>
    <n v="0"/>
    <n v="0"/>
    <n v="0"/>
    <n v="0"/>
    <n v="0"/>
    <n v="0"/>
    <n v="0"/>
    <n v="0"/>
    <n v="1800000"/>
    <n v="1800000"/>
    <n v="1800000"/>
    <n v="1800000"/>
    <m/>
    <n v="0"/>
    <s v="RS"/>
    <s v="RS"/>
    <s v="En Ejecución "/>
  </r>
  <r>
    <n v="24"/>
    <s v="N"/>
    <s v="ENERGIA"/>
    <s v="RURAL"/>
    <s v="ENERGIA"/>
    <x v="3"/>
    <x v="27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30902754"/>
    <n v="0"/>
    <m/>
    <n v="30902754"/>
    <n v="30902754"/>
    <n v="0"/>
    <m/>
    <m/>
    <m/>
    <m/>
    <m/>
    <n v="0"/>
    <n v="0"/>
    <n v="0"/>
    <n v="30902754"/>
    <m/>
    <m/>
    <m/>
    <m/>
    <n v="0"/>
    <s v="RS***"/>
    <s v="SS.EE"/>
    <s v="En Ejecución "/>
  </r>
  <r>
    <n v="33"/>
    <s v="A"/>
    <s v="MULTISECTORIAL"/>
    <s v="URBANO"/>
    <s v="SOCIAL"/>
    <x v="3"/>
    <x v="27"/>
    <n v="2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3"/>
    <x v="27"/>
    <n v="27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73907590"/>
    <n v="26092410"/>
    <n v="0"/>
    <n v="0"/>
    <n v="0"/>
    <n v="0"/>
    <n v="0"/>
    <n v="0"/>
    <n v="42994468"/>
    <n v="0"/>
    <n v="37282583"/>
    <n v="0"/>
    <n v="93630539"/>
    <n v="0"/>
    <m/>
    <n v="0"/>
    <s v="RS**"/>
    <s v="FRIL"/>
    <s v="En Ejecución "/>
  </r>
  <r>
    <n v="31"/>
    <s v="A"/>
    <s v="TRANSPORTE Y VIVIENDA"/>
    <s v="RURAL"/>
    <s v="CONECTIVIDAD"/>
    <x v="3"/>
    <x v="27"/>
    <n v="27"/>
    <s v="LIBRE"/>
    <s v="LIBRE"/>
    <n v="30430173"/>
    <m/>
    <s v="FRANCISCA MONTECINO  OPAZO"/>
    <s v="30430173LIBRE"/>
    <m/>
    <s v="CONSERVACION CAMINOS ISLA BUTACHAUQUES (C33)"/>
    <m/>
    <m/>
    <m/>
    <m/>
    <m/>
    <m/>
    <m/>
    <n v="547411000"/>
    <n v="253005532"/>
    <m/>
    <n v="125777486"/>
    <n v="0"/>
    <n v="125777486"/>
    <n v="0"/>
    <n v="0"/>
    <n v="0"/>
    <n v="0"/>
    <n v="0"/>
    <n v="0"/>
    <n v="0"/>
    <n v="0"/>
    <n v="0"/>
    <n v="0"/>
    <n v="0"/>
    <n v="0"/>
    <m/>
    <n v="168627982"/>
    <s v="RS*"/>
    <s v="C33"/>
    <s v="En Ejecución "/>
  </r>
  <r>
    <n v="31"/>
    <s v="A"/>
    <s v="TRANSPORTE Y VIVIENDA"/>
    <s v="RURAL"/>
    <s v="CONECTIVIDAD"/>
    <x v="3"/>
    <x v="27"/>
    <n v="27"/>
    <s v="FAR"/>
    <s v="EJECUCION"/>
    <n v="30396026"/>
    <m/>
    <s v="FRANCISCA MONTECINO  OPAZO"/>
    <s v="30396026EJECUCION"/>
    <m/>
    <s v="CONSERVACION CAMINOS RURALES SECTOR SUR (C33)"/>
    <m/>
    <m/>
    <m/>
    <m/>
    <m/>
    <m/>
    <m/>
    <n v="477979805"/>
    <n v="358482829"/>
    <m/>
    <n v="20000000"/>
    <n v="0"/>
    <n v="20000000"/>
    <n v="0"/>
    <n v="0"/>
    <n v="0"/>
    <n v="0"/>
    <n v="0"/>
    <n v="0"/>
    <n v="0"/>
    <n v="0"/>
    <n v="0"/>
    <n v="0"/>
    <n v="0"/>
    <n v="0"/>
    <m/>
    <n v="99496976"/>
    <s v="RS*"/>
    <s v="C33"/>
    <s v="En Liquidación"/>
  </r>
  <r>
    <n v="31"/>
    <s v="N"/>
    <s v="ENERGIA"/>
    <s v="RURAL"/>
    <s v="SOCIAL"/>
    <x v="3"/>
    <x v="27"/>
    <n v="27"/>
    <s v="ENERGIZACION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n v="31"/>
    <s v="A"/>
    <s v="TRANSPORTE Y VIVIENDA"/>
    <s v="RURAL"/>
    <s v="CONECTIVIDAD"/>
    <x v="3"/>
    <x v="27"/>
    <n v="27"/>
    <s v="PIR"/>
    <s v="EJECUCION"/>
    <n v="40005537"/>
    <m/>
    <s v="HARRY FRANKLIN  MONSALVE FUENTES"/>
    <s v="40005537EJECUCION"/>
    <s v="4195-125-LR19"/>
    <s v="CONSERVACION CAMINOS ISLA MECHUQUE (C33)"/>
    <m/>
    <m/>
    <m/>
    <m/>
    <m/>
    <m/>
    <m/>
    <n v="499000000"/>
    <n v="0"/>
    <m/>
    <n v="412719428"/>
    <n v="392779775"/>
    <n v="19939653"/>
    <n v="0"/>
    <n v="0"/>
    <n v="0"/>
    <n v="0"/>
    <n v="0"/>
    <n v="77078235"/>
    <n v="65891194"/>
    <n v="249810346"/>
    <n v="0"/>
    <n v="0"/>
    <n v="0"/>
    <n v="0"/>
    <m/>
    <n v="86280572"/>
    <s v="RS*"/>
    <s v="C33"/>
    <s v="En Ejecución "/>
  </r>
  <r>
    <n v="29"/>
    <s v="N"/>
    <s v="TRANSPORTE Y VIVIENDA"/>
    <s v="RURAL"/>
    <s v="CONECTIVIDAD"/>
    <x v="3"/>
    <x v="27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s v="MULTISECTORIAL"/>
    <s v="RURAL"/>
    <s v="SOCIAL"/>
    <x v="3"/>
    <x v="27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s v="MULTISECTORIAL"/>
    <s v="RURAL"/>
    <s v="SOCIAL"/>
    <x v="3"/>
    <x v="27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6704011006"/>
    <n v="5161415680"/>
    <m/>
    <n v="1199442956"/>
    <n v="866198407"/>
    <n v="333244549"/>
    <n v="0"/>
    <n v="0"/>
    <n v="0"/>
    <n v="0"/>
    <n v="0"/>
    <n v="136210395"/>
    <n v="118253646"/>
    <n v="249810346"/>
    <n v="69985337"/>
    <n v="21051318"/>
    <n v="97180539"/>
    <n v="173706826"/>
    <m/>
    <n v="34315237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3"/>
    <x v="27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25024700"/>
    <n v="0"/>
    <n v="25024700"/>
    <n v="0"/>
    <n v="0"/>
    <n v="0"/>
    <n v="0"/>
    <n v="0"/>
    <n v="0"/>
    <n v="0"/>
    <n v="0"/>
    <n v="0"/>
    <n v="0"/>
    <n v="0"/>
    <n v="0"/>
    <m/>
    <n v="475469300"/>
    <s v="RS"/>
    <s v="RS"/>
    <s v="Convenio en Confección"/>
  </r>
  <r>
    <n v="29"/>
    <s v="N"/>
    <s v="MULTISECTORIAL"/>
    <s v="URBANO"/>
    <s v="SOCIAL"/>
    <x v="3"/>
    <x v="27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16000000"/>
    <n v="0"/>
    <n v="16000000"/>
    <n v="0"/>
    <n v="0"/>
    <n v="0"/>
    <n v="0"/>
    <n v="0"/>
    <n v="0"/>
    <n v="0"/>
    <n v="0"/>
    <n v="0"/>
    <n v="0"/>
    <n v="0"/>
    <n v="0"/>
    <m/>
    <n v="275193000"/>
    <s v="RS*"/>
    <s v="C33"/>
    <s v="Res. En Toma de Razon CGR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791687000"/>
    <n v="0"/>
    <m/>
    <n v="41024700"/>
    <n v="0"/>
    <n v="41024700"/>
    <n v="0"/>
    <n v="0"/>
    <n v="0"/>
    <n v="0"/>
    <n v="0"/>
    <n v="0"/>
    <n v="0"/>
    <n v="0"/>
    <n v="0"/>
    <n v="0"/>
    <n v="0"/>
    <n v="0"/>
    <m/>
    <n v="7506623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EMCHI"/>
    <m/>
    <m/>
    <m/>
    <m/>
    <m/>
    <m/>
    <m/>
    <n v="7495698006"/>
    <n v="5161415680"/>
    <m/>
    <n v="1240467656"/>
    <n v="866198407"/>
    <n v="374269249"/>
    <n v="0"/>
    <n v="0"/>
    <n v="0"/>
    <n v="0"/>
    <n v="0"/>
    <n v="136210395"/>
    <n v="118253646"/>
    <n v="249810346"/>
    <n v="69985337"/>
    <n v="21051318"/>
    <n v="97180539"/>
    <n v="173706826"/>
    <m/>
    <n v="109381467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MULTISECTORIAL"/>
    <s v="URBANO"/>
    <s v="SOCIAL"/>
    <x v="3"/>
    <x v="28"/>
    <n v="28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24"/>
    <s v="N"/>
    <s v="ENERGIA"/>
    <s v="RURAL"/>
    <s v="ENERGIA"/>
    <x v="3"/>
    <x v="28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46663393"/>
    <n v="0"/>
    <m/>
    <n v="46663393"/>
    <n v="46663393"/>
    <n v="0"/>
    <m/>
    <m/>
    <m/>
    <m/>
    <m/>
    <n v="0"/>
    <n v="0"/>
    <n v="0"/>
    <n v="46663393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50103316"/>
    <n v="0"/>
    <m/>
    <n v="50103316"/>
    <n v="50103316"/>
    <n v="0"/>
    <m/>
    <m/>
    <m/>
    <m/>
    <m/>
    <n v="0"/>
    <n v="0"/>
    <n v="0"/>
    <n v="5010331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36539607"/>
    <n v="0"/>
    <m/>
    <n v="36539607"/>
    <n v="36539607"/>
    <n v="0"/>
    <m/>
    <m/>
    <m/>
    <m/>
    <m/>
    <n v="0"/>
    <n v="0"/>
    <n v="0"/>
    <n v="36539607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61906970"/>
    <n v="0"/>
    <m/>
    <n v="61906970"/>
    <n v="61906970"/>
    <n v="0"/>
    <m/>
    <m/>
    <m/>
    <m/>
    <m/>
    <n v="0"/>
    <n v="0"/>
    <n v="0"/>
    <n v="61906970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24887236"/>
    <n v="0"/>
    <m/>
    <n v="24887236"/>
    <n v="24887236"/>
    <n v="0"/>
    <m/>
    <m/>
    <m/>
    <m/>
    <m/>
    <n v="0"/>
    <n v="0"/>
    <n v="0"/>
    <n v="2488723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38986366"/>
    <n v="0"/>
    <m/>
    <n v="38986366"/>
    <n v="38986366"/>
    <n v="0"/>
    <m/>
    <m/>
    <m/>
    <m/>
    <m/>
    <n v="0"/>
    <n v="0"/>
    <n v="0"/>
    <n v="38986366"/>
    <m/>
    <m/>
    <m/>
    <m/>
    <n v="0"/>
    <s v="RS***"/>
    <s v="SS.EE"/>
    <s v="En Ejecución "/>
  </r>
  <r>
    <n v="24"/>
    <s v="N"/>
    <s v="ENERGIA"/>
    <s v="RURAL"/>
    <s v="ENERGIA"/>
    <x v="3"/>
    <x v="28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69316181"/>
    <n v="0"/>
    <m/>
    <n v="69316181"/>
    <n v="69316181"/>
    <n v="0"/>
    <m/>
    <m/>
    <m/>
    <m/>
    <m/>
    <n v="0"/>
    <n v="0"/>
    <n v="0"/>
    <n v="69316181"/>
    <m/>
    <m/>
    <m/>
    <m/>
    <n v="0"/>
    <s v="RS***"/>
    <s v="SS.EE"/>
    <s v="En Ejecución "/>
  </r>
  <r>
    <n v="31"/>
    <s v="N"/>
    <s v="SALUD"/>
    <s v="RURAL"/>
    <s v="SOCIAL"/>
    <x v="3"/>
    <x v="28"/>
    <n v="28"/>
    <s v="LIBRE"/>
    <s v="EJECUCION"/>
    <n v="40013068"/>
    <s v="SALUD"/>
    <s v="HARRY FRANKLIN  MONSALVE FUENTES"/>
    <s v="40013068EJECUCION"/>
    <s v="507428-29-LR20"/>
    <s v="* REPOSICION POSTA DE SALUD RURAL VILLA CHAULINEC"/>
    <s v="* CERT. CORE 423 12.19 - AUMENTA PPTO FNDR 2020 / * CERT. CORE 97 03.2020 - ACTUALIZA PPTO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  <s v="RS"/>
    <s v="En Ejecución "/>
  </r>
  <r>
    <n v="33"/>
    <s v="A"/>
    <s v="MULTISECTORIAL"/>
    <s v="URBANO"/>
    <s v="SOCIAL"/>
    <x v="3"/>
    <x v="28"/>
    <n v="28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3052903"/>
    <n v="186947097"/>
    <n v="0"/>
    <n v="0"/>
    <n v="0"/>
    <n v="0"/>
    <n v="0"/>
    <n v="0"/>
    <n v="0"/>
    <n v="0"/>
    <n v="13052903"/>
    <n v="0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245745069"/>
    <n v="0"/>
    <m/>
    <n v="749403069"/>
    <n v="342185972"/>
    <n v="407217097"/>
    <n v="0"/>
    <n v="0"/>
    <n v="0"/>
    <n v="0"/>
    <n v="0"/>
    <n v="730000"/>
    <n v="0"/>
    <n v="0"/>
    <n v="341455972"/>
    <n v="0"/>
    <n v="0"/>
    <n v="0"/>
    <m/>
    <n v="49634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SOCIAL"/>
    <x v="3"/>
    <x v="28"/>
    <n v="28"/>
    <s v="LIBRE"/>
    <s v="EJECUCION"/>
    <n v="40008054"/>
    <m/>
    <e v="#N/A"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367393000"/>
    <n v="0"/>
    <n v="367393000"/>
    <n v="0"/>
    <n v="0"/>
    <n v="0"/>
    <n v="0"/>
    <n v="0"/>
    <n v="0"/>
    <n v="0"/>
    <n v="0"/>
    <n v="0"/>
    <n v="0"/>
    <n v="0"/>
    <n v="0"/>
    <m/>
    <n v="0"/>
    <s v="RS*"/>
    <s v="C33"/>
    <s v="Licitación Desierta"/>
  </r>
  <r>
    <n v="31"/>
    <s v="N"/>
    <s v="TRANSPORTE Y VIVIENDA"/>
    <s v="RURAL"/>
    <s v="SOCIAL"/>
    <x v="3"/>
    <x v="28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57750000"/>
    <n v="0"/>
    <n v="57750000"/>
    <n v="0"/>
    <n v="0"/>
    <n v="0"/>
    <n v="0"/>
    <n v="0"/>
    <n v="0"/>
    <n v="0"/>
    <n v="0"/>
    <n v="0"/>
    <n v="0"/>
    <n v="0"/>
    <n v="0"/>
    <m/>
    <n v="9725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522393000"/>
    <n v="0"/>
    <m/>
    <n v="425143000"/>
    <n v="0"/>
    <n v="425143000"/>
    <n v="0"/>
    <n v="0"/>
    <n v="0"/>
    <n v="0"/>
    <n v="0"/>
    <n v="0"/>
    <n v="0"/>
    <n v="0"/>
    <n v="0"/>
    <n v="0"/>
    <n v="0"/>
    <n v="0"/>
    <m/>
    <n v="9725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QUINCHAO"/>
    <m/>
    <m/>
    <m/>
    <m/>
    <m/>
    <m/>
    <m/>
    <n v="1768138069"/>
    <n v="0"/>
    <m/>
    <n v="1174546069"/>
    <n v="342185972"/>
    <n v="832360097"/>
    <n v="0"/>
    <n v="0"/>
    <n v="0"/>
    <n v="0"/>
    <n v="0"/>
    <n v="730000"/>
    <n v="0"/>
    <n v="0"/>
    <n v="341455972"/>
    <n v="0"/>
    <n v="0"/>
    <n v="0"/>
    <m/>
    <n v="593592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x v="29"/>
    <n v="29"/>
    <s v="LIBRE"/>
    <s v="EJECUCION"/>
    <n v="30381175"/>
    <s v="G"/>
    <s v="FRANCISCA MONTECINO  OPAZO"/>
    <s v="30381175EJECUCION"/>
    <m/>
    <s v="CONSTRUCCION COMPLEJO DEPORTIVO CANCHA RAYADA"/>
    <m/>
    <m/>
    <m/>
    <m/>
    <m/>
    <m/>
    <m/>
    <n v="1528367000"/>
    <n v="14300000"/>
    <m/>
    <n v="671631232"/>
    <n v="410631349"/>
    <n v="260999883"/>
    <n v="0"/>
    <n v="0"/>
    <n v="0"/>
    <n v="0"/>
    <n v="0"/>
    <n v="45446317"/>
    <n v="45817668"/>
    <n v="24957958"/>
    <n v="27417645"/>
    <n v="45829560"/>
    <n v="72569248"/>
    <n v="148592953"/>
    <m/>
    <n v="842435768"/>
    <s v="RS"/>
    <s v="RS"/>
    <s v="En Ejecución "/>
  </r>
  <r>
    <n v="31"/>
    <s v="A"/>
    <s v="SALUD"/>
    <s v="RURAL"/>
    <s v="SOCIAL"/>
    <x v="3"/>
    <x v="29"/>
    <n v="29"/>
    <s v="LIBRE"/>
    <s v="EJECUCION"/>
    <n v="30083335"/>
    <s v="SALUD"/>
    <e v="#N/A"/>
    <s v="30083335EJECUCION"/>
    <m/>
    <s v="NORMALIZACION HOSPITAL DE QUELLON, PROVINCIA DE CHILOE"/>
    <m/>
    <m/>
    <m/>
    <m/>
    <m/>
    <m/>
    <m/>
    <n v="2016128000"/>
    <n v="82700000"/>
    <m/>
    <n v="261646057"/>
    <n v="0"/>
    <n v="261646057"/>
    <n v="0"/>
    <n v="0"/>
    <n v="0"/>
    <n v="0"/>
    <n v="0"/>
    <n v="0"/>
    <n v="0"/>
    <n v="0"/>
    <n v="0"/>
    <n v="0"/>
    <n v="0"/>
    <n v="0"/>
    <m/>
    <n v="1671781943"/>
    <s v="RS"/>
    <s v="RS"/>
    <s v="En Ejecución "/>
  </r>
  <r>
    <n v="31"/>
    <s v="A"/>
    <s v="EDUCACIÓN Y CULTURA"/>
    <s v="RURAL"/>
    <s v="SOCIAL"/>
    <x v="3"/>
    <x v="29"/>
    <n v="29"/>
    <s v="FAR"/>
    <s v="EJECUCION"/>
    <n v="30135059"/>
    <s v="G"/>
    <s v="FRANCISCA MONTECINO  OPAZO"/>
    <s v="30135059EJECUCION"/>
    <m/>
    <s v="CONSTRUCCION SEDE UNIVERSITARIA PARA LA PROVINCIA DE CHILOE"/>
    <m/>
    <m/>
    <m/>
    <m/>
    <m/>
    <m/>
    <m/>
    <n v="6569829292"/>
    <n v="4873756899"/>
    <m/>
    <n v="1126678665"/>
    <n v="1126678665"/>
    <n v="0"/>
    <n v="0"/>
    <n v="0"/>
    <n v="0"/>
    <n v="0"/>
    <n v="0"/>
    <n v="0"/>
    <n v="0"/>
    <n v="2905983"/>
    <n v="2352414"/>
    <n v="2629199"/>
    <n v="643170742"/>
    <n v="475620327"/>
    <m/>
    <n v="569393728"/>
    <s v="RS"/>
    <s v="RS"/>
    <s v="En Ejecución "/>
  </r>
  <r>
    <n v="31"/>
    <s v="A"/>
    <s v="TRANSPORTE Y VIVIENDA"/>
    <s v="RURAL"/>
    <s v="CONECTIVIDAD"/>
    <x v="3"/>
    <x v="29"/>
    <n v="29"/>
    <s v="FAR"/>
    <s v="EJECUCION"/>
    <n v="30453827"/>
    <m/>
    <e v="#N/A"/>
    <s v="30453827EJECUCION"/>
    <m/>
    <s v="CONSERVACION CAMINOS VECINALES POR GLOSA , ETAPA I PROVINCIA DE CHILOE (C33)"/>
    <m/>
    <m/>
    <m/>
    <m/>
    <m/>
    <m/>
    <m/>
    <n v="1298249800"/>
    <n v="418964479"/>
    <m/>
    <n v="573414698"/>
    <n v="374267567"/>
    <n v="199147131"/>
    <n v="0"/>
    <n v="0"/>
    <n v="0"/>
    <n v="0"/>
    <n v="0"/>
    <n v="0"/>
    <n v="0"/>
    <n v="0"/>
    <n v="0"/>
    <n v="131459259"/>
    <n v="52058476"/>
    <n v="190749832"/>
    <m/>
    <n v="305870623"/>
    <s v="RS*"/>
    <s v="C33"/>
    <s v="En Ejecución "/>
  </r>
  <r>
    <n v="29"/>
    <s v="N"/>
    <s v="SALUD"/>
    <s v="URBANO"/>
    <s v="SOCIAL"/>
    <x v="3"/>
    <x v="29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m/>
    <m/>
    <m/>
    <m/>
    <m/>
    <n v="165886000"/>
    <n v="0"/>
    <n v="0"/>
    <n v="0"/>
    <m/>
    <m/>
    <m/>
    <m/>
    <n v="0"/>
    <s v="RS*"/>
    <s v="C33"/>
    <s v="Terminada"/>
  </r>
  <r>
    <n v="31"/>
    <s v="N"/>
    <s v="SALUD"/>
    <s v="RURAL"/>
    <s v="SOCIAL"/>
    <x v="3"/>
    <x v="29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756918608"/>
    <n v="5568179894"/>
    <m/>
    <n v="2799256652"/>
    <n v="2077463581"/>
    <n v="721793071"/>
    <n v="0"/>
    <n v="0"/>
    <n v="0"/>
    <n v="0"/>
    <n v="0"/>
    <n v="211332317"/>
    <n v="45817668"/>
    <n v="27863941"/>
    <n v="29770059"/>
    <n v="179918018"/>
    <n v="767798466"/>
    <n v="814963112"/>
    <m/>
    <n v="338948206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x v="29"/>
    <n v="29"/>
    <s v="LIBRE"/>
    <s v="EJECUCION"/>
    <n v="30083300"/>
    <s v="SALUD"/>
    <s v="HARRY FRANKLIN  MONSALVE FUENTES"/>
    <s v="30083300EJECUCION"/>
    <s v="1896-3-O120"/>
    <s v="NORMALIZACION HOSPITAL DE ANCUD"/>
    <m/>
    <m/>
    <m/>
    <m/>
    <m/>
    <m/>
    <m/>
    <n v="4454843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3831198301"/>
    <s v="RS"/>
    <s v="RS"/>
    <s v="En Licitación (15.07.20)"/>
  </r>
  <r>
    <n v="29"/>
    <s v="N"/>
    <s v="SALUD"/>
    <s v="URBANO"/>
    <s v="SOCIAL"/>
    <x v="3"/>
    <x v="29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m/>
    <m/>
    <m/>
    <m/>
    <m/>
    <n v="0"/>
    <n v="0"/>
    <n v="0"/>
    <n v="0"/>
    <m/>
    <m/>
    <m/>
    <m/>
    <n v="487104000"/>
    <s v="RS*"/>
    <s v="C33"/>
    <s v="En Licita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4941947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431830230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 PROVINCIALES"/>
    <m/>
    <m/>
    <m/>
    <m/>
    <m/>
    <m/>
    <m/>
    <n v="16698865608"/>
    <n v="5568179894"/>
    <m/>
    <n v="3422901351"/>
    <n v="2077463581"/>
    <n v="1345437770"/>
    <n v="0"/>
    <n v="0"/>
    <n v="0"/>
    <n v="0"/>
    <n v="0"/>
    <n v="211332317"/>
    <n v="45817668"/>
    <n v="27863941"/>
    <n v="29770059"/>
    <n v="179918018"/>
    <n v="767798466"/>
    <n v="814963112"/>
    <m/>
    <n v="7707784363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CHILOE"/>
    <m/>
    <m/>
    <m/>
    <m/>
    <m/>
    <m/>
    <m/>
    <n v="64335175440"/>
    <n v="20510004027"/>
    <m/>
    <n v="19920486762.333336"/>
    <n v="9483088978"/>
    <n v="10437397784.333336"/>
    <n v="0"/>
    <n v="0"/>
    <n v="0"/>
    <n v="0"/>
    <n v="0"/>
    <n v="905487531"/>
    <n v="1307571406"/>
    <n v="958223572"/>
    <n v="1096816757"/>
    <n v="1260699813"/>
    <n v="1557393927"/>
    <n v="2396895972"/>
    <m/>
    <n v="23904684650.66666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4"/>
    <x v="30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422170000"/>
    <n v="0"/>
    <m/>
    <n v="422170000"/>
    <n v="90430146"/>
    <n v="331739854"/>
    <n v="0"/>
    <n v="0"/>
    <n v="0"/>
    <n v="0"/>
    <n v="0"/>
    <n v="0"/>
    <n v="33955636"/>
    <n v="32645953"/>
    <n v="0"/>
    <n v="0"/>
    <n v="22052099"/>
    <n v="1776458"/>
    <m/>
    <n v="0"/>
    <s v="RS***"/>
    <s v="SS.EE"/>
    <s v="En Ejecución "/>
  </r>
  <r>
    <n v="24"/>
    <s v="N"/>
    <s v="ENERGIA"/>
    <s v="RURAL"/>
    <s v="ENERGIA"/>
    <x v="4"/>
    <x v="30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03882152"/>
    <n v="0"/>
    <m/>
    <n v="103882152"/>
    <n v="103882152"/>
    <n v="0"/>
    <m/>
    <m/>
    <m/>
    <m/>
    <m/>
    <n v="0"/>
    <n v="0"/>
    <n v="0"/>
    <n v="103882152"/>
    <m/>
    <m/>
    <m/>
    <m/>
    <n v="0"/>
    <s v="RS***"/>
    <s v="SS.EE"/>
    <s v="En Ejecución "/>
  </r>
  <r>
    <n v="31"/>
    <s v="A"/>
    <s v="MULTISECTORIAL"/>
    <s v="URBANO"/>
    <s v="SOCIAL"/>
    <x v="4"/>
    <x v="30"/>
    <n v="30"/>
    <s v="LIBRE"/>
    <s v="DISEÑO"/>
    <n v="30103541"/>
    <s v="V"/>
    <e v="#N/A"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  <s v="RS"/>
    <s v="En Ejecución "/>
  </r>
  <r>
    <n v="33"/>
    <s v="A"/>
    <s v="MULTISECTORIAL"/>
    <s v="URBANO"/>
    <s v="SOCIAL"/>
    <x v="4"/>
    <x v="30"/>
    <n v="3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4"/>
    <x v="30"/>
    <n v="30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57023311"/>
    <n v="42976689"/>
    <n v="0"/>
    <n v="0"/>
    <n v="0"/>
    <n v="0"/>
    <n v="0"/>
    <n v="0"/>
    <n v="0"/>
    <n v="35106063"/>
    <n v="12610419"/>
    <n v="58504051"/>
    <n v="50802778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963859152"/>
    <n v="7407000"/>
    <m/>
    <n v="933632152"/>
    <n v="416235609"/>
    <n v="517396543"/>
    <n v="0"/>
    <n v="0"/>
    <n v="0"/>
    <n v="0"/>
    <n v="0"/>
    <n v="0"/>
    <n v="57555636"/>
    <n v="91352016"/>
    <n v="116492571"/>
    <n v="58504051"/>
    <n v="90554877"/>
    <n v="1776458"/>
    <m/>
    <n v="2282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ALUD"/>
    <x v="4"/>
    <x v="30"/>
    <n v="30"/>
    <s v="PV"/>
    <s v="EJECUCION"/>
    <n v="30060589"/>
    <s v="SALUD"/>
    <e v="#N/A"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974545692"/>
    <n v="0"/>
    <n v="974545692"/>
    <n v="0"/>
    <n v="0"/>
    <n v="0"/>
    <n v="0"/>
    <n v="0"/>
    <n v="0"/>
    <n v="0"/>
    <n v="0"/>
    <n v="0"/>
    <n v="0"/>
    <n v="0"/>
    <n v="0"/>
    <m/>
    <n v="13971247308"/>
    <s v="RS"/>
    <s v="RS"/>
    <s v="En Licitación (20.07.20)"/>
  </r>
  <r>
    <n v="29"/>
    <s v="N"/>
    <s v="MULTISECTORIAL"/>
    <s v="RURAL"/>
    <s v="SOCIAL"/>
    <x v="4"/>
    <x v="30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35285000"/>
    <n v="0"/>
    <n v="435285000"/>
    <n v="0"/>
    <n v="0"/>
    <n v="0"/>
    <n v="0"/>
    <n v="0"/>
    <n v="0"/>
    <n v="0"/>
    <n v="0"/>
    <n v="0"/>
    <n v="0"/>
    <n v="0"/>
    <n v="0"/>
    <m/>
    <n v="0"/>
    <s v="RS*"/>
    <s v="C33"/>
    <s v="En Licitación (22.06.20)"/>
  </r>
  <r>
    <n v="31"/>
    <s v="A"/>
    <s v="TRANSPORTE Y VIVIENDA"/>
    <s v="URBANO"/>
    <s v="CONECTIVIDAD"/>
    <x v="4"/>
    <x v="30"/>
    <n v="30"/>
    <s v="LIBRE"/>
    <s v="PREFACTIBILIDAD"/>
    <n v="30186523"/>
    <s v="V"/>
    <e v="#N/A"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165137773"/>
    <n v="0"/>
    <n v="165137773"/>
    <n v="0"/>
    <n v="0"/>
    <n v="0"/>
    <n v="0"/>
    <n v="0"/>
    <n v="0"/>
    <n v="0"/>
    <n v="0"/>
    <n v="0"/>
    <n v="0"/>
    <n v="0"/>
    <n v="0"/>
    <m/>
    <n v="326264227"/>
    <s v="RS"/>
    <s v="RS"/>
    <s v="Licitación Desierta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5872480000"/>
    <n v="0"/>
    <m/>
    <n v="1574968465"/>
    <n v="0"/>
    <n v="1574968465"/>
    <n v="0"/>
    <n v="0"/>
    <n v="0"/>
    <n v="0"/>
    <n v="0"/>
    <n v="0"/>
    <n v="0"/>
    <n v="0"/>
    <n v="0"/>
    <n v="0"/>
    <n v="0"/>
    <n v="0"/>
    <m/>
    <n v="142975115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CHAITEN"/>
    <m/>
    <m/>
    <m/>
    <m/>
    <m/>
    <m/>
    <m/>
    <n v="16836339152"/>
    <n v="7407000"/>
    <m/>
    <n v="2508600617"/>
    <n v="416235609"/>
    <n v="2092365008"/>
    <n v="0"/>
    <n v="0"/>
    <n v="0"/>
    <n v="0"/>
    <n v="0"/>
    <n v="0"/>
    <n v="57555636"/>
    <n v="91352016"/>
    <n v="116492571"/>
    <n v="58504051"/>
    <n v="90554877"/>
    <n v="1776458"/>
    <m/>
    <n v="143203315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4"/>
    <x v="31"/>
    <n v="31"/>
    <s v="PV"/>
    <s v="EJECUCION"/>
    <n v="30072372"/>
    <s v="V"/>
    <s v="Fabricio Carra Paredes"/>
    <s v="30072372EJECUCION"/>
    <m/>
    <s v="AMPLIACION ESCUELA BASICA  FUTALEUFU PARA EDUCACION MEDIA"/>
    <m/>
    <m/>
    <m/>
    <m/>
    <m/>
    <m/>
    <m/>
    <n v="3944224378"/>
    <n v="3810001601"/>
    <m/>
    <n v="95507000"/>
    <n v="0"/>
    <n v="95507000"/>
    <n v="0"/>
    <n v="0"/>
    <n v="0"/>
    <n v="0"/>
    <n v="0"/>
    <n v="0"/>
    <n v="0"/>
    <n v="0"/>
    <n v="0"/>
    <n v="0"/>
    <n v="0"/>
    <n v="0"/>
    <m/>
    <n v="38715777"/>
    <s v="RS"/>
    <s v="RS"/>
    <s v="En Ejecución "/>
  </r>
  <r>
    <n v="31"/>
    <s v="A"/>
    <s v="TRANSPORTE Y VIVIENDA"/>
    <s v="RURAL"/>
    <s v="CONECTIVIDAD"/>
    <x v="4"/>
    <x v="31"/>
    <n v="31"/>
    <s v="PV"/>
    <s v="EJECUCION"/>
    <n v="30102779"/>
    <s v="V"/>
    <s v="Fabricio Carra Paredes"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164240796"/>
    <n v="16983173"/>
    <n v="147257623"/>
    <n v="0"/>
    <n v="0"/>
    <n v="0"/>
    <n v="0"/>
    <n v="0"/>
    <n v="0"/>
    <n v="0"/>
    <n v="0"/>
    <n v="0"/>
    <n v="0"/>
    <n v="0"/>
    <n v="16983173"/>
    <m/>
    <n v="0"/>
    <s v="RS"/>
    <s v="RS"/>
    <s v="En Ejecución "/>
  </r>
  <r>
    <n v="31"/>
    <s v="A"/>
    <s v="DEPORTE"/>
    <s v="RURAL"/>
    <s v="SOCIAL"/>
    <x v="4"/>
    <x v="31"/>
    <n v="31"/>
    <s v="PV"/>
    <s v="EJECUCION"/>
    <n v="30086361"/>
    <s v="V"/>
    <s v="Fabricio Carra Paredes"/>
    <s v="30086361EJECUCION"/>
    <m/>
    <s v="REPOSICION GIMNASIO MUNICIPAL DE FUTALEUFU"/>
    <m/>
    <m/>
    <m/>
    <m/>
    <m/>
    <m/>
    <m/>
    <n v="3900581000"/>
    <n v="3137883323"/>
    <m/>
    <n v="454656000"/>
    <n v="299734525"/>
    <n v="154921475"/>
    <n v="0"/>
    <n v="0"/>
    <n v="0"/>
    <n v="0"/>
    <n v="0"/>
    <n v="0"/>
    <n v="0"/>
    <n v="0"/>
    <n v="295509359"/>
    <n v="0"/>
    <n v="2112583"/>
    <n v="2112583"/>
    <m/>
    <n v="308041677"/>
    <s v="RS"/>
    <s v="RS"/>
    <s v="En Ejecución "/>
  </r>
  <r>
    <n v="31"/>
    <s v="A"/>
    <s v="TRANSPORTE Y VIVIENDA"/>
    <s v="RURAL"/>
    <s v="SOCIAL"/>
    <x v="4"/>
    <x v="31"/>
    <n v="31"/>
    <s v="LIBRE"/>
    <s v="DISEÑO"/>
    <n v="30352430"/>
    <s v="V"/>
    <s v="Fabricio Carra Paredes"/>
    <s v="30352430DISEÑO"/>
    <m/>
    <s v="CONSTRUCCION PARQUE MUNICIPAL DE FUTALEUFU"/>
    <m/>
    <m/>
    <m/>
    <m/>
    <m/>
    <m/>
    <m/>
    <n v="118160000"/>
    <n v="48000000"/>
    <m/>
    <n v="70160000"/>
    <n v="26000000"/>
    <n v="44160000"/>
    <n v="0"/>
    <n v="0"/>
    <n v="0"/>
    <n v="0"/>
    <n v="0"/>
    <n v="0"/>
    <n v="0"/>
    <n v="0"/>
    <n v="26000000"/>
    <n v="0"/>
    <n v="0"/>
    <n v="0"/>
    <m/>
    <n v="0"/>
    <s v="RS"/>
    <s v="RS"/>
    <s v="En Ejecución "/>
  </r>
  <r>
    <n v="33"/>
    <s v="A"/>
    <s v="MULTISECTORIAL"/>
    <s v="URBANO"/>
    <s v="SOCIAL"/>
    <x v="4"/>
    <x v="31"/>
    <n v="3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4"/>
    <x v="31"/>
    <n v="31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88878654"/>
    <n v="111121346"/>
    <n v="0"/>
    <n v="0"/>
    <n v="0"/>
    <n v="0"/>
    <n v="0"/>
    <n v="0"/>
    <n v="7460516"/>
    <n v="0"/>
    <n v="29074441"/>
    <n v="52343697"/>
    <n v="0"/>
    <n v="0"/>
    <m/>
    <n v="0"/>
    <s v="RS**"/>
    <s v="FRIL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8966380378"/>
    <n v="7535059128"/>
    <m/>
    <n v="1084563796"/>
    <n v="431596352"/>
    <n v="652967444"/>
    <n v="0"/>
    <n v="0"/>
    <n v="0"/>
    <n v="0"/>
    <n v="0"/>
    <n v="0"/>
    <n v="7460516"/>
    <n v="0"/>
    <n v="350583800"/>
    <n v="52343697"/>
    <n v="2112583"/>
    <n v="19095756"/>
    <m/>
    <n v="34675745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MULTISECTORIAL"/>
    <s v="RURAL"/>
    <s v="SOCIAL"/>
    <x v="4"/>
    <x v="31"/>
    <n v="31"/>
    <s v="LIBRE"/>
    <s v="EJECUCION"/>
    <n v="30341678"/>
    <s v="V"/>
    <e v="#N/A"/>
    <s v="30341678EJECUCION"/>
    <m/>
    <s v="ANALISIS ESTUDIO PLAN REGULADOR COMUNAL DE FUTALEUFU (C33)"/>
    <m/>
    <m/>
    <m/>
    <s v="1022 04,05,20"/>
    <n v="120000000"/>
    <m/>
    <m/>
    <n v="126058000"/>
    <n v="0"/>
    <m/>
    <n v="126058000"/>
    <n v="0"/>
    <n v="126058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n v="29"/>
    <s v="A"/>
    <s v="DEFENSA Y SEGURIDAD"/>
    <s v="URBANO"/>
    <s v="SOCIAL"/>
    <x v="4"/>
    <x v="31"/>
    <n v="31"/>
    <s v="FAR"/>
    <s v="EJECUCION"/>
    <n v="40006627"/>
    <m/>
    <e v="#N/A"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285806507"/>
    <n v="15658020"/>
    <n v="270148487"/>
    <n v="0"/>
    <n v="0"/>
    <n v="0"/>
    <n v="0"/>
    <n v="0"/>
    <n v="0"/>
    <n v="15658020"/>
    <n v="0"/>
    <n v="0"/>
    <n v="0"/>
    <n v="0"/>
    <n v="0"/>
    <m/>
    <n v="0"/>
    <s v="RS*"/>
    <s v="C33"/>
    <s v="Licitación Adjudicada (23.01.20)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411864507"/>
    <n v="0"/>
    <m/>
    <n v="411864507"/>
    <n v="15658020"/>
    <n v="396206487"/>
    <n v="0"/>
    <n v="0"/>
    <n v="0"/>
    <n v="0"/>
    <n v="0"/>
    <n v="0"/>
    <n v="15658020"/>
    <n v="0"/>
    <n v="0"/>
    <n v="0"/>
    <n v="0"/>
    <n v="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FUTALEUFU"/>
    <m/>
    <m/>
    <m/>
    <m/>
    <m/>
    <m/>
    <m/>
    <n v="9378244885"/>
    <n v="7535059128"/>
    <m/>
    <n v="1496428303"/>
    <n v="447254372"/>
    <n v="1049173931"/>
    <n v="0"/>
    <n v="0"/>
    <n v="0"/>
    <n v="0"/>
    <n v="0"/>
    <n v="0"/>
    <n v="23118536"/>
    <n v="0"/>
    <n v="350583800"/>
    <n v="52343697"/>
    <n v="2112583"/>
    <n v="19095756"/>
    <m/>
    <n v="346757454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4"/>
    <x v="32"/>
    <n v="32"/>
    <s v="PV"/>
    <s v="EJECUCION"/>
    <n v="30311722"/>
    <s v="SALUD"/>
    <s v="Fabricio Carra Paredes"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260868687"/>
    <n v="222705009"/>
    <n v="0"/>
    <n v="0"/>
    <n v="0"/>
    <n v="0"/>
    <n v="0"/>
    <n v="110119883"/>
    <n v="0"/>
    <n v="50599291"/>
    <n v="36014549"/>
    <n v="55602939"/>
    <n v="8532025"/>
    <n v="0"/>
    <m/>
    <n v="0"/>
    <s v="RS"/>
    <s v="RS"/>
    <s v="En Ejecución "/>
  </r>
  <r>
    <n v="31"/>
    <s v="A"/>
    <s v="EDUCACIÓN Y CULTURA"/>
    <s v="RURAL"/>
    <s v="SOCIAL"/>
    <x v="4"/>
    <x v="32"/>
    <n v="32"/>
    <s v="LIBRE"/>
    <s v="EJECUCION"/>
    <n v="30277425"/>
    <s v="V"/>
    <s v="Fabricio Carra Paredes"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  <s v="C33"/>
    <s v="En Ejecución "/>
  </r>
  <r>
    <n v="31"/>
    <s v="A"/>
    <s v="TRANSPORTE Y VIVIENDA"/>
    <s v="RURAL"/>
    <s v="CONECTIVIDAD"/>
    <x v="4"/>
    <x v="32"/>
    <n v="32"/>
    <s v="FAR"/>
    <s v="EJECUCION"/>
    <n v="30471092"/>
    <m/>
    <e v="#N/A"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2551048"/>
    <n v="292551048"/>
    <n v="0"/>
    <n v="0"/>
    <n v="0"/>
    <n v="0"/>
    <n v="0"/>
    <n v="0"/>
    <n v="0"/>
    <n v="224567831"/>
    <n v="0"/>
    <n v="0"/>
    <n v="0"/>
    <n v="67983217"/>
    <n v="0"/>
    <m/>
    <n v="12326952"/>
    <s v="RS*"/>
    <s v="C33"/>
    <s v="En Ejecución "/>
  </r>
  <r>
    <n v="33"/>
    <s v="A"/>
    <s v="MULTISECTORIAL"/>
    <s v="URBANO"/>
    <s v="SOCIAL"/>
    <x v="4"/>
    <x v="32"/>
    <n v="3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4"/>
    <x v="32"/>
    <n v="32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60906939"/>
    <n v="39093061"/>
    <n v="0"/>
    <n v="0"/>
    <n v="0"/>
    <n v="0"/>
    <n v="0"/>
    <n v="4685187"/>
    <n v="33276208"/>
    <n v="0"/>
    <n v="69112102"/>
    <n v="0"/>
    <n v="53833442"/>
    <n v="0"/>
    <m/>
    <n v="0"/>
    <s v="RS**"/>
    <s v="FRIL"/>
    <s v="En Ejecución "/>
  </r>
  <r>
    <n v="31"/>
    <s v="A"/>
    <s v="SALUD"/>
    <s v="RURAL"/>
    <s v="SOCIAL"/>
    <x v="4"/>
    <x v="32"/>
    <n v="32"/>
    <s v="LIBRE"/>
    <s v="EJECUCION"/>
    <n v="30455973"/>
    <m/>
    <e v="#N/A"/>
    <s v="30455973EJECUCION"/>
    <m/>
    <s v="CONSTRUCCION 2 CASAS PARA PROFESIONALES CECOSF HUALAIHUE"/>
    <m/>
    <m/>
    <m/>
    <m/>
    <m/>
    <m/>
    <m/>
    <n v="90272885"/>
    <n v="73838905"/>
    <m/>
    <n v="16433980"/>
    <n v="0"/>
    <n v="16433980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563614885"/>
    <n v="444757438"/>
    <m/>
    <n v="1099802147"/>
    <n v="714326674"/>
    <n v="385475473"/>
    <n v="0"/>
    <n v="0"/>
    <n v="0"/>
    <n v="0"/>
    <n v="0"/>
    <n v="114805070"/>
    <n v="257844039"/>
    <n v="50599291"/>
    <n v="105126651"/>
    <n v="55602939"/>
    <n v="130348684"/>
    <n v="0"/>
    <m/>
    <n v="190553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4"/>
    <x v="32"/>
    <n v="32"/>
    <s v="LIBRE"/>
    <s v="DISEÑO"/>
    <n v="30338024"/>
    <s v="V"/>
    <s v="Fabricio Carra Paredes"/>
    <s v="30338024DISEÑO"/>
    <s v="2904-34-LE19"/>
    <s v="CONSTRUCCION SISTEMA AGUA POTABLE PUNTILLA PICHICOL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  <s v="RS"/>
    <s v="Licitación Adjudicada (02.03.20)"/>
  </r>
  <r>
    <n v="31"/>
    <s v="A"/>
    <s v="AGUA POTABLE Y ALCANTARILLADO"/>
    <s v="RURAL"/>
    <s v="AGUA POTABLE"/>
    <x v="4"/>
    <x v="32"/>
    <n v="32"/>
    <s v="LIBRE"/>
    <s v="DISEÑO"/>
    <n v="30338523"/>
    <s v="V"/>
    <e v="#N/A"/>
    <s v="30338523DISEÑO"/>
    <s v="2904-35-LE19"/>
    <s v="CONSTRUCCION SISTEMA AGUA POTABLE CHOLG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  <s v="RS"/>
    <s v="Licitación Adjudicada (02.03.20)"/>
  </r>
  <r>
    <n v="31"/>
    <s v="A"/>
    <s v="AGUA POTABLE Y ALCANTARILLADO"/>
    <s v="RURAL"/>
    <s v="AGUA POTABLE"/>
    <x v="4"/>
    <x v="32"/>
    <n v="32"/>
    <s v="LIBRE"/>
    <s v="EJECUCION"/>
    <n v="30065600"/>
    <s v="V"/>
    <e v="#N/A"/>
    <s v="30065600EJECUCION"/>
    <s v="2904-35-LE19"/>
    <s v="CONSTRUCCION SISTEMA AGUA POTABLE EL MANZANO"/>
    <m/>
    <m/>
    <m/>
    <m/>
    <m/>
    <m/>
    <m/>
    <n v="418598000"/>
    <n v="0"/>
    <m/>
    <n v="184316689"/>
    <n v="0"/>
    <n v="184316689"/>
    <n v="0"/>
    <n v="0"/>
    <n v="0"/>
    <n v="0"/>
    <n v="0"/>
    <n v="0"/>
    <n v="0"/>
    <n v="0"/>
    <n v="0"/>
    <n v="0"/>
    <n v="0"/>
    <n v="0"/>
    <m/>
    <n v="234281311"/>
    <s v="RS"/>
    <s v="RS"/>
    <s v="En Ejecución"/>
  </r>
  <r>
    <n v="29"/>
    <s v="A"/>
    <s v="DEFENSA Y SEGURIDAD"/>
    <s v="RURAL"/>
    <s v="SOCIAL"/>
    <x v="4"/>
    <x v="32"/>
    <n v="32"/>
    <s v="LIBRE"/>
    <s v="EJECUCION"/>
    <n v="30480167"/>
    <m/>
    <e v="#N/A"/>
    <s v="30480167EJECUCION"/>
    <m/>
    <s v="ADQUISICION LANCHA POLICIAL TENENCIA HORNOPIREN, COMUNA HUALAIHUE(C33)"/>
    <m/>
    <m/>
    <m/>
    <m/>
    <m/>
    <m/>
    <m/>
    <n v="237746000"/>
    <n v="0"/>
    <m/>
    <n v="71860000"/>
    <n v="0"/>
    <n v="71860000"/>
    <n v="0"/>
    <n v="0"/>
    <n v="0"/>
    <n v="0"/>
    <n v="0"/>
    <n v="0"/>
    <n v="0"/>
    <n v="0"/>
    <n v="0"/>
    <n v="0"/>
    <n v="0"/>
    <n v="0"/>
    <m/>
    <n v="165886000"/>
    <s v="RS*"/>
    <s v="C33"/>
    <s v="Convenio en Tramite"/>
  </r>
  <r>
    <n v="29"/>
    <s v="A"/>
    <s v="TRANSPORTE Y VIVIENDA"/>
    <s v="RURAL"/>
    <s v="CONECTIVIDAD"/>
    <x v="4"/>
    <x v="32"/>
    <n v="32"/>
    <s v="FAR"/>
    <s v="EJECUCION"/>
    <n v="30471865"/>
    <m/>
    <e v="#N/A"/>
    <s v="30471865EJECUCION"/>
    <m/>
    <s v="ADQUISICION SISTEMA DE ILUMINACION PAD. RIO NEGRO HORNOPIREN(C33)"/>
    <m/>
    <m/>
    <m/>
    <m/>
    <m/>
    <m/>
    <m/>
    <n v="101104000"/>
    <n v="0"/>
    <m/>
    <n v="101104000"/>
    <n v="0"/>
    <n v="101104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29"/>
    <s v="A"/>
    <s v="TRANSPORTE Y VIVIENDA"/>
    <s v="RURAL"/>
    <s v="CONECTIVIDAD"/>
    <x v="4"/>
    <x v="32"/>
    <n v="32"/>
    <s v="FAR"/>
    <s v="EJECUCION"/>
    <n v="30361477"/>
    <m/>
    <e v="#N/A"/>
    <s v="30361477EJECUCION"/>
    <m/>
    <s v="ADQUISICION Y REPOSICION VEHICULOS Y MAQUINARIA CAMINOS VECINALES (C33)"/>
    <m/>
    <m/>
    <m/>
    <m/>
    <m/>
    <m/>
    <m/>
    <n v="397041000"/>
    <n v="0"/>
    <m/>
    <n v="397041000"/>
    <n v="0"/>
    <n v="397041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s v="ENERGIA"/>
    <s v="RURAL"/>
    <s v="SOCIAL"/>
    <x v="4"/>
    <x v="32"/>
    <n v="32"/>
    <s v="ENERGIZACION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462000000"/>
    <n v="0"/>
    <n v="462000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684461000"/>
    <n v="0"/>
    <m/>
    <n v="1274293689"/>
    <n v="0"/>
    <n v="1274293689"/>
    <n v="0"/>
    <n v="0"/>
    <n v="0"/>
    <n v="0"/>
    <n v="0"/>
    <n v="0"/>
    <n v="0"/>
    <n v="0"/>
    <n v="0"/>
    <n v="0"/>
    <n v="0"/>
    <n v="0"/>
    <m/>
    <n v="41016731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HUALAIHUE"/>
    <m/>
    <m/>
    <m/>
    <m/>
    <m/>
    <m/>
    <m/>
    <n v="3248075885"/>
    <n v="444757438"/>
    <m/>
    <n v="2374095836"/>
    <n v="714326674"/>
    <n v="1659769162"/>
    <n v="0"/>
    <n v="0"/>
    <n v="0"/>
    <n v="0"/>
    <n v="0"/>
    <n v="114805070"/>
    <n v="257844039"/>
    <n v="50599291"/>
    <n v="105126651"/>
    <n v="55602939"/>
    <n v="130348684"/>
    <n v="0"/>
    <m/>
    <n v="42922261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4"/>
    <x v="33"/>
    <n v="33"/>
    <s v="LIBRE"/>
    <s v="DISEÑO"/>
    <n v="30116040"/>
    <s v="V"/>
    <e v="#N/A"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s v="MULTISECTORIAL"/>
    <s v="URBANO"/>
    <s v="SOCIAL"/>
    <x v="4"/>
    <x v="33"/>
    <n v="3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s v="MULTISECTORIAL"/>
    <s v="URBANO"/>
    <s v="SOCIAL"/>
    <x v="4"/>
    <x v="33"/>
    <n v="33"/>
    <s v="FRIL"/>
    <s v="EJECUCION"/>
    <s v="FRIL"/>
    <m/>
    <m/>
    <s v="FRILEJECUCION"/>
    <m/>
    <s v="FONDO REGIONAL DE INICIATIVAS LOCAL - ANEXO PAGINA 12"/>
    <m/>
    <m/>
    <m/>
    <m/>
    <m/>
    <m/>
    <m/>
    <n v="200000000"/>
    <n v="0"/>
    <m/>
    <n v="200000000"/>
    <n v="62992534"/>
    <n v="137007466"/>
    <n v="0"/>
    <n v="0"/>
    <n v="0"/>
    <n v="0"/>
    <n v="0"/>
    <n v="0"/>
    <n v="5357276"/>
    <n v="0"/>
    <n v="3380268"/>
    <n v="54254990"/>
    <n v="0"/>
    <n v="0"/>
    <m/>
    <n v="0"/>
    <s v="RS**"/>
    <s v="FRIL"/>
    <s v="En Ejecución "/>
  </r>
  <r>
    <n v="31"/>
    <s v="A"/>
    <s v="DEFENSA Y SEGURIDAD"/>
    <s v="RURAL"/>
    <s v="SOCIAL"/>
    <x v="4"/>
    <x v="33"/>
    <n v="33"/>
    <s v="PV"/>
    <s v="EJECUCION"/>
    <n v="30115295"/>
    <s v="V"/>
    <e v="#N/A"/>
    <s v="30115295EJECUCION"/>
    <m/>
    <s v="REPOSICION Y AMPLIACION CUARTEL 1° COMPAÑIA DE BOMBEROS DE PALENA"/>
    <m/>
    <m/>
    <m/>
    <m/>
    <m/>
    <m/>
    <m/>
    <n v="788374000"/>
    <n v="622243006"/>
    <m/>
    <n v="166130994"/>
    <n v="0"/>
    <n v="166130994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132372000"/>
    <n v="657416086"/>
    <m/>
    <n v="474955914"/>
    <n v="62992534"/>
    <n v="411963380"/>
    <n v="0"/>
    <n v="0"/>
    <n v="0"/>
    <n v="0"/>
    <n v="0"/>
    <n v="0"/>
    <n v="5357276"/>
    <n v="0"/>
    <n v="3380268"/>
    <n v="54254990"/>
    <n v="0"/>
    <n v="0"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TRANSPORTE Y VIVIENDA"/>
    <s v="RURAL"/>
    <s v="SOCIAL"/>
    <x v="4"/>
    <x v="33"/>
    <n v="33"/>
    <s v="LIBRE"/>
    <s v="EJECUCION"/>
    <n v="30474713"/>
    <m/>
    <e v="#N/A"/>
    <s v="30474713EJECUCION"/>
    <s v="2929-102-LQ19"/>
    <s v="ACTUALIZACION PLAN REGULADOR COMUNA DE PALENA (C33)"/>
    <m/>
    <m/>
    <m/>
    <m/>
    <m/>
    <m/>
    <m/>
    <n v="130000000"/>
    <n v="0"/>
    <m/>
    <n v="115000000"/>
    <n v="0"/>
    <n v="115000000"/>
    <n v="0"/>
    <n v="0"/>
    <n v="0"/>
    <n v="0"/>
    <n v="0"/>
    <n v="0"/>
    <n v="0"/>
    <n v="0"/>
    <n v="0"/>
    <n v="0"/>
    <n v="0"/>
    <n v="0"/>
    <m/>
    <n v="15000000"/>
    <s v="RS*"/>
    <s v="C33"/>
    <s v="Licitación Desierta"/>
  </r>
  <r>
    <n v="31"/>
    <s v="A"/>
    <s v="TRANSPORTE Y VIVIENDA"/>
    <s v="RURAL"/>
    <s v="CONECTIVIDAD"/>
    <x v="4"/>
    <x v="33"/>
    <n v="33"/>
    <s v="FAR"/>
    <s v="EJECUCION"/>
    <n v="30487244"/>
    <m/>
    <e v="#N/A"/>
    <s v="30487244EJECUCION"/>
    <s v="2929-119-LP19"/>
    <s v="CONSERVACION VEREDAS CALLES DE PALENA (C33)"/>
    <m/>
    <m/>
    <m/>
    <s v="4097 15,11,19"/>
    <n v="68104000"/>
    <m/>
    <m/>
    <n v="68106000"/>
    <n v="0"/>
    <m/>
    <n v="68106000"/>
    <n v="0"/>
    <n v="68106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31"/>
    <s v="A"/>
    <s v="TRANSPORTE Y VIVIENDA"/>
    <s v="RURAL"/>
    <s v="SOCIAL"/>
    <x v="4"/>
    <x v="33"/>
    <n v="33"/>
    <s v="FAR"/>
    <s v="EJECUCION"/>
    <n v="30135233"/>
    <m/>
    <e v="#N/A"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4814115"/>
    <n v="0"/>
    <n v="494814115"/>
    <n v="0"/>
    <n v="0"/>
    <n v="0"/>
    <n v="0"/>
    <n v="0"/>
    <n v="0"/>
    <n v="0"/>
    <n v="0"/>
    <n v="0"/>
    <n v="0"/>
    <n v="0"/>
    <n v="0"/>
    <m/>
    <n v="1938467885"/>
    <s v="RS"/>
    <s v="RS"/>
    <s v="Licitación Adjudicada"/>
  </r>
  <r>
    <n v="31"/>
    <s v="N"/>
    <s v="TRANSPORTE Y VIVIENDA"/>
    <s v="RURAL"/>
    <s v="SOCIAL"/>
    <x v="4"/>
    <x v="34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  <s v="RS"/>
    <s v="Convenio en Confección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3445388000"/>
    <n v="0"/>
    <m/>
    <n v="677920115"/>
    <n v="0"/>
    <n v="677920115"/>
    <n v="0"/>
    <n v="0"/>
    <n v="0"/>
    <n v="0"/>
    <n v="0"/>
    <n v="0"/>
    <n v="0"/>
    <n v="0"/>
    <n v="0"/>
    <n v="0"/>
    <n v="0"/>
    <n v="0"/>
    <m/>
    <n v="276746788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COMUNA DE  PALENA"/>
    <m/>
    <m/>
    <m/>
    <m/>
    <m/>
    <m/>
    <m/>
    <n v="4577760000"/>
    <n v="657416086"/>
    <m/>
    <n v="1152876029"/>
    <n v="62992534"/>
    <n v="1089883495"/>
    <n v="0"/>
    <n v="0"/>
    <n v="0"/>
    <n v="0"/>
    <n v="0"/>
    <n v="0"/>
    <n v="5357276"/>
    <n v="0"/>
    <n v="3380268"/>
    <n v="54254990"/>
    <n v="0"/>
    <n v="0"/>
    <m/>
    <n v="276746788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4"/>
    <x v="35"/>
    <n v="34"/>
    <s v="PV"/>
    <s v="EJECUCION"/>
    <n v="30342673"/>
    <s v="V"/>
    <s v="Fabricio Carra Paredes"/>
    <s v="30342673EJECUCION"/>
    <m/>
    <s v="CONSTRUCION CAMINO RUTA  W 807 SECTOR PUENTE NEGRO PTE. AQUELLAS"/>
    <m/>
    <m/>
    <m/>
    <m/>
    <m/>
    <m/>
    <m/>
    <n v="9788091000"/>
    <n v="131704474"/>
    <m/>
    <n v="139652045"/>
    <n v="1580902"/>
    <n v="138071143"/>
    <n v="0"/>
    <n v="0"/>
    <n v="0"/>
    <n v="0"/>
    <n v="0"/>
    <n v="1491328"/>
    <n v="0"/>
    <n v="0"/>
    <n v="0"/>
    <n v="0"/>
    <n v="89574"/>
    <n v="0"/>
    <m/>
    <n v="9516734481"/>
    <s v="RS"/>
    <s v="RS"/>
    <s v="En Ejecución "/>
  </r>
  <r>
    <n v="31"/>
    <s v="A"/>
    <s v="TRANSPORTE Y VIVIENDA"/>
    <s v="RURAL"/>
    <s v="CONECTIVIDAD"/>
    <x v="4"/>
    <x v="35"/>
    <n v="34"/>
    <s v="PV"/>
    <s v="EJECUCION"/>
    <n v="30342679"/>
    <s v="V"/>
    <s v="Fabricio Carra Paredes"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3996901413"/>
    <n v="82943000"/>
    <n v="0"/>
    <n v="0"/>
    <n v="0"/>
    <n v="0"/>
    <n v="0"/>
    <n v="0"/>
    <n v="996348803"/>
    <n v="305238896"/>
    <n v="659311844"/>
    <n v="1004277006"/>
    <n v="869201596"/>
    <n v="162523268"/>
    <m/>
    <n v="208240728"/>
    <s v="RS*"/>
    <s v="C33"/>
    <s v="En Ejecución "/>
  </r>
  <r>
    <n v="29"/>
    <s v="N"/>
    <s v="SALUD"/>
    <s v="URBANO"/>
    <s v="SALUD"/>
    <x v="4"/>
    <x v="35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m/>
    <m/>
    <m/>
    <m/>
    <m/>
    <n v="0"/>
    <n v="6378765"/>
    <n v="0"/>
    <n v="0"/>
    <n v="0"/>
    <m/>
    <m/>
    <m/>
    <n v="48318134"/>
    <s v="RS*"/>
    <s v="C33"/>
    <s v="En Ejecución "/>
  </r>
  <r>
    <n v="31"/>
    <s v="A"/>
    <s v="TRANSPORTE Y VIVIENDA"/>
    <s v="RURAL"/>
    <s v="CONECTIVIDAD"/>
    <x v="4"/>
    <x v="35"/>
    <n v="34"/>
    <s v="PV"/>
    <s v="EJECUCION"/>
    <n v="30371674"/>
    <s v="V"/>
    <s v="Fabricio Carra Paredes"/>
    <s v="30371674EJECUCION"/>
    <m/>
    <s v="REPOSICION TERMINAL PORTUARIO DE CHAITEN"/>
    <m/>
    <m/>
    <m/>
    <m/>
    <m/>
    <m/>
    <m/>
    <n v="2400000000"/>
    <n v="557673192"/>
    <m/>
    <n v="717057000"/>
    <n v="419806542"/>
    <n v="297250458"/>
    <n v="0"/>
    <n v="0"/>
    <n v="0"/>
    <n v="0"/>
    <n v="0"/>
    <n v="0"/>
    <n v="0"/>
    <n v="0"/>
    <n v="0"/>
    <n v="0"/>
    <n v="0"/>
    <n v="419806542"/>
    <m/>
    <n v="1125269808"/>
    <s v="RS"/>
    <s v="RS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17684436000"/>
    <n v="1842940626"/>
    <m/>
    <n v="4942932223"/>
    <n v="4424667622"/>
    <n v="518264601"/>
    <n v="0"/>
    <n v="0"/>
    <n v="0"/>
    <n v="0"/>
    <n v="0"/>
    <n v="1491328"/>
    <n v="1002727568"/>
    <n v="305238896"/>
    <n v="659311844"/>
    <n v="1004277006"/>
    <n v="869291170"/>
    <n v="582329810"/>
    <m/>
    <n v="1089856315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4"/>
    <x v="35"/>
    <n v="34"/>
    <s v="LIBRE"/>
    <s v="EJECUCION"/>
    <n v="30398377"/>
    <m/>
    <e v="#N/A"/>
    <s v="30398377EJECUCION"/>
    <m/>
    <s v="ADQUISICION EQUIPOS GPS BIENES NACIONALES PALENA (C33)"/>
    <m/>
    <m/>
    <m/>
    <m/>
    <m/>
    <m/>
    <m/>
    <n v="33689000"/>
    <n v="0"/>
    <m/>
    <n v="33689000"/>
    <n v="0"/>
    <n v="33689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A"/>
    <s v="TRANSPORTE Y VIVIENDA"/>
    <s v="RURAL"/>
    <s v="CONECTIVIDAD"/>
    <x v="4"/>
    <x v="35"/>
    <n v="34"/>
    <s v="PV"/>
    <s v="EJECUCION"/>
    <n v="30384677"/>
    <s v="V"/>
    <e v="#N/A"/>
    <s v="30384677EJECUCION"/>
    <m/>
    <s v="MEJORAMIENTO RUTA 235-CH SECTOR V. S. LUCIA-P. RAMIREZ, PROV. PALENA"/>
    <m/>
    <m/>
    <m/>
    <m/>
    <m/>
    <m/>
    <m/>
    <n v="25923943000"/>
    <n v="0"/>
    <m/>
    <n v="914406005"/>
    <n v="0"/>
    <n v="914406005"/>
    <n v="0"/>
    <n v="0"/>
    <n v="0"/>
    <n v="0"/>
    <n v="0"/>
    <n v="0"/>
    <n v="0"/>
    <n v="0"/>
    <n v="0"/>
    <n v="0"/>
    <n v="0"/>
    <n v="0"/>
    <m/>
    <n v="25009536995"/>
    <s v="RS"/>
    <s v="RS"/>
    <s v="Convenio en Confección"/>
  </r>
  <r>
    <n v="31"/>
    <s v="A"/>
    <s v="TRANSPORTE Y VIVIENDA"/>
    <s v="RURAL"/>
    <s v="CONECTIVIDAD"/>
    <x v="4"/>
    <x v="35"/>
    <n v="34"/>
    <s v="FAR"/>
    <s v="EJECUCION"/>
    <n v="30468388"/>
    <m/>
    <s v="Fabricio Carra Paredes"/>
    <s v="30468388EJECUCION"/>
    <m/>
    <s v="AMPLIACION AREA DE MOVIMIENTO PEQUEÑO AERODROMO ALTO PALENA"/>
    <m/>
    <m/>
    <m/>
    <m/>
    <m/>
    <m/>
    <m/>
    <n v="425541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5541000"/>
    <s v="RS"/>
    <s v="RS"/>
    <s v="Convenio en Tramite"/>
  </r>
  <r>
    <n v="31"/>
    <s v="A"/>
    <s v="TRANSPORTE Y VIVIENDA"/>
    <s v="URBANO"/>
    <s v="CONECTIVIDAD"/>
    <x v="4"/>
    <x v="35"/>
    <n v="34"/>
    <s v="FAR"/>
    <s v="EJECUCION"/>
    <n v="30458729"/>
    <m/>
    <s v="Fabricio Carra Paredes"/>
    <s v="30458729EJECUCION"/>
    <m/>
    <s v="MEJORAMIENTO AREA DE MOVIMIENTO PEQUEÑO AERODROMO AYACARA"/>
    <m/>
    <m/>
    <m/>
    <m/>
    <m/>
    <m/>
    <m/>
    <n v="742950000"/>
    <n v="0"/>
    <m/>
    <n v="742950000"/>
    <n v="0"/>
    <n v="742950000"/>
    <n v="0"/>
    <n v="0"/>
    <n v="0"/>
    <n v="0"/>
    <n v="0"/>
    <n v="0"/>
    <n v="0"/>
    <n v="0"/>
    <n v="0"/>
    <n v="0"/>
    <n v="0"/>
    <n v="0"/>
    <m/>
    <n v="0"/>
    <s v="RS"/>
    <s v="RS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7126123000"/>
    <n v="0"/>
    <m/>
    <n v="1941045005"/>
    <n v="0"/>
    <n v="1941045005"/>
    <n v="0"/>
    <n v="0"/>
    <n v="0"/>
    <n v="0"/>
    <n v="0"/>
    <n v="0"/>
    <n v="0"/>
    <n v="0"/>
    <n v="0"/>
    <n v="0"/>
    <n v="0"/>
    <n v="0"/>
    <m/>
    <n v="2518507799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 PROVINCIALES"/>
    <m/>
    <m/>
    <m/>
    <m/>
    <m/>
    <m/>
    <m/>
    <n v="44810559000"/>
    <n v="1842940626"/>
    <m/>
    <n v="6883977228"/>
    <n v="4424667622"/>
    <n v="2459309606"/>
    <n v="0"/>
    <n v="0"/>
    <n v="0"/>
    <n v="0"/>
    <n v="0"/>
    <n v="1491328"/>
    <n v="1002727568"/>
    <n v="305238896"/>
    <n v="659311844"/>
    <n v="1004277006"/>
    <n v="869291170"/>
    <n v="582329810"/>
    <m/>
    <n v="3608364114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OVINCIA DE PALENA"/>
    <m/>
    <m/>
    <m/>
    <m/>
    <m/>
    <m/>
    <m/>
    <n v="78850978922"/>
    <n v="10487580278"/>
    <m/>
    <n v="14415978013"/>
    <n v="6065476811"/>
    <n v="8350501202"/>
    <n v="0"/>
    <n v="0"/>
    <n v="0"/>
    <n v="0"/>
    <n v="0"/>
    <n v="116296398"/>
    <n v="1346603055"/>
    <n v="447190203"/>
    <n v="1234895134"/>
    <n v="1224982683"/>
    <n v="1092307314"/>
    <n v="603202024"/>
    <m/>
    <n v="53947420631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DEFENSA Y SEGURIDAD"/>
    <s v="URBANO"/>
    <s v="SOCIAL"/>
    <x v="5"/>
    <x v="36"/>
    <n v="35"/>
    <s v="LIBRE"/>
    <s v="EJECUCION"/>
    <n v="30137152"/>
    <m/>
    <s v="PAULINA HUIDOBRO JARAMI"/>
    <s v="30137152EJECUCION"/>
    <m/>
    <s v="EQUIPAMIENTO DE RESCATE Y REPOSICION VEHICULOS PARA GOPE(C33)"/>
    <m/>
    <m/>
    <m/>
    <m/>
    <m/>
    <m/>
    <m/>
    <n v="247558000"/>
    <n v="223324087"/>
    <m/>
    <n v="24233913"/>
    <n v="0"/>
    <n v="24233913"/>
    <n v="0"/>
    <n v="0"/>
    <n v="0"/>
    <n v="0"/>
    <n v="0"/>
    <n v="0"/>
    <n v="0"/>
    <n v="0"/>
    <n v="0"/>
    <n v="0"/>
    <n v="0"/>
    <n v="0"/>
    <m/>
    <n v="0"/>
    <s v="RS*"/>
    <s v="C33"/>
    <s v="En Ejecución "/>
  </r>
  <r>
    <n v="29"/>
    <s v="A"/>
    <s v="RECURSOS NATURALES Y MEDIO AMBIENTE"/>
    <s v="URBANO"/>
    <s v="MEDIO AMBIENTE"/>
    <x v="5"/>
    <x v="36"/>
    <n v="35"/>
    <s v="LIBRE"/>
    <s v="EJECUCION"/>
    <n v="40016016"/>
    <m/>
    <e v="#N/A"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  <s v="C33"/>
    <s v="En Ejecución "/>
  </r>
  <r>
    <n v="29"/>
    <s v="A"/>
    <s v="SALUD"/>
    <s v="URBANO"/>
    <s v="SOCIAL"/>
    <x v="5"/>
    <x v="36"/>
    <n v="35"/>
    <s v="LIBRE"/>
    <s v="EJECUCION"/>
    <n v="30488894"/>
    <m/>
    <s v="KARIN DEL CARMEN BARRIENTOS WINTER"/>
    <s v="30488894EJECUCION"/>
    <m/>
    <s v="ADQUISICION EQUIPOS Y EQUIPAMIENTO PARA HABILITACION PABELLON CMA (C33)"/>
    <m/>
    <m/>
    <m/>
    <m/>
    <m/>
    <m/>
    <m/>
    <n v="1055427000"/>
    <n v="353735369"/>
    <m/>
    <n v="544127399"/>
    <n v="14320520"/>
    <n v="529806879"/>
    <n v="0"/>
    <n v="0"/>
    <n v="0"/>
    <n v="0"/>
    <n v="0"/>
    <n v="0"/>
    <n v="0"/>
    <n v="0"/>
    <n v="0"/>
    <n v="11005120"/>
    <n v="3315400"/>
    <n v="0"/>
    <m/>
    <n v="157564232"/>
    <s v="RS*"/>
    <s v="C33"/>
    <s v="En Ejecución "/>
  </r>
  <r>
    <n v="31"/>
    <s v="A"/>
    <s v="SALUD"/>
    <s v="URBANO"/>
    <s v="SOCIAL"/>
    <x v="5"/>
    <x v="36"/>
    <n v="35"/>
    <s v="LIBRE"/>
    <s v="EJECUCION"/>
    <n v="30364305"/>
    <m/>
    <s v="PAULINA HUIDOBRO JARAMI"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  <s v="RS"/>
    <s v="En Ejecución "/>
  </r>
  <r>
    <n v="31"/>
    <s v="A"/>
    <s v="MULTISECTORIAL"/>
    <s v="URBANO"/>
    <s v="SOCIAL"/>
    <x v="5"/>
    <x v="36"/>
    <n v="35"/>
    <s v="LIBRE"/>
    <s v="EJECUCION"/>
    <n v="30460140"/>
    <m/>
    <s v="PAULINA HUIDOBRO JARAMI"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  <s v="C33"/>
    <s v="En Ejecución "/>
  </r>
  <r>
    <n v="33"/>
    <s v="N"/>
    <s v="TRANSPORTE Y VIVIENDA"/>
    <s v="URBANO"/>
    <s v="CONECTIVIDAD"/>
    <x v="5"/>
    <x v="36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519167000"/>
    <n v="0"/>
    <m/>
    <n v="2519167000"/>
    <n v="588242000"/>
    <n v="1930925000"/>
    <n v="0"/>
    <n v="0"/>
    <n v="0"/>
    <n v="0"/>
    <n v="0"/>
    <n v="0"/>
    <n v="164200000"/>
    <n v="123800000"/>
    <n v="299500000"/>
    <n v="0"/>
    <n v="742000"/>
    <n v="0"/>
    <m/>
    <n v="0"/>
    <s v="RS"/>
    <s v="FAR"/>
    <s v="En Ejecución "/>
  </r>
  <r>
    <n v="33"/>
    <s v="N"/>
    <s v="MULTISECTORIAL"/>
    <s v="URBANO"/>
    <s v="SOCIAL"/>
    <x v="5"/>
    <x v="36"/>
    <n v="35"/>
    <s v="FRIL"/>
    <s v="EJECUCION"/>
    <s v="FRIL"/>
    <m/>
    <m/>
    <s v="FRILEJECUCION"/>
    <m/>
    <s v="FONDO REGIONAL DE INICIATIVAS LOCAL"/>
    <m/>
    <m/>
    <m/>
    <m/>
    <m/>
    <m/>
    <m/>
    <n v="1740827000"/>
    <n v="0"/>
    <m/>
    <n v="1731354938"/>
    <n v="0"/>
    <n v="1731354938"/>
    <m/>
    <m/>
    <m/>
    <m/>
    <m/>
    <n v="0"/>
    <m/>
    <n v="0"/>
    <n v="0"/>
    <n v="0"/>
    <n v="0"/>
    <n v="0"/>
    <m/>
    <n v="9472062"/>
    <s v="RS**"/>
    <s v="FRIL"/>
    <s v="En Ejecución "/>
  </r>
  <r>
    <n v="24"/>
    <s v="N"/>
    <s v="ENERGIA"/>
    <s v="RURAL"/>
    <s v="SOCIAL"/>
    <x v="5"/>
    <x v="36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2574984000"/>
    <n v="0"/>
    <m/>
    <n v="1929760895"/>
    <n v="0"/>
    <n v="1929760895"/>
    <n v="0"/>
    <n v="0"/>
    <n v="0"/>
    <n v="0"/>
    <n v="0"/>
    <n v="0"/>
    <n v="0"/>
    <n v="0"/>
    <n v="0"/>
    <n v="0"/>
    <n v="0"/>
    <n v="0"/>
    <m/>
    <n v="645223105"/>
    <s v="RS***"/>
    <s v="SS.EE"/>
    <s v="En Ejecución "/>
  </r>
  <r>
    <n v="24"/>
    <s v="N"/>
    <s v="ENERGIA"/>
    <s v="RURAL"/>
    <s v="SOCIAL"/>
    <x v="5"/>
    <x v="36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665771000"/>
    <n v="0"/>
    <n v="665771000"/>
    <n v="0"/>
    <n v="0"/>
    <n v="0"/>
    <n v="0"/>
    <n v="0"/>
    <n v="0"/>
    <n v="0"/>
    <n v="0"/>
    <n v="0"/>
    <n v="0"/>
    <n v="0"/>
    <n v="0"/>
    <m/>
    <n v="0"/>
    <s v="RS***"/>
    <s v="SS.EE"/>
    <s v="En Ejecución "/>
  </r>
  <r>
    <n v="24"/>
    <s v="N"/>
    <s v="MULTISECTORIAL"/>
    <s v="RURAL"/>
    <s v="SOCIAL"/>
    <x v="5"/>
    <x v="36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0"/>
    <n v="0"/>
    <n v="0"/>
    <n v="0"/>
    <n v="0"/>
    <n v="0"/>
    <n v="0"/>
    <n v="0"/>
    <n v="0"/>
    <n v="0"/>
    <n v="0"/>
    <n v="0"/>
    <n v="0"/>
    <n v="0"/>
    <n v="0"/>
    <m/>
    <n v="815487000"/>
    <s v="RS***"/>
    <n v="0.06"/>
    <s v="En Ejecución "/>
  </r>
  <r>
    <n v="24"/>
    <s v="N"/>
    <s v="MULTISECTORIAL"/>
    <s v="RURAL"/>
    <s v="SOCIAL"/>
    <x v="5"/>
    <x v="36"/>
    <n v="35"/>
    <s v="LIBRE"/>
    <s v="EJECUCION"/>
    <s v="S/C"/>
    <m/>
    <m/>
    <s v="S/CEJECUCION"/>
    <m/>
    <s v="APLICACION NUMERAL 2.1 GLOSA COMUN PARA GOBIERNOS REGIONALES"/>
    <m/>
    <m/>
    <m/>
    <m/>
    <m/>
    <m/>
    <m/>
    <n v="3962058000"/>
    <n v="0"/>
    <m/>
    <n v="4676274000"/>
    <n v="1271325"/>
    <n v="4675002675"/>
    <n v="0"/>
    <n v="0"/>
    <n v="0"/>
    <n v="0"/>
    <n v="0"/>
    <n v="0"/>
    <n v="0"/>
    <n v="0"/>
    <n v="0"/>
    <n v="0"/>
    <n v="1271325"/>
    <n v="0"/>
    <m/>
    <n v="-714216000"/>
    <s v="RS***"/>
    <n v="0.06"/>
    <s v="En Ejecución 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1468641268"/>
    <n v="5914276781"/>
    <m/>
    <n v="14201571305"/>
    <n v="2683181697"/>
    <n v="11518389608"/>
    <n v="0"/>
    <n v="0"/>
    <n v="0"/>
    <n v="0"/>
    <n v="0"/>
    <n v="126029924"/>
    <n v="288108393"/>
    <n v="563582234"/>
    <n v="501918326"/>
    <n v="309085677"/>
    <n v="436574018"/>
    <n v="457883125"/>
    <m/>
    <n v="135279318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s v="MULTISECTORIAL"/>
    <s v="URBANO"/>
    <s v="SOCIAL"/>
    <x v="5"/>
    <x v="36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"/>
    <m/>
    <m/>
    <m/>
    <m/>
    <m/>
    <m/>
    <n v="201000000"/>
    <n v="0"/>
    <m/>
    <n v="120000000"/>
    <n v="0"/>
    <n v="120000000"/>
    <m/>
    <m/>
    <m/>
    <m/>
    <m/>
    <n v="0"/>
    <n v="0"/>
    <n v="0"/>
    <n v="0"/>
    <n v="0"/>
    <n v="0"/>
    <n v="0"/>
    <m/>
    <n v="81000000"/>
    <s v="RS**"/>
    <m/>
    <s v="Convenio en Tramite"/>
  </r>
  <r>
    <n v="29"/>
    <s v="N"/>
    <s v="DEFENSA Y SEGURIDAD"/>
    <s v="URBANO"/>
    <s v="SOCIAL"/>
    <x v="5"/>
    <x v="36"/>
    <n v="35"/>
    <s v="LIBRE"/>
    <s v="EJECUCION"/>
    <s v="S/C"/>
    <m/>
    <m/>
    <s v="S/CEJECUCION"/>
    <m/>
    <s v="ACUERDO REGIONAL DE SEGURIDAD LOS LAGOS ENTRE GORE-CARABINEROS-PDI 2020-2023"/>
    <s v="* CERT. CORE 34 07.02.20 - APRUEBA INICIATIVA CARGO FNDR"/>
    <m/>
    <m/>
    <m/>
    <m/>
    <m/>
    <m/>
    <n v="8225679730"/>
    <n v="0"/>
    <m/>
    <n v="0"/>
    <n v="0"/>
    <n v="0"/>
    <m/>
    <m/>
    <m/>
    <m/>
    <m/>
    <n v="0"/>
    <n v="0"/>
    <n v="0"/>
    <n v="0"/>
    <m/>
    <n v="0"/>
    <n v="0"/>
    <m/>
    <n v="8225679730"/>
    <s v="RS**"/>
    <s v="ACUERDOS"/>
    <s v="Convenio en Tramite"/>
  </r>
  <r>
    <n v="31"/>
    <s v="N"/>
    <s v="MULTISECTORIAL"/>
    <s v="URBANO"/>
    <s v="CONECTIVIDAD"/>
    <x v="5"/>
    <x v="36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m/>
    <m/>
    <m/>
    <m/>
    <m/>
    <n v="0"/>
    <n v="0"/>
    <n v="0"/>
    <n v="0"/>
    <n v="0"/>
    <m/>
    <m/>
    <m/>
    <n v="5484512000"/>
    <s v="RE"/>
    <s v="RE"/>
    <s v="Convenio en confección"/>
  </r>
  <r>
    <n v="33"/>
    <s v="A"/>
    <s v="SILVOAGROPECUARIO"/>
    <s v="RURAL"/>
    <s v="SOCIAL"/>
    <x v="5"/>
    <x v="36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700000000"/>
    <n v="0"/>
    <n v="700000000"/>
    <n v="0"/>
    <n v="0"/>
    <n v="0"/>
    <n v="0"/>
    <n v="0"/>
    <n v="0"/>
    <n v="0"/>
    <n v="0"/>
    <n v="0"/>
    <n v="0"/>
    <n v="0"/>
    <n v="0"/>
    <m/>
    <n v="1400000000"/>
    <s v="RS**"/>
    <s v="ACUERDOS"/>
    <m/>
  </r>
  <r>
    <n v="29"/>
    <s v="A"/>
    <s v="DEFENSA Y SEGURIDAD"/>
    <s v="URBANO"/>
    <s v="SOCIAL"/>
    <x v="5"/>
    <x v="36"/>
    <n v="35"/>
    <s v="LIBRE"/>
    <s v="EJECUCION"/>
    <n v="40008200"/>
    <m/>
    <e v="#N/A"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4473000"/>
    <n v="0"/>
    <m/>
    <n v="244473000"/>
    <n v="0"/>
    <n v="244473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n v="33"/>
    <s v="N"/>
    <s v="DEFENSA Y SEGURIDAD"/>
    <s v="URBANO"/>
    <s v="SOCIAL"/>
    <x v="5"/>
    <x v="36"/>
    <n v="35"/>
    <s v="LIBRE"/>
    <s v="EJECUCION"/>
    <n v="40016388"/>
    <m/>
    <m/>
    <s v="40016388EJECUCION"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m/>
    <m/>
    <m/>
    <m/>
    <m/>
    <n v="0"/>
    <n v="0"/>
    <n v="0"/>
    <n v="0"/>
    <n v="0"/>
    <n v="0"/>
    <n v="0"/>
    <m/>
    <n v="0"/>
    <s v="RS"/>
    <s v="ACUERDOS"/>
    <s v="En Ejecución"/>
  </r>
  <r>
    <n v="22"/>
    <s v="A"/>
    <s v="MULTISECTORIAL"/>
    <s v="RURAL"/>
    <s v="SOCIAL"/>
    <x v="5"/>
    <x v="36"/>
    <n v="35"/>
    <s v="LIBRE"/>
    <s v="EJECUCION"/>
    <n v="30430874"/>
    <m/>
    <e v="#N/A"/>
    <s v="30430874EJECUCION"/>
    <m/>
    <s v="ACTUALIZACION MODIFICACION Y REESTRUCTURACION DE LA PROPUESTA PROT (C33)"/>
    <m/>
    <m/>
    <m/>
    <m/>
    <m/>
    <m/>
    <m/>
    <n v="413944000"/>
    <n v="0"/>
    <m/>
    <n v="213944000"/>
    <n v="0"/>
    <n v="213944000"/>
    <n v="0"/>
    <n v="0"/>
    <n v="0"/>
    <n v="0"/>
    <n v="0"/>
    <n v="0"/>
    <n v="0"/>
    <n v="0"/>
    <n v="0"/>
    <n v="0"/>
    <n v="0"/>
    <n v="0"/>
    <m/>
    <n v="200000000"/>
    <s v="RS*"/>
    <s v="C33"/>
    <s v="Convenio en Tramite"/>
  </r>
  <r>
    <n v="31"/>
    <s v="N"/>
    <s v="TRANSPORTE Y VIVIENDA"/>
    <s v="RURAL"/>
    <s v="CONECTIVIDAD"/>
    <x v="5"/>
    <x v="36"/>
    <n v="35"/>
    <s v="LIBRE"/>
    <s v="EJECUCION"/>
    <n v="40020262"/>
    <s v="AC. COMPL."/>
    <m/>
    <s v="40020262EJECUCION"/>
    <m/>
    <s v="CONSERVACION DIVERSOS CAMINOS NO ENROLADOS DE LA REGION"/>
    <s v="* CERT. CORE 33 07.02.20 - APRUEBA / CERT. CORE 96 03.2020 APRUEBA CARTERA"/>
    <m/>
    <m/>
    <m/>
    <m/>
    <m/>
    <m/>
    <n v="550000000"/>
    <n v="0"/>
    <m/>
    <n v="104000000"/>
    <n v="0"/>
    <n v="104000000"/>
    <m/>
    <m/>
    <m/>
    <m/>
    <m/>
    <m/>
    <n v="0"/>
    <n v="0"/>
    <n v="0"/>
    <n v="0"/>
    <n v="0"/>
    <n v="0"/>
    <m/>
    <n v="446000000"/>
    <s v="RS*"/>
    <s v="C33"/>
    <s v="Convenio en Tramite"/>
  </r>
  <r>
    <n v="31"/>
    <s v="N"/>
    <s v="TRANSPORTE Y VIVIENDA"/>
    <s v="RURAL"/>
    <s v="CONECTIVIDAD"/>
    <x v="5"/>
    <x v="36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1400000000"/>
    <n v="0"/>
    <n v="1400000000"/>
    <m/>
    <m/>
    <m/>
    <m/>
    <m/>
    <n v="0"/>
    <n v="0"/>
    <n v="0"/>
    <n v="0"/>
    <n v="0"/>
    <n v="0"/>
    <n v="0"/>
    <m/>
    <n v="628090000"/>
    <s v="RS*"/>
    <s v="C33"/>
    <s v="Convenio en Tramite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21547698730"/>
    <n v="0"/>
    <m/>
    <n v="5082417000"/>
    <n v="0"/>
    <n v="5082417000"/>
    <n v="0"/>
    <n v="0"/>
    <n v="0"/>
    <n v="0"/>
    <n v="0"/>
    <n v="0"/>
    <n v="0"/>
    <n v="0"/>
    <n v="0"/>
    <n v="0"/>
    <n v="0"/>
    <n v="0"/>
    <m/>
    <n v="1646528173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REGIONAL"/>
    <m/>
    <m/>
    <m/>
    <m/>
    <m/>
    <m/>
    <m/>
    <n v="43016339998"/>
    <n v="5914276781"/>
    <m/>
    <n v="19283988305"/>
    <n v="2683181697"/>
    <n v="16600806608"/>
    <n v="0"/>
    <n v="0"/>
    <n v="0"/>
    <n v="0"/>
    <n v="0"/>
    <n v="126029924"/>
    <n v="288108393"/>
    <n v="563582234"/>
    <n v="501918326"/>
    <n v="309085677"/>
    <n v="436574018"/>
    <n v="457883125"/>
    <m/>
    <n v="17818074912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SILVOAGROPECUARIO"/>
    <s v="RURAL"/>
    <s v="FOMENTO PRODUCTIVO"/>
    <x v="6"/>
    <x v="37"/>
    <n v="36"/>
    <s v="PV"/>
    <s v="SEREMI DE AGRICULTURA"/>
    <n v="30341175"/>
    <s v="V"/>
    <s v="Luisa Adela  Macias Bahamonde"/>
    <s v="30341175SEREMI DE AGRICULTURA"/>
    <m/>
    <s v="PROGRAMA MEJORAMIENTO GENETICO OVINO/BOVINO TPV"/>
    <m/>
    <m/>
    <n v="622551000"/>
    <m/>
    <n v="600000000"/>
    <m/>
    <m/>
    <n v="600000000"/>
    <n v="256299083"/>
    <m/>
    <n v="341901000"/>
    <n v="40000000"/>
    <n v="301901000"/>
    <n v="0"/>
    <n v="0"/>
    <n v="0"/>
    <n v="0"/>
    <n v="0"/>
    <n v="0"/>
    <n v="0"/>
    <n v="0"/>
    <n v="0"/>
    <n v="40000000"/>
    <n v="0"/>
    <n v="0"/>
    <m/>
    <n v="1799917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59926000"/>
    <m/>
    <n v="74219000"/>
    <m/>
    <m/>
    <n v="74219000"/>
    <m/>
    <m/>
    <m/>
    <m/>
    <m/>
    <m/>
    <m/>
    <m/>
    <m/>
    <m/>
    <m/>
    <m/>
    <m/>
    <m/>
    <m/>
    <m/>
    <m/>
    <m/>
    <n v="74219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537030000"/>
    <m/>
    <n v="494461000"/>
    <m/>
    <m/>
    <n v="494461000"/>
    <m/>
    <m/>
    <m/>
    <m/>
    <m/>
    <m/>
    <m/>
    <m/>
    <m/>
    <m/>
    <m/>
    <m/>
    <m/>
    <m/>
    <m/>
    <m/>
    <m/>
    <m/>
    <n v="494461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5595000"/>
    <m/>
    <n v="31320000"/>
    <m/>
    <m/>
    <n v="31320000"/>
    <m/>
    <m/>
    <m/>
    <m/>
    <m/>
    <m/>
    <m/>
    <m/>
    <m/>
    <m/>
    <m/>
    <m/>
    <m/>
    <m/>
    <m/>
    <m/>
    <m/>
    <m/>
    <n v="3132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INDAP"/>
    <n v="30341275"/>
    <s v="V"/>
    <s v="Luisa Adela  Macias Bahamonde"/>
    <s v="30341275INDAP"/>
    <m/>
    <s v="TRANSFERENCIA PROGRAMA REGULARIZACION DERECHO APROVECHAMIENTOS DE AGUA"/>
    <m/>
    <m/>
    <n v="198944000"/>
    <m/>
    <n v="203000000"/>
    <m/>
    <m/>
    <n v="203000000"/>
    <n v="184613176"/>
    <m/>
    <n v="3238418"/>
    <n v="0"/>
    <n v="3238418"/>
    <n v="0"/>
    <n v="0"/>
    <n v="0"/>
    <n v="0"/>
    <n v="0"/>
    <n v="0"/>
    <n v="0"/>
    <n v="0"/>
    <n v="0"/>
    <n v="0"/>
    <n v="0"/>
    <n v="0"/>
    <m/>
    <n v="15148406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m/>
    <m/>
    <n v="16000000"/>
    <m/>
    <m/>
    <n v="16000000"/>
    <m/>
    <m/>
    <m/>
    <m/>
    <m/>
    <m/>
    <m/>
    <m/>
    <m/>
    <m/>
    <m/>
    <m/>
    <m/>
    <m/>
    <m/>
    <m/>
    <m/>
    <m/>
    <n v="16000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195389000"/>
    <m/>
    <n v="180000000"/>
    <m/>
    <m/>
    <n v="180000000"/>
    <m/>
    <m/>
    <m/>
    <m/>
    <m/>
    <m/>
    <m/>
    <m/>
    <m/>
    <m/>
    <m/>
    <m/>
    <m/>
    <m/>
    <m/>
    <m/>
    <m/>
    <m/>
    <n v="18000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3555000"/>
    <m/>
    <n v="7000000"/>
    <m/>
    <m/>
    <n v="7000000"/>
    <m/>
    <m/>
    <m/>
    <m/>
    <m/>
    <m/>
    <m/>
    <m/>
    <m/>
    <m/>
    <m/>
    <m/>
    <m/>
    <m/>
    <m/>
    <m/>
    <m/>
    <m/>
    <n v="70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3"/>
    <s v="A"/>
    <s v="MULTISECTORIAL"/>
    <s v="RURAL"/>
    <s v="FOMENTO PRODUCTIVO"/>
    <x v="6"/>
    <x v="37"/>
    <n v="36"/>
    <s v="PV"/>
    <s v="INDAP"/>
    <n v="30341329"/>
    <s v="V"/>
    <s v="Luisa Adela  Macias Bahamonde"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13414000"/>
    <n v="0"/>
    <n v="13414000"/>
    <n v="0"/>
    <n v="0"/>
    <n v="0"/>
    <n v="0"/>
    <n v="0"/>
    <n v="0"/>
    <n v="0"/>
    <n v="0"/>
    <n v="0"/>
    <n v="0"/>
    <n v="0"/>
    <n v="0"/>
    <m/>
    <n v="27593398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1464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28165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804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SEREMI DE AGRICULTURA"/>
    <n v="30419826"/>
    <s v="V"/>
    <s v="Luisa Adela  Macias Bahamonde"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91905000"/>
    <n v="80672000"/>
    <n v="11233000"/>
    <n v="0"/>
    <n v="0"/>
    <n v="0"/>
    <n v="0"/>
    <n v="0"/>
    <n v="0"/>
    <n v="0"/>
    <n v="0"/>
    <n v="0"/>
    <n v="80672000"/>
    <n v="0"/>
    <n v="0"/>
    <m/>
    <n v="2399193"/>
    <s v="RS**"/>
    <s v="S-FICHA"/>
    <s v="En Ejecución "/>
  </r>
  <r>
    <m/>
    <m/>
    <m/>
    <m/>
    <m/>
    <x v="0"/>
    <x v="0"/>
    <m/>
    <m/>
    <m/>
    <m/>
    <m/>
    <s v="Luisa Adela  Macias Bahamonde"/>
    <m/>
    <m/>
    <s v="CONTRATACION DEL PROGRAMA"/>
    <m/>
    <m/>
    <n v="387036000"/>
    <m/>
    <n v="300000000"/>
    <m/>
    <m/>
    <n v="300000000"/>
    <m/>
    <m/>
    <m/>
    <n v="0"/>
    <m/>
    <m/>
    <m/>
    <m/>
    <m/>
    <m/>
    <m/>
    <m/>
    <m/>
    <m/>
    <m/>
    <m/>
    <m/>
    <m/>
    <n v="30000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8704000"/>
    <m/>
    <n v="15000000"/>
    <m/>
    <m/>
    <n v="15000000"/>
    <m/>
    <m/>
    <m/>
    <n v="0"/>
    <m/>
    <m/>
    <m/>
    <m/>
    <m/>
    <m/>
    <m/>
    <m/>
    <m/>
    <m/>
    <m/>
    <m/>
    <m/>
    <m/>
    <n v="150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SAG"/>
    <n v="30341424"/>
    <s v="V"/>
    <s v="Luisa Adela  Macias Bahamonde"/>
    <s v="30341424SAG"/>
    <m/>
    <s v="TRANSFERENCIA MONITOREO SITUACION SANITARIA EN BOVINOS Y OVINOS DEL TPV"/>
    <m/>
    <m/>
    <n v="236501000"/>
    <m/>
    <n v="169500000"/>
    <m/>
    <m/>
    <n v="169500000"/>
    <n v="123996879"/>
    <m/>
    <n v="30000000"/>
    <n v="751000"/>
    <n v="29249000"/>
    <n v="0"/>
    <n v="0"/>
    <n v="0"/>
    <n v="0"/>
    <n v="0"/>
    <n v="751000"/>
    <n v="0"/>
    <n v="0"/>
    <n v="0"/>
    <n v="0"/>
    <n v="0"/>
    <n v="0"/>
    <m/>
    <n v="15503121"/>
    <s v="RS**"/>
    <s v="S-FICHA"/>
    <s v="En Ejecución "/>
  </r>
  <r>
    <m/>
    <m/>
    <m/>
    <m/>
    <m/>
    <x v="0"/>
    <x v="0"/>
    <m/>
    <m/>
    <m/>
    <m/>
    <m/>
    <s v="Luisa Adela  Macias Bahamonde"/>
    <m/>
    <m/>
    <s v="CONTRATACION DEL PROGRAMA"/>
    <m/>
    <m/>
    <n v="23257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392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SAG"/>
    <n v="30341439"/>
    <s v="V"/>
    <s v="Luisa Adela  Macias Bahamonde"/>
    <s v="30341439SAG"/>
    <m/>
    <s v="TRANSFERENCIA PROGRAMA RECUPERACION SUELO DEGRADADOS EN TPV"/>
    <m/>
    <m/>
    <n v="210000000"/>
    <m/>
    <n v="210000000"/>
    <m/>
    <m/>
    <n v="210000000"/>
    <n v="30699279"/>
    <m/>
    <n v="156560000"/>
    <n v="83620"/>
    <n v="156476380"/>
    <n v="0"/>
    <n v="0"/>
    <n v="0"/>
    <n v="0"/>
    <n v="0"/>
    <n v="83620"/>
    <n v="0"/>
    <n v="0"/>
    <n v="0"/>
    <n v="0"/>
    <n v="0"/>
    <n v="0"/>
    <m/>
    <n v="22740721"/>
    <s v="RS**"/>
    <s v="S-FICHA"/>
    <s v="En Ejecución "/>
  </r>
  <r>
    <m/>
    <m/>
    <m/>
    <m/>
    <m/>
    <x v="0"/>
    <x v="0"/>
    <m/>
    <m/>
    <m/>
    <m/>
    <m/>
    <s v="Luisa Adela  Macias Bahamonde"/>
    <m/>
    <m/>
    <s v="CONTRATACION DEL PROGRAMA"/>
    <m/>
    <m/>
    <n v="195467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453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SEREMI DE AGRICULTURA"/>
    <n v="30341173"/>
    <s v="V"/>
    <s v="Luisa Adela  Macias Bahamonde"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230000000"/>
    <n v="90000000"/>
    <n v="140000000"/>
    <n v="0"/>
    <n v="0"/>
    <n v="0"/>
    <n v="0"/>
    <n v="0"/>
    <n v="0"/>
    <n v="0"/>
    <n v="0"/>
    <n v="0"/>
    <n v="90000000"/>
    <n v="0"/>
    <n v="0"/>
    <m/>
    <n v="1579274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58534000"/>
    <m/>
    <n v="58534000"/>
    <m/>
    <m/>
    <n v="58534000"/>
    <m/>
    <m/>
    <m/>
    <n v="0"/>
    <m/>
    <m/>
    <m/>
    <m/>
    <m/>
    <m/>
    <m/>
    <m/>
    <m/>
    <m/>
    <m/>
    <m/>
    <m/>
    <m/>
    <n v="58534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368931000"/>
    <m/>
    <n v="368931000"/>
    <m/>
    <m/>
    <n v="368931000"/>
    <m/>
    <m/>
    <m/>
    <n v="0"/>
    <m/>
    <m/>
    <m/>
    <m/>
    <m/>
    <m/>
    <m/>
    <m/>
    <m/>
    <m/>
    <m/>
    <m/>
    <m/>
    <m/>
    <n v="368931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2535000"/>
    <m/>
    <n v="22535000"/>
    <m/>
    <m/>
    <n v="22535000"/>
    <m/>
    <m/>
    <m/>
    <n v="0"/>
    <m/>
    <m/>
    <m/>
    <m/>
    <m/>
    <m/>
    <m/>
    <m/>
    <m/>
    <m/>
    <m/>
    <m/>
    <m/>
    <m/>
    <n v="22535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PV"/>
    <s v="SEREMI DE AGRICULTURA"/>
    <n v="30329922"/>
    <s v="V"/>
    <s v="Luisa Adela  Macias Bahamonde"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250000000"/>
    <n v="53400000"/>
    <n v="196600000"/>
    <n v="0"/>
    <n v="0"/>
    <n v="0"/>
    <n v="0"/>
    <n v="0"/>
    <n v="0"/>
    <n v="0"/>
    <n v="0"/>
    <n v="0"/>
    <n v="53400000"/>
    <n v="0"/>
    <n v="0"/>
    <m/>
    <n v="36767052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64924000"/>
    <m/>
    <n v="61435000"/>
    <m/>
    <m/>
    <n v="61435000"/>
    <m/>
    <m/>
    <m/>
    <n v="0"/>
    <m/>
    <m/>
    <m/>
    <m/>
    <m/>
    <m/>
    <m/>
    <m/>
    <m/>
    <m/>
    <m/>
    <m/>
    <m/>
    <m/>
    <n v="61435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464441000"/>
    <m/>
    <n v="447365000"/>
    <m/>
    <m/>
    <n v="447365000"/>
    <m/>
    <m/>
    <m/>
    <n v="0"/>
    <m/>
    <m/>
    <m/>
    <m/>
    <m/>
    <m/>
    <m/>
    <m/>
    <m/>
    <m/>
    <m/>
    <m/>
    <m/>
    <m/>
    <n v="447365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8443000"/>
    <m/>
    <n v="21200000"/>
    <m/>
    <m/>
    <n v="21200000"/>
    <m/>
    <m/>
    <m/>
    <n v="0"/>
    <m/>
    <m/>
    <m/>
    <m/>
    <m/>
    <m/>
    <m/>
    <m/>
    <m/>
    <m/>
    <m/>
    <m/>
    <m/>
    <m/>
    <n v="212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SOCIAL"/>
    <x v="6"/>
    <x v="37"/>
    <n v="36"/>
    <s v="LIBRE"/>
    <s v="SEREMI DE MEDIO AMBIENTE"/>
    <n v="30136320"/>
    <m/>
    <s v="Luisa Adela  Macias Bahamonde"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200000000"/>
    <n v="0"/>
    <n v="200000000"/>
    <n v="0"/>
    <n v="0"/>
    <n v="0"/>
    <n v="0"/>
    <n v="0"/>
    <n v="0"/>
    <n v="0"/>
    <n v="0"/>
    <n v="0"/>
    <n v="0"/>
    <n v="0"/>
    <n v="0"/>
    <m/>
    <n v="90137224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95310000"/>
    <m/>
    <n v="69600000"/>
    <m/>
    <m/>
    <n v="69600000"/>
    <m/>
    <m/>
    <m/>
    <n v="0"/>
    <m/>
    <m/>
    <m/>
    <m/>
    <m/>
    <m/>
    <m/>
    <m/>
    <m/>
    <m/>
    <m/>
    <m/>
    <m/>
    <m/>
    <n v="69600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484535000"/>
    <m/>
    <n v="519600000"/>
    <m/>
    <m/>
    <n v="519600000"/>
    <m/>
    <m/>
    <m/>
    <n v="0"/>
    <m/>
    <m/>
    <m/>
    <m/>
    <m/>
    <m/>
    <m/>
    <m/>
    <m/>
    <m/>
    <m/>
    <m/>
    <m/>
    <m/>
    <n v="51960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0155000"/>
    <m/>
    <n v="10800000"/>
    <m/>
    <m/>
    <n v="10800000"/>
    <m/>
    <m/>
    <m/>
    <n v="0"/>
    <m/>
    <m/>
    <m/>
    <m/>
    <m/>
    <m/>
    <m/>
    <m/>
    <m/>
    <m/>
    <m/>
    <m/>
    <m/>
    <m/>
    <n v="108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FOMENTO PRODUCTIVO"/>
    <x v="6"/>
    <x v="37"/>
    <n v="36"/>
    <s v="LIBRE"/>
    <s v="INDAP"/>
    <n v="30485206"/>
    <m/>
    <s v="Luisa Adela  Macias Bahamonde"/>
    <s v="30485206INDAP"/>
    <m/>
    <s v="DIFUSION PARA EL FORTALECIMIENTO Y DASARROLLO DEL SITIO SIPAN Y SELLO SIPAN"/>
    <m/>
    <m/>
    <n v="202400000"/>
    <m/>
    <m/>
    <m/>
    <m/>
    <n v="202400000"/>
    <n v="7500000"/>
    <m/>
    <n v="100000000"/>
    <n v="0"/>
    <n v="100000000"/>
    <n v="0"/>
    <n v="0"/>
    <n v="0"/>
    <n v="0"/>
    <n v="0"/>
    <n v="0"/>
    <n v="0"/>
    <n v="0"/>
    <n v="0"/>
    <n v="0"/>
    <n v="0"/>
    <n v="0"/>
    <m/>
    <n v="9490000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30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164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8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FOMENTO PRODUCTIVO"/>
    <x v="6"/>
    <x v="37"/>
    <n v="36"/>
    <s v="LIBRE"/>
    <s v="INDAP"/>
    <n v="40014803"/>
    <m/>
    <s v="Luisa Adela  Macias Bahamonde"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500000000"/>
    <n v="0"/>
    <n v="500000000"/>
    <n v="0"/>
    <n v="0"/>
    <n v="0"/>
    <n v="0"/>
    <n v="0"/>
    <n v="0"/>
    <n v="0"/>
    <n v="0"/>
    <n v="0"/>
    <n v="0"/>
    <n v="0"/>
    <n v="0"/>
    <m/>
    <n v="26056420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95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65106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8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INDAP"/>
    <n v="30137060"/>
    <m/>
    <s v="RENE CARCAMO ANDRADE"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45892901"/>
    <n v="0"/>
    <n v="45892901"/>
    <n v="0"/>
    <n v="0"/>
    <n v="0"/>
    <n v="0"/>
    <n v="0"/>
    <n v="0"/>
    <n v="0"/>
    <n v="0"/>
    <n v="0"/>
    <n v="0"/>
    <n v="0"/>
    <n v="0"/>
    <m/>
    <n v="250417"/>
    <s v="RS**"/>
    <s v="S-FICHA"/>
    <s v="En Ejecución "/>
  </r>
  <r>
    <m/>
    <m/>
    <m/>
    <m/>
    <m/>
    <x v="0"/>
    <x v="0"/>
    <m/>
    <m/>
    <m/>
    <m/>
    <m/>
    <s v="RENE CARCAMO ANDRADE"/>
    <m/>
    <m/>
    <s v="CONSULTORIA"/>
    <m/>
    <m/>
    <n v="9657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RENE CARCAMO ANDRADE"/>
    <m/>
    <m/>
    <s v="CONTRATACION DEL PROGRAMA"/>
    <m/>
    <m/>
    <n v="151101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RENE CARCAMO ANDRADE"/>
    <m/>
    <m/>
    <s v="GASTOS ADMINISTRATIVOS"/>
    <m/>
    <m/>
    <n v="1164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INDAP"/>
    <n v="30433775"/>
    <m/>
    <s v="Luisa Adela  Macias Bahamonde"/>
    <s v="30433775INDAP"/>
    <m/>
    <s v="MEJORAMIENTO DE SUELOS  EN TERRITORIOS INDIGENAS"/>
    <m/>
    <m/>
    <n v="491966000"/>
    <m/>
    <m/>
    <m/>
    <m/>
    <n v="499999334"/>
    <n v="495707192"/>
    <m/>
    <n v="1190000"/>
    <n v="0"/>
    <n v="1190000"/>
    <n v="0"/>
    <n v="0"/>
    <n v="0"/>
    <n v="0"/>
    <n v="0"/>
    <n v="0"/>
    <n v="0"/>
    <n v="0"/>
    <n v="0"/>
    <n v="0"/>
    <n v="0"/>
    <n v="0"/>
    <m/>
    <n v="3102142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73287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40937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930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INDUSTRIA, COMERCIO, FINANZAS Y TURISMO"/>
    <s v="RURAL"/>
    <s v="FOMENTO PRODUCTIVO"/>
    <x v="6"/>
    <x v="37"/>
    <n v="36"/>
    <s v="LIBRE"/>
    <s v="INDAP"/>
    <n v="30378428"/>
    <m/>
    <s v="RENE CARCAMO ANDRADE"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102527826"/>
    <n v="0"/>
    <n v="102527826"/>
    <n v="0"/>
    <n v="0"/>
    <n v="0"/>
    <n v="0"/>
    <n v="0"/>
    <n v="0"/>
    <n v="0"/>
    <n v="0"/>
    <n v="0"/>
    <n v="0"/>
    <n v="0"/>
    <n v="0"/>
    <m/>
    <n v="8474671"/>
    <s v="RS**"/>
    <s v="S-FICHA"/>
    <s v="En Ejecución "/>
  </r>
  <r>
    <m/>
    <m/>
    <m/>
    <m/>
    <m/>
    <x v="0"/>
    <x v="0"/>
    <m/>
    <m/>
    <m/>
    <m/>
    <m/>
    <s v="RENE CARCAMO ANDRADE"/>
    <m/>
    <m/>
    <s v="CONTRATACION DEL PROGRAMA"/>
    <m/>
    <m/>
    <n v="19755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RENE CARCAMO ANDRADE"/>
    <m/>
    <m/>
    <s v="GASTOS ADMINISTRATIVOS"/>
    <m/>
    <m/>
    <n v="763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SAG"/>
    <n v="30482019"/>
    <m/>
    <s v="Luisa Adela  Macias Bahamonde"/>
    <s v="30482019SAG"/>
    <m/>
    <s v="ERRADICACION VISON DE LA REGION DE LOS LAGOS"/>
    <m/>
    <m/>
    <n v="413028000"/>
    <m/>
    <m/>
    <m/>
    <m/>
    <n v="400000000"/>
    <n v="145063966"/>
    <m/>
    <n v="196445000"/>
    <n v="6250927"/>
    <n v="190194073"/>
    <n v="0"/>
    <n v="0"/>
    <n v="0"/>
    <n v="0"/>
    <n v="0"/>
    <n v="0"/>
    <n v="0"/>
    <n v="0"/>
    <n v="0"/>
    <n v="6250927"/>
    <n v="0"/>
    <n v="0"/>
    <m/>
    <n v="58491034"/>
    <s v="RS**"/>
    <s v="S-FICHA"/>
    <s v="En Ejecución "/>
  </r>
  <r>
    <m/>
    <m/>
    <m/>
    <m/>
    <m/>
    <x v="0"/>
    <x v="0"/>
    <m/>
    <m/>
    <m/>
    <m/>
    <m/>
    <s v="Luisa Adela  Macias Bahamonde"/>
    <m/>
    <m/>
    <s v="CONTRATACION DEL PROGRAMA"/>
    <m/>
    <m/>
    <n v="40787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515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SERCOTEC"/>
    <n v="30349427"/>
    <m/>
    <e v="#N/A"/>
    <s v="30349427SERCOTEC"/>
    <m/>
    <s v="TRANSFERENCIA MEJORAMIENTO DE LA PRODUCTIVIDAD EN AREAS DE MANEJO II"/>
    <m/>
    <m/>
    <n v="540800000"/>
    <m/>
    <m/>
    <m/>
    <m/>
    <n v="540800000"/>
    <n v="516277132"/>
    <m/>
    <n v="24522868"/>
    <n v="0"/>
    <n v="24522868"/>
    <n v="0"/>
    <n v="0"/>
    <n v="0"/>
    <n v="0"/>
    <n v="0"/>
    <n v="0"/>
    <n v="0"/>
    <n v="0"/>
    <n v="0"/>
    <n v="0"/>
    <n v="0"/>
    <n v="0"/>
    <m/>
    <n v="0"/>
    <s v="RS**"/>
    <s v="S-FICHA"/>
    <s v="En Ejecución "/>
  </r>
  <r>
    <m/>
    <m/>
    <m/>
    <m/>
    <m/>
    <x v="0"/>
    <x v="0"/>
    <m/>
    <m/>
    <m/>
    <m/>
    <m/>
    <m/>
    <m/>
    <m/>
    <s v="CONSULTORIA"/>
    <m/>
    <m/>
    <n v="5373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s v="CONTRATACION DEL PROGRAMA"/>
    <m/>
    <m/>
    <n v="455862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s v="GASTOS ADMINISTRATIVOS"/>
    <m/>
    <m/>
    <n v="3120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INDUSTRIA, COMERCIO, FINANZAS Y TURISMO"/>
    <s v="RURAL"/>
    <s v="FOMENTO PRODUCTIVO"/>
    <x v="6"/>
    <x v="37"/>
    <n v="36"/>
    <s v="LIBRE"/>
    <s v="SERCOTEC"/>
    <n v="30440729"/>
    <m/>
    <s v="Luisa Adela  Macias Bahamonde"/>
    <s v="30440729SERCOTEC"/>
    <m/>
    <s v="PROGRAMA APOYO INTEGRAL A LAS FERIAS LIBRES"/>
    <m/>
    <m/>
    <n v="360491000"/>
    <m/>
    <m/>
    <m/>
    <m/>
    <n v="320000000"/>
    <n v="297995504"/>
    <m/>
    <n v="15900000"/>
    <n v="0"/>
    <n v="15900000"/>
    <n v="0"/>
    <n v="0"/>
    <n v="0"/>
    <n v="0"/>
    <n v="0"/>
    <n v="0"/>
    <n v="0"/>
    <n v="0"/>
    <n v="0"/>
    <n v="0"/>
    <n v="0"/>
    <n v="0"/>
    <m/>
    <n v="6104496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55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35149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35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SERCOTEC"/>
    <n v="30351343"/>
    <m/>
    <s v="Luisa Adela  Macias Bahamonde"/>
    <s v="30351343SERCOTEC"/>
    <m/>
    <s v="CAPACITACION Y VALORIZACION DE PRODUCTOS AGROPECUARIOS"/>
    <m/>
    <m/>
    <n v="450000000"/>
    <m/>
    <m/>
    <m/>
    <m/>
    <n v="450000000"/>
    <n v="188600072"/>
    <m/>
    <n v="256959328"/>
    <n v="51400000"/>
    <n v="205559328"/>
    <n v="0"/>
    <n v="0"/>
    <n v="0"/>
    <n v="0"/>
    <n v="0"/>
    <n v="0"/>
    <n v="0"/>
    <n v="51400000"/>
    <n v="0"/>
    <n v="0"/>
    <n v="0"/>
    <n v="0"/>
    <m/>
    <n v="444060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552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3721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27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SERNAPESCA"/>
    <n v="30343724"/>
    <m/>
    <s v="Luisa Adela  Macias Bahamonde"/>
    <s v="30343724SERNAPESCA"/>
    <m/>
    <s v="PROGRAMA FOMENTO Y DESARROLLO PESCA ARTESANAL REGION DE LOS LAGOS 2014-2016"/>
    <m/>
    <m/>
    <n v="2160000000"/>
    <m/>
    <m/>
    <m/>
    <m/>
    <n v="2160000000"/>
    <n v="1336907233"/>
    <m/>
    <n v="308417962"/>
    <n v="0"/>
    <n v="308417962"/>
    <n v="0"/>
    <n v="0"/>
    <n v="0"/>
    <n v="0"/>
    <n v="0"/>
    <n v="0"/>
    <n v="0"/>
    <n v="0"/>
    <n v="0"/>
    <n v="0"/>
    <n v="0"/>
    <n v="0"/>
    <m/>
    <n v="514674805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116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2039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46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FOMENTO PRODUCTIVO"/>
    <x v="6"/>
    <x v="37"/>
    <n v="36"/>
    <s v="LIBRE"/>
    <s v="SUBPESCA"/>
    <n v="30398233"/>
    <m/>
    <s v="Luisa Adela  Macias Bahamonde"/>
    <s v="30398233SUBPESCA"/>
    <m/>
    <s v="RECUPERACION DE DIVERSIDAD PROD DE LA PESCA ARTESANAL"/>
    <m/>
    <m/>
    <n v="900000000"/>
    <m/>
    <m/>
    <m/>
    <m/>
    <n v="900002100"/>
    <n v="475373157"/>
    <m/>
    <n v="308000000"/>
    <n v="14027228"/>
    <n v="293972772"/>
    <n v="0"/>
    <n v="0"/>
    <n v="0"/>
    <n v="0"/>
    <n v="0"/>
    <n v="0"/>
    <n v="0"/>
    <n v="1250000"/>
    <n v="12777228"/>
    <n v="0"/>
    <n v="0"/>
    <n v="0"/>
    <m/>
    <n v="116628943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6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820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INDUSTRIA, COMERCIO, FINANZAS Y TURISMO"/>
    <s v="RURAL"/>
    <s v="FOMENTO PRODUCTIVO"/>
    <x v="6"/>
    <x v="37"/>
    <n v="36"/>
    <s v="LIBRE"/>
    <s v="SERNATUR"/>
    <n v="30342025"/>
    <m/>
    <s v="Luisa Adela  Macias Bahamonde"/>
    <s v="30342025SERNATUR"/>
    <m/>
    <s v="TRANSFERENCIA GESTION DEL TERRITORIO TURISTICO, REGION DE LOS LAGOS "/>
    <m/>
    <m/>
    <n v="971238000"/>
    <m/>
    <m/>
    <m/>
    <m/>
    <n v="700000000"/>
    <n v="645868063"/>
    <m/>
    <n v="54131937"/>
    <n v="20957859"/>
    <n v="33174078"/>
    <n v="0"/>
    <n v="0"/>
    <n v="0"/>
    <n v="0"/>
    <n v="0"/>
    <n v="0"/>
    <n v="0"/>
    <n v="20957859"/>
    <n v="0"/>
    <n v="0"/>
    <n v="0"/>
    <n v="0"/>
    <m/>
    <n v="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56425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383044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393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SILVOAGROPECUARIO"/>
    <s v="RURAL"/>
    <s v="SOCIAL"/>
    <x v="6"/>
    <x v="37"/>
    <n v="36"/>
    <s v="LIBRE"/>
    <s v="COMISION NACIONAL DE RIEGO"/>
    <n v="30434988"/>
    <s v="G"/>
    <s v="Luisa Adela  Macias Bahamonde"/>
    <s v="30434988COMISION NACIONAL DE RIEGO"/>
    <m/>
    <s v="TRANSFERENCIA PROGRAMA INTEGRAL DE RIEGO REGION DE LOS LAGOS"/>
    <m/>
    <m/>
    <n v="2000000000"/>
    <m/>
    <m/>
    <m/>
    <m/>
    <n v="2000000000"/>
    <n v="1104986431"/>
    <m/>
    <n v="858870095"/>
    <n v="57028696"/>
    <n v="801841399"/>
    <n v="0"/>
    <n v="0"/>
    <n v="0"/>
    <n v="0"/>
    <n v="0"/>
    <n v="0"/>
    <n v="0"/>
    <n v="0"/>
    <n v="0"/>
    <n v="57028696"/>
    <n v="0"/>
    <n v="0"/>
    <m/>
    <n v="36143474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899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189990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019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INDUSTRIA, COMERCIO, FINANZAS Y TURISMO"/>
    <s v="RURAL"/>
    <s v="FOMENTO PRODUCTIVO"/>
    <x v="6"/>
    <x v="37"/>
    <n v="36"/>
    <s v="PV"/>
    <s v="SERNATUR"/>
    <n v="30337226"/>
    <s v="V"/>
    <s v="Luisa Adela  Macias Bahamonde"/>
    <s v="30337226SERNATUR"/>
    <m/>
    <s v="TRANSFERENCIA DESARROLLO DEL T.I.E. EN TERRITORIO PATAGONIA VERDE "/>
    <m/>
    <m/>
    <n v="1781184000"/>
    <m/>
    <m/>
    <m/>
    <m/>
    <n v="1275000000"/>
    <n v="1170998840"/>
    <m/>
    <n v="66000000"/>
    <n v="0"/>
    <n v="66000000"/>
    <n v="0"/>
    <n v="0"/>
    <n v="0"/>
    <n v="0"/>
    <n v="0"/>
    <n v="0"/>
    <n v="0"/>
    <n v="0"/>
    <n v="0"/>
    <n v="0"/>
    <n v="0"/>
    <n v="0"/>
    <m/>
    <n v="3800116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244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152638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1079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SOCIAL"/>
    <x v="6"/>
    <x v="37"/>
    <n v="36"/>
    <s v="FIC"/>
    <s v="FIC"/>
    <s v="FIC"/>
    <m/>
    <m/>
    <s v="FICFIC"/>
    <m/>
    <s v="FONDO INNOVACION Y COMPETITIVIDAD"/>
    <m/>
    <m/>
    <m/>
    <m/>
    <m/>
    <m/>
    <m/>
    <n v="1542573000"/>
    <n v="0"/>
    <m/>
    <n v="1542573000"/>
    <n v="214072797"/>
    <n v="1328500203"/>
    <n v="0"/>
    <n v="0"/>
    <n v="0"/>
    <n v="0"/>
    <n v="0"/>
    <n v="3100000"/>
    <n v="700000"/>
    <n v="4295797"/>
    <n v="98350000"/>
    <n v="107627000"/>
    <n v="0"/>
    <n v="0"/>
    <m/>
    <n v="0"/>
    <s v="RS**"/>
    <s v="FIC"/>
    <s v="En Ejecución "/>
  </r>
  <r>
    <n v="33"/>
    <s v="A"/>
    <s v="INDUSTRIA, COMERCIO, FINANZAS Y TURISMO"/>
    <s v="RURAL"/>
    <s v="FOMENTO PRODUCTIVO"/>
    <x v="6"/>
    <x v="37"/>
    <n v="36"/>
    <s v="LIBRE"/>
    <s v="SERNAMEG"/>
    <n v="30461825"/>
    <m/>
    <s v="Luisa Adela  Macias Bahamonde"/>
    <s v="30461825SERNAMEG"/>
    <m/>
    <s v="CAPACITACION TRABAJO EN FIBRA ANIMAL Y VEGETAL MUJERES DE CHAITEN"/>
    <m/>
    <m/>
    <n v="172830000"/>
    <m/>
    <n v="172830000"/>
    <m/>
    <m/>
    <n v="172830000"/>
    <n v="28937750"/>
    <m/>
    <n v="88535667"/>
    <n v="59375500"/>
    <n v="29160167"/>
    <n v="0"/>
    <n v="0"/>
    <n v="0"/>
    <n v="0"/>
    <n v="0"/>
    <n v="3000000"/>
    <n v="0"/>
    <n v="31786000"/>
    <n v="0"/>
    <n v="24589500"/>
    <n v="0"/>
    <n v="0"/>
    <m/>
    <n v="55356583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20000000"/>
    <m/>
    <n v="20000000"/>
    <m/>
    <m/>
    <n v="20000000"/>
    <m/>
    <m/>
    <m/>
    <n v="0"/>
    <m/>
    <m/>
    <m/>
    <m/>
    <m/>
    <m/>
    <m/>
    <m/>
    <m/>
    <m/>
    <m/>
    <m/>
    <m/>
    <m/>
    <n v="20000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143933000"/>
    <m/>
    <n v="143930000"/>
    <m/>
    <m/>
    <n v="143930000"/>
    <m/>
    <m/>
    <m/>
    <n v="0"/>
    <m/>
    <m/>
    <m/>
    <m/>
    <m/>
    <m/>
    <m/>
    <m/>
    <m/>
    <m/>
    <m/>
    <m/>
    <m/>
    <m/>
    <n v="14393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8897000"/>
    <m/>
    <n v="8900000"/>
    <m/>
    <m/>
    <n v="8900000"/>
    <m/>
    <m/>
    <m/>
    <n v="0"/>
    <m/>
    <m/>
    <m/>
    <m/>
    <m/>
    <m/>
    <m/>
    <m/>
    <m/>
    <m/>
    <m/>
    <m/>
    <m/>
    <m/>
    <n v="89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INDUSTRIA, COMERCIO, FINANZAS Y TURISMO"/>
    <s v="RURAL"/>
    <s v="FOMENTO PRODUCTIVO"/>
    <x v="6"/>
    <x v="37"/>
    <n v="36"/>
    <s v="LIBRE"/>
    <s v="FOSIS"/>
    <n v="30484364"/>
    <m/>
    <s v="Luisa Adela  Macias Bahamonde"/>
    <s v="30484364FOSIS"/>
    <m/>
    <s v="CAPACITACION DESARROLLO Y FORTALECIMIENTO PERSONAS DISCAPACITADAS"/>
    <m/>
    <m/>
    <n v="230000000"/>
    <m/>
    <n v="230000000"/>
    <m/>
    <m/>
    <n v="230000000"/>
    <n v="223000000"/>
    <m/>
    <n v="7000000"/>
    <n v="0"/>
    <n v="7000000"/>
    <n v="0"/>
    <n v="0"/>
    <n v="0"/>
    <n v="0"/>
    <n v="0"/>
    <n v="0"/>
    <n v="0"/>
    <n v="0"/>
    <n v="0"/>
    <n v="0"/>
    <n v="0"/>
    <n v="0"/>
    <m/>
    <n v="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13000000"/>
    <m/>
    <n v="9600000"/>
    <m/>
    <m/>
    <n v="9600000"/>
    <m/>
    <m/>
    <m/>
    <n v="0"/>
    <m/>
    <m/>
    <m/>
    <m/>
    <m/>
    <m/>
    <m/>
    <m/>
    <m/>
    <m/>
    <m/>
    <m/>
    <m/>
    <m/>
    <n v="9600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210000000"/>
    <m/>
    <n v="213000000"/>
    <m/>
    <m/>
    <n v="213000000"/>
    <m/>
    <m/>
    <m/>
    <n v="0"/>
    <m/>
    <m/>
    <m/>
    <m/>
    <m/>
    <m/>
    <m/>
    <m/>
    <m/>
    <m/>
    <m/>
    <m/>
    <m/>
    <m/>
    <n v="21300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7000000"/>
    <m/>
    <n v="7400000"/>
    <m/>
    <m/>
    <n v="7400000"/>
    <m/>
    <m/>
    <m/>
    <n v="0"/>
    <m/>
    <m/>
    <m/>
    <m/>
    <m/>
    <m/>
    <m/>
    <m/>
    <m/>
    <m/>
    <m/>
    <m/>
    <m/>
    <m/>
    <n v="74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SOCIAL"/>
    <x v="6"/>
    <x v="37"/>
    <n v="36"/>
    <s v="PV"/>
    <s v="SEREMI DE BIENES NACIONALES"/>
    <n v="30426980"/>
    <s v="V"/>
    <s v="Luisa Adela  Macias Bahamonde"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185000000"/>
    <n v="19609648"/>
    <n v="165390352"/>
    <n v="0"/>
    <n v="0"/>
    <n v="0"/>
    <n v="0"/>
    <n v="0"/>
    <n v="0"/>
    <n v="2282186"/>
    <n v="15391000"/>
    <n v="0"/>
    <n v="1936462"/>
    <n v="0"/>
    <n v="0"/>
    <m/>
    <n v="68882451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60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41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SOCIAL"/>
    <x v="6"/>
    <x v="37"/>
    <n v="36"/>
    <s v="LIBRE"/>
    <s v="FUNCHI"/>
    <n v="40016769"/>
    <m/>
    <s v="Luisa Adela  Macias Bahamonde"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  <s v="S-FICHA"/>
    <s v="En Ejecución "/>
  </r>
  <r>
    <m/>
    <m/>
    <m/>
    <m/>
    <m/>
    <x v="0"/>
    <x v="0"/>
    <m/>
    <m/>
    <m/>
    <m/>
    <m/>
    <s v="Luisa Adela  Macias Bahamonde"/>
    <m/>
    <m/>
    <s v="CONSULTORIA"/>
    <m/>
    <m/>
    <n v="120000000"/>
    <m/>
    <m/>
    <m/>
    <m/>
    <n v="120000000"/>
    <m/>
    <m/>
    <m/>
    <n v="0"/>
    <m/>
    <m/>
    <m/>
    <m/>
    <m/>
    <m/>
    <m/>
    <m/>
    <m/>
    <m/>
    <m/>
    <m/>
    <m/>
    <m/>
    <n v="120000000"/>
    <m/>
    <m/>
    <m/>
  </r>
  <r>
    <m/>
    <m/>
    <m/>
    <m/>
    <m/>
    <x v="0"/>
    <x v="0"/>
    <m/>
    <m/>
    <m/>
    <m/>
    <m/>
    <s v="Luisa Adela  Macias Bahamonde"/>
    <m/>
    <m/>
    <s v="CONTRATACION DEL PROGRAMA"/>
    <m/>
    <m/>
    <n v="830000000"/>
    <m/>
    <m/>
    <m/>
    <m/>
    <n v="830000000"/>
    <m/>
    <m/>
    <m/>
    <n v="0"/>
    <m/>
    <m/>
    <m/>
    <m/>
    <m/>
    <m/>
    <m/>
    <m/>
    <m/>
    <m/>
    <m/>
    <m/>
    <m/>
    <m/>
    <n v="83000000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50000000"/>
    <m/>
    <m/>
    <m/>
    <m/>
    <n v="50000000"/>
    <m/>
    <m/>
    <m/>
    <n v="0"/>
    <m/>
    <m/>
    <m/>
    <m/>
    <m/>
    <m/>
    <m/>
    <m/>
    <m/>
    <m/>
    <m/>
    <m/>
    <m/>
    <m/>
    <n v="500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s v="MULTISECTORIAL"/>
    <s v="RURAL"/>
    <s v="SOCIAL"/>
    <x v="6"/>
    <x v="37"/>
    <n v="36"/>
    <s v="LIBRE"/>
    <s v="SEREMI DE BIENES NACIONALES"/>
    <n v="40004275"/>
    <m/>
    <s v="Luisa Adela  Macias Bahamonde"/>
    <s v="40004275SEREMI DE BIENES NACIONALES"/>
    <m/>
    <s v="SANEAMIENTO PROGRAMA NACIONAL DE REGULARIZACION &quot;CHILE PROPIETARIO&quot;"/>
    <m/>
    <m/>
    <m/>
    <m/>
    <m/>
    <m/>
    <m/>
    <n v="1200000000"/>
    <n v="7925370"/>
    <m/>
    <n v="148878614"/>
    <n v="126547614"/>
    <n v="22331000"/>
    <n v="0"/>
    <n v="0"/>
    <n v="0"/>
    <n v="0"/>
    <n v="0"/>
    <n v="0"/>
    <n v="47162028"/>
    <n v="15086452"/>
    <n v="64299134"/>
    <n v="0"/>
    <n v="0"/>
    <n v="0"/>
    <m/>
    <n v="1043196016"/>
    <s v="RS**"/>
    <s v="S-FICHA"/>
    <s v="En Ejecución "/>
  </r>
  <r>
    <n v="33"/>
    <s v="A"/>
    <s v="SALUD"/>
    <s v="URBANO "/>
    <s v="SALUD"/>
    <x v="6"/>
    <x v="37"/>
    <n v="36"/>
    <s v="LIBRE"/>
    <s v="SERV. SALUD OSORNO"/>
    <n v="40015599"/>
    <m/>
    <e v="#N/A"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100000000"/>
    <n v="0"/>
    <n v="100000000"/>
    <n v="0"/>
    <n v="0"/>
    <n v="0"/>
    <n v="0"/>
    <n v="0"/>
    <n v="0"/>
    <n v="0"/>
    <n v="0"/>
    <n v="0"/>
    <n v="0"/>
    <n v="0"/>
    <n v="0"/>
    <m/>
    <n v="83150000"/>
    <s v="RS**"/>
    <s v="S-FICHA"/>
    <s v="En Ejecución "/>
  </r>
  <r>
    <n v="33"/>
    <s v="A"/>
    <s v="SILVOAGROPECUARIO"/>
    <s v="RURAL"/>
    <s v="FOMENTO PRODUCTIVO"/>
    <x v="6"/>
    <x v="37"/>
    <n v="36"/>
    <s v="LIBRE"/>
    <s v="SAG"/>
    <n v="30482027"/>
    <m/>
    <s v="Luisa Adela  Macias Bahamonde"/>
    <s v="30482027SAG"/>
    <m/>
    <s v="ERRADICACION DE LA BRUCELOSIS BOVINA"/>
    <m/>
    <m/>
    <n v="694302000"/>
    <m/>
    <m/>
    <m/>
    <m/>
    <n v="499999364"/>
    <n v="420749364"/>
    <m/>
    <n v="53627529"/>
    <n v="53627529"/>
    <n v="0"/>
    <n v="0"/>
    <n v="0"/>
    <n v="0"/>
    <n v="0"/>
    <n v="0"/>
    <n v="72529"/>
    <n v="0"/>
    <n v="0"/>
    <n v="0"/>
    <n v="53555000"/>
    <n v="0"/>
    <n v="0"/>
    <m/>
    <n v="25622471"/>
    <s v="RS**"/>
    <s v="S-FICHA"/>
    <s v="En Ejecución "/>
  </r>
  <r>
    <m/>
    <m/>
    <m/>
    <m/>
    <m/>
    <x v="0"/>
    <x v="0"/>
    <m/>
    <m/>
    <m/>
    <m/>
    <m/>
    <s v="Luisa Adela  Macias Bahamonde"/>
    <m/>
    <m/>
    <s v="CONTRATACION DEL PROGRAMA"/>
    <m/>
    <m/>
    <n v="42376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s v="Luisa Adela  Macias Bahamonde"/>
    <m/>
    <m/>
    <s v="GASTOS ADMINISTRATIVOS"/>
    <m/>
    <m/>
    <n v="27053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N"/>
    <s v="INDUSTRIA, COMERCIO, FINANZAS Y TURISMO"/>
    <s v="RURAL"/>
    <s v="FOMENTO PRODUCTIVO"/>
    <x v="6"/>
    <x v="37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  <s v="T"/>
    <s v="Terminada"/>
  </r>
  <r>
    <m/>
    <m/>
    <m/>
    <m/>
    <m/>
    <x v="0"/>
    <x v="0"/>
    <m/>
    <m/>
    <m/>
    <m/>
    <m/>
    <m/>
    <m/>
    <m/>
    <s v="TOTAL DE INICIATIVAS EN EJECUCION / LIQUIDACION / TERMINADAS"/>
    <m/>
    <m/>
    <m/>
    <m/>
    <m/>
    <m/>
    <m/>
    <n v="22029971579"/>
    <n v="12223592199"/>
    <m/>
    <n v="6741139145"/>
    <n v="1347452418"/>
    <n v="5393686727"/>
    <n v="0"/>
    <n v="0"/>
    <n v="0"/>
    <n v="0"/>
    <n v="0"/>
    <n v="466655149"/>
    <n v="50144214"/>
    <n v="140167108"/>
    <n v="175426362"/>
    <n v="515059585"/>
    <n v="0"/>
    <n v="0"/>
    <m/>
    <n v="306524023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s v="INDUSTRIA, COMERCIO, FINANZAS Y TURISMO"/>
    <s v="URBANO"/>
    <s v="FOMENTO PRODUCTIVO"/>
    <x v="6"/>
    <x v="37"/>
    <n v="36"/>
    <s v="LIBRE"/>
    <s v="SENAMA"/>
    <n v="40026610"/>
    <m/>
    <m/>
    <m/>
    <m/>
    <s v="INSUMOS Y ALIMENTACION PARA ELEAM DE LOS LAGOS, PUERTO MONTT"/>
    <s v="* CERT. CORE 223 07.20 APRUEBA"/>
    <m/>
    <m/>
    <m/>
    <m/>
    <m/>
    <m/>
    <n v="14917780"/>
    <n v="0"/>
    <m/>
    <n v="14917780"/>
    <n v="0"/>
    <n v="14917780"/>
    <m/>
    <m/>
    <m/>
    <m/>
    <m/>
    <m/>
    <m/>
    <m/>
    <m/>
    <m/>
    <m/>
    <m/>
    <m/>
    <n v="0"/>
    <s v="RS**"/>
    <m/>
    <s v="Por Iniciar Tramite DIPRES"/>
  </r>
  <r>
    <n v="33"/>
    <s v="N"/>
    <s v="INDUSTRIA, COMERCIO, FINANZAS Y TURISMO"/>
    <s v="URBANO"/>
    <s v="FOMENTO PRODUCTIVO"/>
    <x v="6"/>
    <x v="37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6261750"/>
    <n v="0"/>
    <n v="6261750"/>
    <m/>
    <m/>
    <m/>
    <m/>
    <m/>
    <m/>
    <m/>
    <m/>
    <m/>
    <m/>
    <m/>
    <m/>
    <m/>
    <n v="0"/>
    <s v="RS**"/>
    <m/>
    <s v="Por Iniciar Tramite DIPRES"/>
  </r>
  <r>
    <n v="33"/>
    <s v="A"/>
    <s v="RECURSOS NATURALES Y MEDIO AMBIENTE"/>
    <s v="RURAL"/>
    <s v="FOMENTO PRODUCTIVO"/>
    <x v="6"/>
    <x v="37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19927471"/>
    <n v="0"/>
    <n v="319927471"/>
    <n v="0"/>
    <n v="0"/>
    <n v="0"/>
    <n v="0"/>
    <n v="0"/>
    <n v="0"/>
    <n v="0"/>
    <n v="0"/>
    <n v="0"/>
    <n v="0"/>
    <n v="0"/>
    <n v="0"/>
    <m/>
    <n v="1892841760"/>
    <s v="RS**"/>
    <s v="S-FICHA"/>
    <s v="Convenio en Tramite"/>
  </r>
  <r>
    <n v="33"/>
    <s v="A"/>
    <s v="MULTISECTORIAL"/>
    <s v="RURAL"/>
    <s v="SOCIAL"/>
    <x v="6"/>
    <x v="37"/>
    <n v="36"/>
    <s v="LIBRE"/>
    <m/>
    <n v="30485056"/>
    <m/>
    <e v="#N/A"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207800000"/>
    <s v="RS**"/>
    <s v="S-FICHA"/>
    <s v="Convenio en Tramite"/>
  </r>
  <r>
    <n v="33"/>
    <s v="A"/>
    <s v="MULTISECTORIAL"/>
    <s v="RURAL"/>
    <s v="SOCIAL"/>
    <x v="6"/>
    <x v="37"/>
    <n v="36"/>
    <s v="LIBRE"/>
    <s v="SERCOTEC"/>
    <n v="40016559"/>
    <m/>
    <e v="#N/A"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10000000"/>
    <n v="0"/>
    <n v="110000000"/>
    <n v="0"/>
    <n v="0"/>
    <n v="0"/>
    <n v="0"/>
    <n v="0"/>
    <n v="0"/>
    <n v="0"/>
    <n v="0"/>
    <n v="0"/>
    <n v="0"/>
    <n v="0"/>
    <n v="0"/>
    <m/>
    <n v="121418750"/>
    <s v="RS**"/>
    <s v="S-FICHA"/>
    <s v="Convenio en Tramite"/>
  </r>
  <r>
    <n v="33"/>
    <s v="A"/>
    <s v="RECURSOS NATURALES Y MEDIO AMBIENTE"/>
    <s v="RURAL"/>
    <s v="SILVOAGROPECUARIO"/>
    <x v="6"/>
    <x v="37"/>
    <n v="36"/>
    <s v="LIBRE"/>
    <s v="SEREMI DE AGRICULTURA"/>
    <n v="40012343"/>
    <s v="G"/>
    <e v="#N/A"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40352000"/>
    <n v="0"/>
    <n v="140352000"/>
    <n v="0"/>
    <n v="0"/>
    <n v="0"/>
    <n v="0"/>
    <n v="0"/>
    <n v="0"/>
    <n v="0"/>
    <n v="0"/>
    <n v="0"/>
    <n v="0"/>
    <n v="0"/>
    <n v="0"/>
    <m/>
    <n v="2116148000"/>
    <s v="RS**"/>
    <s v="S-FICHA"/>
    <s v="Convenio en Tramite"/>
  </r>
  <r>
    <n v="33"/>
    <s v="A"/>
    <s v="INDUSTRIA, COMERCIO, FINANZAS Y TURISMO"/>
    <s v="RURAL"/>
    <s v="TURISMO"/>
    <x v="6"/>
    <x v="37"/>
    <n v="36"/>
    <s v="LIBRE"/>
    <s v="SERNATUR"/>
    <n v="40017839"/>
    <m/>
    <e v="#N/A"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S-FICHA"/>
    <s v="Convenio en Tramite"/>
  </r>
  <r>
    <n v="33"/>
    <s v="N"/>
    <s v="INDUSTRIA, COMERCIO, FINANZAS Y TURISMO"/>
    <s v="URBANO"/>
    <s v="FOMENTO PRODUCTIVO"/>
    <x v="6"/>
    <x v="37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500000000"/>
    <s v="RS**"/>
    <s v="S-FICHA"/>
    <s v="Convenio en Confección"/>
  </r>
  <r>
    <n v="33"/>
    <s v="N"/>
    <s v="SILVOAGROPECUARIO"/>
    <s v="RURAL"/>
    <s v="FOMENTO PRODUCTIVO"/>
    <x v="6"/>
    <x v="37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SILVOAGROPECUARIO"/>
    <s v="RURAL"/>
    <s v="FOMENTO PRODUCTIVO"/>
    <x v="6"/>
    <x v="37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"/>
    <m/>
    <m/>
    <m/>
    <m/>
    <m/>
    <m/>
    <n v="474000000"/>
    <n v="0"/>
    <m/>
    <n v="474000000"/>
    <n v="0"/>
    <n v="474000000"/>
    <n v="0"/>
    <n v="0"/>
    <n v="0"/>
    <n v="0"/>
    <n v="0"/>
    <n v="0"/>
    <n v="0"/>
    <n v="0"/>
    <n v="0"/>
    <n v="0"/>
    <n v="0"/>
    <n v="0"/>
    <m/>
    <n v="0"/>
    <s v="RS**"/>
    <s v="S-FICHA"/>
    <s v="Por Iniciar Tramite DIPRES"/>
  </r>
  <r>
    <n v="33"/>
    <s v="N"/>
    <s v="INDUSTRIA, COMERCIO, FINANZAS Y TURISMO"/>
    <s v="URBANO"/>
    <s v="FOMENTO PRODUCTIVO"/>
    <x v="6"/>
    <x v="37"/>
    <n v="36"/>
    <s v="LIBRE"/>
    <s v="SENAMA"/>
    <n v="40015477"/>
    <s v="AC. SOCIAL"/>
    <m/>
    <s v="40019534GORE"/>
    <m/>
    <s v="PREVENCION PROGRAMA DE CUIDADOS DOMICILIARIOS REGION DE LOS LAGOS"/>
    <s v="* CERT. CORE 47 02.20"/>
    <m/>
    <m/>
    <m/>
    <m/>
    <m/>
    <m/>
    <n v="456000000"/>
    <n v="0"/>
    <m/>
    <n v="456000000"/>
    <n v="0"/>
    <n v="456000000"/>
    <n v="0"/>
    <n v="0"/>
    <n v="0"/>
    <n v="0"/>
    <n v="0"/>
    <n v="0"/>
    <n v="0"/>
    <n v="0"/>
    <n v="0"/>
    <n v="0"/>
    <n v="0"/>
    <n v="0"/>
    <m/>
    <n v="0"/>
    <s v="RS**"/>
    <s v="S-FICHA"/>
    <s v="Por Iniciar Tramite DIPRES"/>
  </r>
  <r>
    <n v="33"/>
    <s v="N"/>
    <s v="TRANSPORTE Y VIVIENDA"/>
    <s v="URBANO"/>
    <s v="FOMENTO PRODUCTIVO"/>
    <x v="6"/>
    <x v="37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1300000000"/>
    <n v="0"/>
    <n v="13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TRANSPORTE Y VIVIENDA"/>
    <s v="URBANO"/>
    <s v="FOMENTO PRODUCTIVO"/>
    <x v="6"/>
    <x v="37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SILVOAGROPECUARIO"/>
    <s v="RURAL"/>
    <s v="FOMENTO PRODUCTIVO"/>
    <x v="6"/>
    <x v="37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SILVOAGROPECUARIO"/>
    <s v="RURAL"/>
    <s v="FOMENTO PRODUCTIVO"/>
    <x v="6"/>
    <x v="37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RURAL"/>
    <s v="FOMENTO PRODUCTIVO"/>
    <x v="6"/>
    <x v="37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RURAL"/>
    <s v="FOMENTO PRODUCTIVO"/>
    <x v="6"/>
    <x v="37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30000000"/>
    <n v="0"/>
    <n v="13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0"/>
    <s v="RS**"/>
    <s v="S-FICHA"/>
    <s v="Para Tramite DIPRES"/>
  </r>
  <r>
    <n v="33"/>
    <s v="N"/>
    <s v="RECURSOS NATURALES Y MEDIO AMBIENTE"/>
    <s v="URBANO"/>
    <s v="FOMENTO PRODUCTIVO"/>
    <x v="6"/>
    <x v="37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750000000"/>
    <s v="RS**"/>
    <s v="S-FICHA"/>
    <s v="Para Tramite DIPRES"/>
  </r>
  <r>
    <n v="33"/>
    <s v="N"/>
    <s v="INDUSTRIA, COMERCIO, FINANZAS Y TURISMO"/>
    <s v="URBANO"/>
    <s v="FOMENTO PRODUCTIVO"/>
    <x v="6"/>
    <x v="37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*"/>
    <s v="S-FICHA"/>
    <s v="Para Tramite DIPRES"/>
  </r>
  <r>
    <n v="33"/>
    <s v="N"/>
    <s v="SILVOAGROPECUARIO"/>
    <s v="RURAL"/>
    <s v="FOMENTO PRODUCTIVO"/>
    <x v="6"/>
    <x v="37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90000000"/>
    <s v="RS**"/>
    <s v="S-FICHA"/>
    <s v="Por Iniciar Tramite DIPRES"/>
  </r>
  <r>
    <m/>
    <m/>
    <m/>
    <m/>
    <m/>
    <x v="0"/>
    <x v="0"/>
    <m/>
    <m/>
    <m/>
    <m/>
    <m/>
    <m/>
    <m/>
    <m/>
    <s v="TOTAL DE INICIATIVAS EN CONVENIO / LICITACION / ADJUDICACION"/>
    <m/>
    <m/>
    <m/>
    <m/>
    <m/>
    <m/>
    <m/>
    <n v="18569667511"/>
    <n v="0"/>
    <m/>
    <n v="6941459001"/>
    <n v="0"/>
    <n v="6941459001"/>
    <n v="0"/>
    <n v="0"/>
    <n v="0"/>
    <n v="0"/>
    <n v="0"/>
    <n v="0"/>
    <n v="0"/>
    <n v="0"/>
    <n v="0"/>
    <n v="0"/>
    <n v="0"/>
    <n v="0"/>
    <m/>
    <n v="6790000000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FOMENTO"/>
    <m/>
    <m/>
    <m/>
    <m/>
    <m/>
    <m/>
    <m/>
    <n v="40599639090"/>
    <n v="12223592199"/>
    <m/>
    <n v="13682598146"/>
    <n v="1347452418"/>
    <n v="12335145728"/>
    <n v="0"/>
    <n v="0"/>
    <n v="0"/>
    <n v="0"/>
    <n v="0"/>
    <n v="466655149"/>
    <n v="50144214"/>
    <n v="140167108"/>
    <n v="175426362"/>
    <n v="515059585"/>
    <n v="0"/>
    <n v="0"/>
    <m/>
    <n v="14693448745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x v="0"/>
    <m/>
    <m/>
    <m/>
    <m/>
    <m/>
    <m/>
    <m/>
    <m/>
    <s v="TOTAL PRESUPUESTO 2020"/>
    <m/>
    <m/>
    <m/>
    <m/>
    <m/>
    <m/>
    <m/>
    <n v="433393155830"/>
    <n v="109281988968"/>
    <m/>
    <n v="110295558389.33333"/>
    <n v="40090186269"/>
    <n v="70205372120.333328"/>
    <n v="0"/>
    <n v="0"/>
    <n v="0"/>
    <n v="0"/>
    <n v="0"/>
    <n v="3666740688"/>
    <n v="5684834714"/>
    <n v="5022881123"/>
    <n v="6520346324"/>
    <n v="6589090637"/>
    <n v="7082868531"/>
    <n v="5523424252"/>
    <m/>
    <n v="213815608472.66666"/>
    <m/>
    <m/>
    <m/>
  </r>
  <r>
    <m/>
    <m/>
    <m/>
    <m/>
    <m/>
    <x v="0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06"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CONECTIVIDAD"/>
    <s v="OSORNO"/>
    <s v="OSORNO"/>
    <n v="1"/>
    <s v="FAR"/>
    <s v="EJECUCION"/>
    <n v="30043744"/>
    <m/>
    <s v="Ignacio Ortiz Martin"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1326112538"/>
    <n v="712617316"/>
    <n v="613495222"/>
    <n v="0"/>
    <n v="0"/>
    <n v="0"/>
    <n v="0"/>
    <n v="0"/>
    <n v="0"/>
    <n v="332864655"/>
    <n v="0"/>
    <n v="0"/>
    <n v="180086508"/>
    <n v="0"/>
    <n v="199666153"/>
    <m/>
    <n v="621439216"/>
    <s v="RS"/>
    <s v="RS"/>
    <s v="En Ejecución "/>
  </r>
  <r>
    <n v="31"/>
    <s v="A"/>
    <x v="2"/>
    <s v="URBANO"/>
    <s v="SOCIAL"/>
    <s v="OSORNO"/>
    <s v="OSORNO"/>
    <n v="1"/>
    <s v="LIBRE"/>
    <s v="EJECUCION"/>
    <n v="30070862"/>
    <m/>
    <e v="#N/A"/>
    <s v="30070862EJECUCION"/>
    <m/>
    <s v="REPOSICION LICEO CARMELA CARVAJAL DE PRAT, OSORNO."/>
    <s v="* CERT. 246 22.08.19 - APRUEBA AUMENTO PPTO"/>
    <m/>
    <m/>
    <m/>
    <m/>
    <m/>
    <m/>
    <n v="7370081000"/>
    <n v="0"/>
    <m/>
    <n v="1397145700"/>
    <n v="556758918"/>
    <n v="840386782"/>
    <n v="0"/>
    <n v="0"/>
    <n v="0"/>
    <n v="0"/>
    <n v="0"/>
    <n v="188084339"/>
    <n v="202156837"/>
    <n v="166517742"/>
    <n v="0"/>
    <n v="0"/>
    <n v="0"/>
    <n v="0"/>
    <m/>
    <n v="5972935300"/>
    <s v="RS"/>
    <s v="RS"/>
    <s v="En Ejecución "/>
  </r>
  <r>
    <n v="31"/>
    <s v="A"/>
    <x v="3"/>
    <s v="URBANO"/>
    <s v="SOCIAL"/>
    <s v="OSORNO"/>
    <s v="OSORNO"/>
    <n v="1"/>
    <s v="LIBRE"/>
    <s v="EJECUCION"/>
    <n v="30165522"/>
    <m/>
    <s v="GLORIA DEL CARMEN QUEZADA VELASQUEZ"/>
    <s v="30165522EJECUCION"/>
    <m/>
    <s v="CONSERVACION Y EQUIP. EDIFI. CIAS. BOMBEROS 4TA;5TA Y CUARTEL GENERAL (C33)"/>
    <m/>
    <m/>
    <m/>
    <m/>
    <m/>
    <m/>
    <m/>
    <n v="820000000"/>
    <n v="346084133"/>
    <m/>
    <n v="473915867"/>
    <n v="273385780"/>
    <n v="200530087"/>
    <n v="0"/>
    <n v="0"/>
    <n v="0"/>
    <n v="0"/>
    <n v="0"/>
    <n v="69573418"/>
    <n v="0"/>
    <n v="50255490"/>
    <n v="1111111"/>
    <n v="82363638"/>
    <n v="46903950"/>
    <n v="23178173"/>
    <m/>
    <n v="0"/>
    <s v="RS*"/>
    <s v="C33"/>
    <s v="En Ejecución "/>
  </r>
  <r>
    <n v="31"/>
    <s v="A"/>
    <x v="4"/>
    <s v="URBANO"/>
    <s v="SOCIAL"/>
    <s v="OSORNO"/>
    <s v="OSORNO"/>
    <n v="1"/>
    <s v="LIBRE"/>
    <s v="EJECUCION"/>
    <n v="30135711"/>
    <m/>
    <s v="GLORIA DEL CARMEN QUEZADA VELASQUEZ"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m/>
    <m/>
    <m/>
    <m/>
    <n v="0"/>
    <n v="0"/>
    <n v="0"/>
    <n v="0"/>
    <n v="6990"/>
    <n v="0"/>
    <n v="0"/>
    <m/>
    <n v="0"/>
    <s v="RS"/>
    <s v="RS"/>
    <s v="En Ejecución "/>
  </r>
  <r>
    <n v="31"/>
    <s v="A"/>
    <x v="1"/>
    <s v="URBANO"/>
    <s v="SOCIAL"/>
    <s v="OSORNO"/>
    <s v="OSORNO"/>
    <n v="1"/>
    <s v="FAR"/>
    <s v="EJECUCION"/>
    <n v="40003069"/>
    <m/>
    <e v="#N/A"/>
    <s v="40003069EJECUCION"/>
    <s v="2308-91-LE19"/>
    <s v="CONSERVACION VEREDAS CERVANTES COMUNA DE OSORNO (C33)"/>
    <m/>
    <m/>
    <m/>
    <m/>
    <m/>
    <m/>
    <m/>
    <n v="77510000"/>
    <n v="0"/>
    <m/>
    <n v="77510000"/>
    <n v="69336255"/>
    <n v="8173745"/>
    <n v="0"/>
    <n v="0"/>
    <n v="0"/>
    <n v="0"/>
    <n v="0"/>
    <n v="0"/>
    <n v="0"/>
    <n v="0"/>
    <n v="19739016"/>
    <n v="0"/>
    <n v="49597239"/>
    <n v="0"/>
    <m/>
    <n v="0"/>
    <s v="RS*"/>
    <s v="C33"/>
    <s v="En Ejecución "/>
  </r>
  <r>
    <n v="31"/>
    <s v="A"/>
    <x v="2"/>
    <s v="URBANO"/>
    <s v="SOCIAL"/>
    <s v="OSORNO"/>
    <s v="OSORNO"/>
    <n v="1"/>
    <s v="LIBRE"/>
    <s v="EJECUCION"/>
    <n v="30134836"/>
    <m/>
    <e v="#N/A"/>
    <s v="30134836EJECUCION"/>
    <s v="2308-97-LR19"/>
    <s v="REPOSICION ESCUELA RURAL WALTERIO MEYER RUSCA, AGUA BUENA, OSORNO"/>
    <m/>
    <m/>
    <m/>
    <m/>
    <m/>
    <m/>
    <m/>
    <n v="3295526000"/>
    <n v="0"/>
    <m/>
    <n v="528510046"/>
    <n v="428516676"/>
    <n v="99993370"/>
    <n v="0"/>
    <n v="0"/>
    <n v="0"/>
    <n v="0"/>
    <n v="0"/>
    <n v="182582886"/>
    <n v="142177586"/>
    <n v="0"/>
    <n v="103756204"/>
    <n v="0"/>
    <n v="0"/>
    <n v="0"/>
    <m/>
    <n v="2767015954"/>
    <s v="RS"/>
    <s v="RS"/>
    <s v="En Ejecución "/>
  </r>
  <r>
    <n v="31"/>
    <s v="A"/>
    <x v="5"/>
    <s v="URBANO"/>
    <s v="SOCIAL"/>
    <s v="OSORNO"/>
    <s v="OSORNO"/>
    <n v="1"/>
    <s v="LIBRE"/>
    <s v="EJECUCION"/>
    <n v="40004690"/>
    <m/>
    <e v="#N/A"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588530954"/>
    <n v="131911401"/>
    <n v="456619553"/>
    <n v="0"/>
    <n v="0"/>
    <n v="0"/>
    <n v="0"/>
    <n v="0"/>
    <n v="44638361"/>
    <n v="0"/>
    <n v="20426126"/>
    <n v="66846914"/>
    <n v="0"/>
    <n v="0"/>
    <n v="0"/>
    <m/>
    <n v="538510046"/>
    <s v="RS"/>
    <s v="RS"/>
    <s v="En Ejecución "/>
  </r>
  <r>
    <n v="31"/>
    <s v="A"/>
    <x v="6"/>
    <s v="URBANO"/>
    <s v="SOCIAL"/>
    <s v="OSORNO"/>
    <s v="OSORNO"/>
    <n v="1"/>
    <s v="LIBRE"/>
    <s v="EJECUCION"/>
    <n v="30087456"/>
    <m/>
    <s v="Ignacio Ortiz Martin"/>
    <s v="30087456EJECUCION"/>
    <m/>
    <s v="** CONSTRUCCION CENTRO DE DIALIZADOS Y TRANSPLANTADOS RENALES"/>
    <s v="* CERT. CORE 133 ABRIL 2020 - INCORPORA SALDO"/>
    <m/>
    <m/>
    <m/>
    <m/>
    <m/>
    <m/>
    <n v="621261710"/>
    <n v="609651710"/>
    <m/>
    <n v="5565145"/>
    <n v="5565145"/>
    <n v="0"/>
    <m/>
    <m/>
    <m/>
    <m/>
    <m/>
    <n v="0"/>
    <n v="0"/>
    <n v="0"/>
    <n v="5565145"/>
    <m/>
    <m/>
    <m/>
    <m/>
    <n v="6044855"/>
    <s v="RS"/>
    <s v="RS"/>
    <s v="En Ejecución "/>
  </r>
  <r>
    <n v="31"/>
    <s v="A"/>
    <x v="7"/>
    <s v="RURAL"/>
    <s v="SOCIAL"/>
    <s v="OSORNO"/>
    <s v="OSORNO"/>
    <n v="1"/>
    <s v="LIBRE"/>
    <s v="EJECUCION"/>
    <n v="30257472"/>
    <m/>
    <e v="#N/A"/>
    <s v="30257472EJECUCION"/>
    <s v="2308-101-LR19"/>
    <s v="CONSTRUCCION RED DE ALCANTARILLADO Y PLANTA DE TRATAMIENTO SECTOR PICHIL, OSORNO"/>
    <s v="* CERT. CORE 175 20.06 - APRUEBA ETAPA EJECUCION CON CARGO FNDR."/>
    <m/>
    <m/>
    <m/>
    <m/>
    <m/>
    <m/>
    <n v="508482000"/>
    <n v="0"/>
    <m/>
    <n v="508482000"/>
    <n v="19628868"/>
    <n v="488853132"/>
    <n v="0"/>
    <n v="0"/>
    <n v="0"/>
    <n v="0"/>
    <n v="0"/>
    <n v="0"/>
    <n v="0"/>
    <n v="0"/>
    <n v="19628868"/>
    <n v="0"/>
    <n v="0"/>
    <n v="0"/>
    <m/>
    <n v="0"/>
    <s v="RS"/>
    <s v="RS"/>
    <s v="En Ejecución "/>
  </r>
  <r>
    <n v="31"/>
    <s v="A"/>
    <x v="6"/>
    <s v="URBANO"/>
    <s v="SOCIAL"/>
    <s v="OSORNO"/>
    <s v="OSORNO"/>
    <n v="1"/>
    <s v="LIBRE"/>
    <s v="EJECUCION"/>
    <n v="30062818"/>
    <m/>
    <s v="Ignacio Ortiz Martin"/>
    <s v="30062818EJECUCION"/>
    <m/>
    <s v="** AMPLIACION CESFAM OVEJERIA OSORNO"/>
    <s v="* CERT. CORE 117 ABRIL 2020 INCOPORA SALDO"/>
    <m/>
    <m/>
    <m/>
    <m/>
    <m/>
    <m/>
    <n v="3289875729"/>
    <n v="3213972235"/>
    <m/>
    <n v="75903493"/>
    <n v="0"/>
    <n v="75903493"/>
    <m/>
    <m/>
    <m/>
    <m/>
    <m/>
    <n v="0"/>
    <n v="0"/>
    <n v="0"/>
    <n v="0"/>
    <m/>
    <m/>
    <m/>
    <m/>
    <n v="1"/>
    <s v="RS"/>
    <s v="RS"/>
    <s v="En Ejecución "/>
  </r>
  <r>
    <n v="31"/>
    <s v="A"/>
    <x v="6"/>
    <s v="URBANO"/>
    <s v="SOCIAL"/>
    <s v="OSORNO"/>
    <s v="OSORNO"/>
    <n v="1"/>
    <s v="LIBRE"/>
    <s v="EJECUCION"/>
    <n v="30129384"/>
    <m/>
    <s v="Ignacio Ortiz Martin"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m/>
    <m/>
    <m/>
    <m/>
    <n v="0"/>
    <n v="7039913"/>
    <n v="0"/>
    <n v="0"/>
    <m/>
    <m/>
    <m/>
    <m/>
    <n v="0"/>
    <s v="RS"/>
    <s v="RS"/>
    <s v="En Ejecución "/>
  </r>
  <r>
    <n v="31"/>
    <s v="A"/>
    <x v="6"/>
    <s v="URBANO"/>
    <s v="SOCIAL"/>
    <s v="OSORNO"/>
    <s v="OSORNO"/>
    <n v="1"/>
    <s v="LIBRE"/>
    <s v="EJECUCION"/>
    <n v="30470902"/>
    <m/>
    <s v="Ignacio Ortiz Martin"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m/>
    <m/>
    <m/>
    <m/>
    <n v="0"/>
    <n v="0"/>
    <n v="0"/>
    <n v="0"/>
    <m/>
    <m/>
    <m/>
    <m/>
    <n v="0"/>
    <s v="RS"/>
    <s v="RS"/>
    <s v="En Ejecución "/>
  </r>
  <r>
    <n v="33"/>
    <s v="A"/>
    <x v="4"/>
    <s v="URBANO"/>
    <s v="SOCIAL"/>
    <s v="OSORNO"/>
    <s v="OSORNO"/>
    <n v="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OSORNO"/>
    <n v="1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9472062"/>
    <n v="209472062"/>
    <n v="0"/>
    <n v="0"/>
    <n v="0"/>
    <n v="0"/>
    <n v="0"/>
    <n v="0"/>
    <n v="30866995"/>
    <n v="69416176"/>
    <n v="0"/>
    <n v="109188891"/>
    <n v="0"/>
    <n v="0"/>
    <n v="0"/>
    <m/>
    <n v="-9472062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9125238574"/>
    <n v="13864577742"/>
    <m/>
    <n v="5364187522"/>
    <n v="2414239324"/>
    <n v="2949948198"/>
    <n v="0"/>
    <n v="0"/>
    <n v="0"/>
    <n v="0"/>
    <n v="0"/>
    <n v="515745999"/>
    <n v="753655167"/>
    <n v="237199358"/>
    <n v="325836149"/>
    <n v="262457136"/>
    <n v="96501189"/>
    <n v="222844326"/>
    <m/>
    <n v="989647331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SOCIAL"/>
    <s v="OSORNO"/>
    <s v="OSORNO"/>
    <n v="1"/>
    <s v="LIBRE"/>
    <s v="EJECUCION"/>
    <n v="30463800"/>
    <m/>
    <e v="#N/A"/>
    <s v="30463800EJECUCION"/>
    <m/>
    <s v="* REPOSICION HOSPEDERIA HOGAR DE CRISTO, OSORNO"/>
    <m/>
    <m/>
    <m/>
    <m/>
    <m/>
    <m/>
    <m/>
    <n v="4144186000"/>
    <n v="0"/>
    <m/>
    <n v="295944484"/>
    <n v="0"/>
    <n v="295944484"/>
    <n v="0"/>
    <n v="0"/>
    <n v="0"/>
    <n v="0"/>
    <n v="0"/>
    <n v="0"/>
    <n v="0"/>
    <n v="0"/>
    <n v="0"/>
    <n v="0"/>
    <n v="0"/>
    <n v="0"/>
    <m/>
    <n v="3848241516"/>
    <s v="RS"/>
    <s v="RS"/>
    <s v="Convenio en Confección"/>
  </r>
  <r>
    <n v="31"/>
    <s v="A"/>
    <x v="1"/>
    <s v="URBANO"/>
    <s v="SOCIAL"/>
    <s v="OSORNO"/>
    <s v="OSORNO"/>
    <n v="1"/>
    <s v="LIBRE"/>
    <s v="EJECUCION"/>
    <n v="30123182"/>
    <s v="G"/>
    <e v="#N/A"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5079270000"/>
    <s v="RS"/>
    <s v="RS"/>
    <s v="Licitación Adjudicada"/>
  </r>
  <r>
    <n v="31"/>
    <s v="N"/>
    <x v="1"/>
    <s v="URBANO"/>
    <s v="SOCIAL"/>
    <s v="OSORNO"/>
    <s v="OSORNO"/>
    <n v="1"/>
    <s v="LIBRE"/>
    <s v="EJECUCION"/>
    <n v="40019022"/>
    <m/>
    <e v="#N/A"/>
    <s v="40019022EJECUCION"/>
    <m/>
    <s v="* REPOSICION VEREDAS POBLACION ANGULO, COMUNA DE OSORNO"/>
    <s v="* CERT. CORE 206 07.19 - SE INCORPORA AL PPTO 2019 CON CARGO AL FNDR / * CERT. CORE 162 05,20 CAMBIA NOMBRE "/>
    <m/>
    <m/>
    <m/>
    <m/>
    <m/>
    <m/>
    <n v="519400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439400000"/>
    <s v="RS"/>
    <s v="RS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0242856000"/>
    <n v="0"/>
    <m/>
    <n v="875944484"/>
    <n v="0"/>
    <n v="875944484"/>
    <n v="0"/>
    <n v="0"/>
    <n v="0"/>
    <n v="0"/>
    <n v="0"/>
    <n v="0"/>
    <n v="0"/>
    <n v="0"/>
    <n v="0"/>
    <n v="0"/>
    <n v="0"/>
    <n v="0"/>
    <m/>
    <n v="936691151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OSORNO"/>
    <m/>
    <m/>
    <m/>
    <m/>
    <m/>
    <m/>
    <m/>
    <n v="39368094574"/>
    <n v="13864577742"/>
    <m/>
    <n v="6240132006"/>
    <n v="2414239324"/>
    <n v="3825892682"/>
    <n v="0"/>
    <n v="0"/>
    <n v="0"/>
    <n v="0"/>
    <n v="0"/>
    <n v="515745999"/>
    <n v="753655167"/>
    <n v="237199358"/>
    <n v="325836149"/>
    <n v="262457136"/>
    <n v="96501189"/>
    <n v="222844326"/>
    <m/>
    <n v="1926338482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PTO. OCTAY"/>
    <n v="2"/>
    <s v="LIBRE"/>
    <s v="DISEÑO"/>
    <n v="30412923"/>
    <m/>
    <s v="Ignacio Ortiz Martin"/>
    <s v="30412923DISEÑO"/>
    <m/>
    <s v="CONSTRUCCION POSTA SALUD EL PONCHO"/>
    <m/>
    <m/>
    <m/>
    <m/>
    <m/>
    <m/>
    <m/>
    <n v="19780000"/>
    <n v="7512000"/>
    <m/>
    <n v="12268000"/>
    <n v="0"/>
    <n v="12268000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n v="31"/>
    <s v="A"/>
    <x v="2"/>
    <s v="RURAL"/>
    <s v="SOCIAL"/>
    <s v="OSORNO"/>
    <s v="PTO. OCTAY"/>
    <n v="2"/>
    <s v="FIE"/>
    <s v="EJECUCION"/>
    <n v="30478036"/>
    <m/>
    <e v="#N/A"/>
    <s v="30478036EJECUCION"/>
    <s v="739231-39-LR19"/>
    <s v="REPOSICION ESCUELA RURAL EL ISLOTE RUPANCO, PUERTO OCTAY"/>
    <s v="* CERT. CORE 247 22.08.19 - APRUEBA REINCORPORAR CON CARGO AL FNDR."/>
    <m/>
    <m/>
    <m/>
    <m/>
    <m/>
    <m/>
    <n v="1262109000"/>
    <n v="0"/>
    <m/>
    <n v="566061838"/>
    <n v="566061838"/>
    <n v="0"/>
    <n v="0"/>
    <n v="0"/>
    <n v="0"/>
    <n v="0"/>
    <n v="0"/>
    <n v="230229291"/>
    <n v="0"/>
    <n v="117327599"/>
    <n v="0"/>
    <n v="143857420"/>
    <n v="32277284"/>
    <n v="42370244"/>
    <m/>
    <n v="696047162"/>
    <s v="RS"/>
    <s v="RS"/>
    <s v="En Ejecución "/>
  </r>
  <r>
    <n v="29"/>
    <s v="A"/>
    <x v="4"/>
    <s v="RURAL"/>
    <s v="SOCIAL"/>
    <s v="OSORNO"/>
    <s v="PTO. OCTAY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36404510"/>
    <n v="17007052"/>
    <n v="19397458"/>
    <m/>
    <m/>
    <m/>
    <m/>
    <m/>
    <n v="0"/>
    <n v="0"/>
    <n v="0"/>
    <n v="0"/>
    <n v="17007052"/>
    <n v="0"/>
    <n v="0"/>
    <m/>
    <n v="10719490"/>
    <s v="RS*"/>
    <s v="C33"/>
    <s v="En Ejecución "/>
  </r>
  <r>
    <n v="31"/>
    <s v="A"/>
    <x v="1"/>
    <s v="RURAL"/>
    <s v="SOCIAL"/>
    <s v="OSORNO"/>
    <s v="PTO. OCTAY"/>
    <n v="2"/>
    <s v="FAR"/>
    <s v="EJECUCION"/>
    <n v="40008506"/>
    <m/>
    <e v="#N/A"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2153000"/>
    <n v="441005926"/>
    <n v="81147074"/>
    <n v="0"/>
    <n v="0"/>
    <n v="0"/>
    <n v="0"/>
    <n v="0"/>
    <n v="181999954"/>
    <n v="0"/>
    <n v="76487317"/>
    <n v="53359322"/>
    <n v="127159333"/>
    <n v="2000000"/>
    <n v="0"/>
    <m/>
    <n v="3400000"/>
    <s v="RS*"/>
    <s v="C33"/>
    <s v="En Ejecución "/>
  </r>
  <r>
    <n v="33"/>
    <s v="A"/>
    <x v="4"/>
    <s v="URBANO"/>
    <s v="SOCIAL"/>
    <s v="OSORNO"/>
    <s v="PTO. OCTAY"/>
    <n v="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PTO. OCTAY"/>
    <n v="2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63176346"/>
    <n v="136823654"/>
    <n v="0"/>
    <n v="0"/>
    <n v="0"/>
    <n v="0"/>
    <n v="0"/>
    <n v="0"/>
    <n v="0"/>
    <n v="0"/>
    <n v="63176346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154566000"/>
    <n v="7512000"/>
    <m/>
    <n v="1436887348"/>
    <n v="1087251162"/>
    <n v="349636186"/>
    <n v="0"/>
    <n v="0"/>
    <n v="0"/>
    <n v="0"/>
    <n v="0"/>
    <n v="412229245"/>
    <n v="0"/>
    <n v="193814916"/>
    <n v="116535668"/>
    <n v="288023805"/>
    <n v="34277284"/>
    <n v="42370244"/>
    <m/>
    <n v="71016665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RURAL"/>
    <s v="CONECTIVIDAD"/>
    <s v="OSORNO"/>
    <s v="PTO. OCTAY"/>
    <n v="2"/>
    <s v="FAR"/>
    <s v="EJECUCION"/>
    <n v="40013401"/>
    <m/>
    <s v="GLORIA DEL CARMEN QUEZADA VELASQUEZ"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284568728"/>
    <n v="0"/>
    <n v="284568728"/>
    <n v="0"/>
    <n v="0"/>
    <n v="0"/>
    <n v="0"/>
    <n v="0"/>
    <n v="0"/>
    <n v="0"/>
    <n v="0"/>
    <n v="0"/>
    <n v="0"/>
    <n v="0"/>
    <n v="0"/>
    <m/>
    <n v="164543272"/>
    <s v="RS*"/>
    <s v="C33"/>
    <s v="En Licitación"/>
  </r>
  <r>
    <n v="29"/>
    <s v="N"/>
    <x v="4"/>
    <s v="URBANO"/>
    <s v="SOCIAL"/>
    <s v="OSORNO"/>
    <s v="PTO. OCTAY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749112000"/>
    <n v="0"/>
    <m/>
    <n v="584568728"/>
    <n v="0"/>
    <n v="584568728"/>
    <n v="0"/>
    <n v="0"/>
    <n v="0"/>
    <n v="0"/>
    <n v="0"/>
    <n v="0"/>
    <n v="0"/>
    <n v="0"/>
    <n v="0"/>
    <n v="0"/>
    <n v="0"/>
    <n v="0"/>
    <m/>
    <n v="16454327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ERTO OCTAY"/>
    <m/>
    <m/>
    <m/>
    <m/>
    <m/>
    <m/>
    <m/>
    <n v="2903678000"/>
    <n v="7512000"/>
    <m/>
    <n v="2021456076"/>
    <n v="1087251162"/>
    <n v="934204914"/>
    <n v="0"/>
    <n v="0"/>
    <n v="0"/>
    <n v="0"/>
    <n v="0"/>
    <n v="412229245"/>
    <n v="0"/>
    <n v="193814916"/>
    <n v="116535668"/>
    <n v="288023805"/>
    <n v="34277284"/>
    <n v="42370244"/>
    <m/>
    <n v="87470992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OSORNO"/>
    <s v="PURRANQUE"/>
    <n v="3"/>
    <s v="LIBRE"/>
    <s v="EJECUCION"/>
    <n v="30397335"/>
    <m/>
    <s v="GLORIA DEL CARMEN QUEZADA VELASQUEZ"/>
    <s v="30397335EJECUCION"/>
    <m/>
    <s v="CONSTRUCCION SERVICIO APR COLONIA PONCE, PURRANQUE"/>
    <m/>
    <m/>
    <m/>
    <m/>
    <m/>
    <m/>
    <m/>
    <n v="529939000"/>
    <n v="234367073"/>
    <m/>
    <n v="295571927"/>
    <n v="232563115"/>
    <n v="63008812"/>
    <n v="0"/>
    <n v="0"/>
    <n v="0"/>
    <n v="0"/>
    <n v="0"/>
    <n v="0"/>
    <n v="1437500"/>
    <n v="88750560"/>
    <n v="1437500"/>
    <n v="27733376"/>
    <n v="30903705"/>
    <n v="82300474"/>
    <m/>
    <n v="0"/>
    <s v="RS"/>
    <s v="RS"/>
    <s v="En Ejecución "/>
  </r>
  <r>
    <n v="31"/>
    <s v="A"/>
    <x v="5"/>
    <s v="RURAL"/>
    <s v="SOCIAL"/>
    <s v="OSORNO"/>
    <s v="PURRANQUE"/>
    <n v="3"/>
    <s v="FAR"/>
    <s v="EJECUCION"/>
    <n v="30134930"/>
    <m/>
    <s v="GLORIA DEL CARMEN QUEZADA VELASQUEZ"/>
    <s v="30134930EJECUCION"/>
    <m/>
    <s v="CONSTRUCCION ESTADIO CORTE-ALTO, PURRANQUE"/>
    <m/>
    <m/>
    <m/>
    <m/>
    <m/>
    <m/>
    <m/>
    <n v="1004973000"/>
    <n v="315623727"/>
    <m/>
    <n v="549604272"/>
    <n v="450936556"/>
    <n v="98667716"/>
    <n v="0"/>
    <n v="0"/>
    <n v="0"/>
    <n v="0"/>
    <n v="0"/>
    <n v="74972489"/>
    <n v="28757605"/>
    <n v="118465254"/>
    <n v="0"/>
    <n v="125744916"/>
    <n v="102996292"/>
    <n v="0"/>
    <m/>
    <n v="139745001"/>
    <s v="RS"/>
    <s v="RS"/>
    <s v="En Ejecución "/>
  </r>
  <r>
    <n v="31"/>
    <s v="A"/>
    <x v="1"/>
    <s v="RURAL"/>
    <s v="SOCIAL"/>
    <s v="OSORNO"/>
    <s v="PURRANQUE"/>
    <n v="3"/>
    <s v="FAR"/>
    <s v="EJECUCION"/>
    <n v="40005410"/>
    <m/>
    <s v="GLORIA DEL CARMEN QUEZADA VELASQUEZ"/>
    <s v="40005410EJECUCION"/>
    <m/>
    <s v="CONSERVACION VEREDAS SECTOR CENTRO NORTE, COMUNA DE PURRANQUE (C33)"/>
    <m/>
    <m/>
    <m/>
    <m/>
    <m/>
    <m/>
    <m/>
    <n v="521481000"/>
    <n v="215960599"/>
    <m/>
    <n v="305520401"/>
    <n v="277529490"/>
    <n v="27990911"/>
    <n v="0"/>
    <n v="0"/>
    <n v="0"/>
    <n v="0"/>
    <n v="0"/>
    <n v="34551979"/>
    <n v="0"/>
    <n v="0"/>
    <n v="0"/>
    <n v="14219107"/>
    <n v="228758404"/>
    <n v="0"/>
    <m/>
    <n v="0"/>
    <s v="RS*"/>
    <s v="C33"/>
    <s v="En Ejecución "/>
  </r>
  <r>
    <n v="31"/>
    <s v="A"/>
    <x v="1"/>
    <s v="RURAL"/>
    <s v="SOCIAL"/>
    <s v="OSORNO"/>
    <s v="PURRANQUE"/>
    <n v="3"/>
    <s v="FAR"/>
    <s v="EJECUCION"/>
    <n v="40005409"/>
    <m/>
    <s v="GLORIA DEL CARMEN QUEZADA VELASQUEZ"/>
    <s v="40005409EJECUCION"/>
    <m/>
    <s v="CONSERVACION CAMINOS NO ENROLADOS COMUNA DE PURRANQUE (C33)"/>
    <m/>
    <m/>
    <m/>
    <m/>
    <m/>
    <m/>
    <m/>
    <n v="358631000"/>
    <n v="165275947"/>
    <m/>
    <n v="193355053"/>
    <n v="125059189"/>
    <n v="68295864"/>
    <n v="0"/>
    <n v="0"/>
    <n v="0"/>
    <n v="0"/>
    <n v="0"/>
    <n v="35943384"/>
    <n v="0"/>
    <n v="0"/>
    <n v="0"/>
    <n v="12234359"/>
    <n v="76881446"/>
    <n v="0"/>
    <m/>
    <n v="0"/>
    <s v="RS*"/>
    <s v="C33"/>
    <s v="En Ejecución "/>
  </r>
  <r>
    <n v="31"/>
    <s v="A"/>
    <x v="6"/>
    <s v="RURAL"/>
    <s v="SOCIAL"/>
    <s v="OSORNO"/>
    <s v="PURRANQUE"/>
    <n v="3"/>
    <s v="LIBRE"/>
    <s v="DISEÑO"/>
    <n v="30171924"/>
    <m/>
    <s v="(en blanco)"/>
    <s v="30171924DISEÑO"/>
    <m/>
    <s v="REPOSICION POSTA RURAL COLONIA PONCE, PURRANQUE"/>
    <m/>
    <m/>
    <m/>
    <m/>
    <m/>
    <m/>
    <m/>
    <n v="21277640"/>
    <n v="16219730"/>
    <m/>
    <n v="743880"/>
    <n v="0"/>
    <n v="743880"/>
    <n v="0"/>
    <n v="0"/>
    <n v="0"/>
    <n v="0"/>
    <n v="0"/>
    <n v="0"/>
    <n v="0"/>
    <n v="0"/>
    <n v="0"/>
    <n v="0"/>
    <n v="0"/>
    <n v="0"/>
    <m/>
    <n v="4314030"/>
    <s v="RS"/>
    <s v="RS"/>
    <s v="En Ejecución "/>
  </r>
  <r>
    <n v="31"/>
    <s v="A"/>
    <x v="6"/>
    <s v="RURAL"/>
    <s v="SOCIAL"/>
    <s v="OSORNO"/>
    <s v="PURRANQUE"/>
    <n v="3"/>
    <s v="LIBRE"/>
    <s v="DISEÑO"/>
    <n v="30171875"/>
    <m/>
    <e v="#N/A"/>
    <s v="30171875DISEÑO"/>
    <s v="3443-47-LE19"/>
    <s v="REPOSICION POSTA SALUD RURAL COLIGUAL, PURRANQUE"/>
    <m/>
    <m/>
    <m/>
    <m/>
    <m/>
    <m/>
    <m/>
    <n v="25140000"/>
    <n v="0"/>
    <m/>
    <n v="8380000"/>
    <n v="4610000"/>
    <n v="3770000"/>
    <n v="0"/>
    <n v="0"/>
    <n v="0"/>
    <n v="0"/>
    <n v="0"/>
    <n v="0"/>
    <n v="0"/>
    <n v="4610000"/>
    <n v="0"/>
    <n v="0"/>
    <n v="0"/>
    <n v="0"/>
    <m/>
    <n v="16760000"/>
    <s v="RS"/>
    <s v="RS"/>
    <s v="En Ejecución "/>
  </r>
  <r>
    <n v="31"/>
    <s v="A"/>
    <x v="6"/>
    <s v="RURAL"/>
    <s v="SOCIAL"/>
    <s v="OSORNO"/>
    <s v="PURRANQUE"/>
    <n v="3"/>
    <s v="LIBRE"/>
    <s v="DISEÑO"/>
    <n v="30171923"/>
    <m/>
    <s v="Ignacio Ortiz Martin"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11700000"/>
    <n v="0"/>
    <n v="11700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x v="4"/>
    <s v="URBANO"/>
    <s v="SOCIAL"/>
    <s v="OSORNO"/>
    <s v="PURRANQUE"/>
    <n v="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PURRANQUE"/>
    <n v="3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7834777"/>
    <n v="192165223"/>
    <n v="0"/>
    <n v="0"/>
    <n v="0"/>
    <n v="0"/>
    <n v="0"/>
    <n v="0"/>
    <n v="0"/>
    <n v="6554029"/>
    <n v="1280748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780941640"/>
    <n v="955247076"/>
    <m/>
    <n v="1664875533"/>
    <n v="1098533127"/>
    <n v="566342406"/>
    <n v="0"/>
    <n v="0"/>
    <n v="0"/>
    <n v="0"/>
    <n v="0"/>
    <n v="145467852"/>
    <n v="30195105"/>
    <n v="218379843"/>
    <n v="2718248"/>
    <n v="179931758"/>
    <n v="439539847"/>
    <n v="82300474"/>
    <m/>
    <n v="16081903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PURRANQUE"/>
    <n v="3"/>
    <s v="LIBRE"/>
    <s v="DISEÑO"/>
    <n v="30068433"/>
    <m/>
    <s v="Ignacio Ortiz Martin"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6791333.3333333302"/>
    <n v="0"/>
    <n v="6791333.3333333302"/>
    <n v="0"/>
    <n v="0"/>
    <n v="0"/>
    <n v="0"/>
    <n v="0"/>
    <n v="0"/>
    <n v="0"/>
    <n v="0"/>
    <n v="0"/>
    <n v="0"/>
    <n v="0"/>
    <n v="0"/>
    <m/>
    <n v="13582666.66666667"/>
    <s v="RS"/>
    <s v="RS"/>
    <s v="En Licitación"/>
  </r>
  <r>
    <n v="31"/>
    <s v="N"/>
    <x v="8"/>
    <s v="RURAL"/>
    <s v="SOCIAL"/>
    <s v="OSORNO"/>
    <s v="PURRANQUE"/>
    <n v="3"/>
    <s v="ENERGIZACION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63100"/>
    <n v="0"/>
    <n v="15363100"/>
    <n v="0"/>
    <n v="0"/>
    <n v="0"/>
    <n v="0"/>
    <n v="0"/>
    <n v="0"/>
    <n v="0"/>
    <n v="0"/>
    <n v="0"/>
    <n v="0"/>
    <n v="0"/>
    <n v="0"/>
    <m/>
    <n v="138267900"/>
    <s v="RS"/>
    <s v="RS"/>
    <s v="Convenio en Tramite"/>
  </r>
  <r>
    <n v="29"/>
    <s v="N"/>
    <x v="3"/>
    <s v="URBANO"/>
    <s v="SOCIAL"/>
    <s v="OSORNO"/>
    <s v="PURRANQUE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72872828"/>
    <n v="0"/>
    <n v="72872828"/>
    <n v="0"/>
    <n v="0"/>
    <n v="0"/>
    <n v="0"/>
    <n v="0"/>
    <n v="0"/>
    <n v="0"/>
    <n v="0"/>
    <n v="0"/>
    <n v="0"/>
    <n v="0"/>
    <n v="0"/>
    <m/>
    <n v="443808904"/>
    <s v="RS*"/>
    <s v="C33"/>
    <s v="Convenio en Tramite"/>
  </r>
  <r>
    <n v="31"/>
    <s v="N"/>
    <x v="1"/>
    <s v="URBANO"/>
    <s v="SOCIAL"/>
    <s v="OSORNO"/>
    <s v="PURRANQUE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67286886"/>
    <n v="0"/>
    <n v="67286886"/>
    <n v="0"/>
    <n v="0"/>
    <n v="0"/>
    <n v="0"/>
    <n v="0"/>
    <n v="0"/>
    <n v="0"/>
    <n v="0"/>
    <n v="0"/>
    <n v="0"/>
    <n v="0"/>
    <n v="0"/>
    <m/>
    <n v="627004114"/>
    <s v="RS*"/>
    <s v="C33"/>
    <s v="Convenio en Tramite"/>
  </r>
  <r>
    <n v="29"/>
    <s v="N"/>
    <x v="4"/>
    <s v="URBANO"/>
    <s v="SOCIAL"/>
    <s v="OSORNO"/>
    <s v="PURRANQUE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79135000"/>
    <n v="0"/>
    <n v="79135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x v="1"/>
    <s v="RURAL"/>
    <s v="CONECTIVIDAD"/>
    <s v="OSORNO"/>
    <s v="PURRANQUE"/>
    <n v="3"/>
    <s v="FAR"/>
    <s v="EJECUCION"/>
    <n v="40019354"/>
    <m/>
    <m/>
    <s v="40019354EJECUCION"/>
    <m/>
    <s v="CONSERVACION CAMINOS NO ENROLADOS COLONIA PONCE (C33)"/>
    <m/>
    <m/>
    <m/>
    <m/>
    <m/>
    <m/>
    <m/>
    <n v="500000000"/>
    <n v="0"/>
    <m/>
    <n v="40000000"/>
    <n v="0"/>
    <n v="40000000"/>
    <n v="0"/>
    <n v="0"/>
    <n v="0"/>
    <n v="0"/>
    <n v="0"/>
    <n v="0"/>
    <n v="0"/>
    <n v="0"/>
    <n v="0"/>
    <n v="0"/>
    <n v="0"/>
    <n v="0"/>
    <m/>
    <n v="46000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964112732"/>
    <n v="0"/>
    <m/>
    <n v="281449147.33333331"/>
    <n v="0"/>
    <n v="281449147.33333331"/>
    <n v="0"/>
    <n v="0"/>
    <n v="0"/>
    <n v="0"/>
    <n v="0"/>
    <n v="0"/>
    <n v="0"/>
    <n v="0"/>
    <n v="0"/>
    <n v="0"/>
    <n v="0"/>
    <n v="0"/>
    <m/>
    <n v="1682663584.666666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RRANQUE"/>
    <m/>
    <m/>
    <m/>
    <m/>
    <m/>
    <m/>
    <m/>
    <n v="4745054372"/>
    <n v="955247076"/>
    <m/>
    <n v="1946324680.3333333"/>
    <n v="1098533127"/>
    <n v="847791553.33333325"/>
    <n v="0"/>
    <n v="0"/>
    <n v="0"/>
    <n v="0"/>
    <n v="0"/>
    <n v="145467852"/>
    <n v="30195105"/>
    <n v="218379843"/>
    <n v="2718248"/>
    <n v="179931758"/>
    <n v="439539847"/>
    <n v="82300474"/>
    <m/>
    <n v="1843482615.666666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CONECTIVIDAD"/>
    <s v="OSORNO"/>
    <s v="PUYEHUE"/>
    <n v="4"/>
    <s v="FAR"/>
    <s v="EJECUCION"/>
    <n v="40001354"/>
    <m/>
    <e v="#N/A"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98794119"/>
    <n v="176765456"/>
    <n v="22028663"/>
    <n v="0"/>
    <n v="0"/>
    <n v="0"/>
    <n v="0"/>
    <n v="0"/>
    <n v="0"/>
    <n v="0"/>
    <n v="176765456"/>
    <n v="0"/>
    <n v="0"/>
    <n v="0"/>
    <n v="0"/>
    <m/>
    <n v="0"/>
    <s v="RS*"/>
    <s v="C33"/>
    <s v="En Ejecución "/>
  </r>
  <r>
    <n v="31"/>
    <s v="A"/>
    <x v="2"/>
    <s v="RURAL"/>
    <s v="SOCIAL"/>
    <s v="OSORNO"/>
    <s v="PUYEHUE"/>
    <n v="4"/>
    <s v="LIBRE"/>
    <s v="EJECUCION"/>
    <n v="30067012"/>
    <m/>
    <s v="Ignacio Ortiz Martin"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2820514"/>
    <n v="2820514"/>
    <n v="0"/>
    <m/>
    <m/>
    <m/>
    <m/>
    <m/>
    <n v="0"/>
    <n v="678300"/>
    <n v="2142214"/>
    <n v="0"/>
    <m/>
    <m/>
    <m/>
    <m/>
    <n v="28050309"/>
    <s v="IN"/>
    <s v="IN"/>
    <s v="En Ejecución "/>
  </r>
  <r>
    <n v="29"/>
    <s v="A"/>
    <x v="1"/>
    <s v="URBANO"/>
    <s v="SOCIAL"/>
    <s v="OSORNO"/>
    <s v="PUYEHUE"/>
    <n v="4"/>
    <s v="LIBRE"/>
    <s v="EJECUCION"/>
    <n v="40018376"/>
    <m/>
    <e v="#N/A"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  <s v="C33"/>
    <s v="Terminado"/>
  </r>
  <r>
    <n v="33"/>
    <s v="A"/>
    <x v="4"/>
    <s v="URBANO"/>
    <s v="SOCIAL"/>
    <s v="OSORNO"/>
    <s v="PUYEHUE"/>
    <n v="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PUYEHUE"/>
    <n v="4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109473218"/>
    <n v="90526782"/>
    <n v="0"/>
    <n v="0"/>
    <n v="0"/>
    <n v="0"/>
    <n v="0"/>
    <n v="0"/>
    <n v="54869950"/>
    <n v="0"/>
    <n v="24692135"/>
    <n v="0"/>
    <n v="29911133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739475160"/>
    <n v="3115184988"/>
    <m/>
    <n v="596239863"/>
    <n v="383684418"/>
    <n v="212555445"/>
    <n v="0"/>
    <n v="0"/>
    <n v="0"/>
    <n v="0"/>
    <n v="0"/>
    <n v="94625230"/>
    <n v="55548250"/>
    <n v="178907670"/>
    <n v="24692135"/>
    <n v="0"/>
    <n v="29911133"/>
    <n v="0"/>
    <m/>
    <n v="2805030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CONECTIVIDAD"/>
    <s v="OSORNO"/>
    <s v="PUYEHUE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103016000"/>
    <n v="0"/>
    <n v="103016000"/>
    <n v="0"/>
    <n v="0"/>
    <n v="0"/>
    <n v="0"/>
    <n v="0"/>
    <n v="0"/>
    <n v="0"/>
    <n v="0"/>
    <n v="0"/>
    <n v="0"/>
    <n v="0"/>
    <n v="0"/>
    <m/>
    <n v="0"/>
    <s v="RS"/>
    <s v="RS"/>
    <s v="Licitación Cerrada (01.06.20)"/>
  </r>
  <r>
    <n v="31"/>
    <s v="A"/>
    <x v="6"/>
    <s v="RURAL"/>
    <s v="SALUD"/>
    <s v="OSORNO"/>
    <s v="PUYEHUE"/>
    <n v="4"/>
    <s v="LIBRE"/>
    <s v="DISEÑO"/>
    <n v="40007052"/>
    <m/>
    <e v="#N/A"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13250770"/>
    <n v="0"/>
    <n v="13250770"/>
    <n v="0"/>
    <n v="0"/>
    <n v="0"/>
    <n v="0"/>
    <n v="0"/>
    <n v="0"/>
    <n v="0"/>
    <n v="0"/>
    <n v="0"/>
    <n v="0"/>
    <n v="0"/>
    <n v="0"/>
    <m/>
    <n v="13276230"/>
    <s v="RS"/>
    <s v="RS"/>
    <s v="Licitación Desierta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29543000"/>
    <n v="0"/>
    <m/>
    <n v="116266770"/>
    <n v="0"/>
    <n v="116266770"/>
    <n v="0"/>
    <n v="0"/>
    <n v="0"/>
    <n v="0"/>
    <n v="0"/>
    <n v="0"/>
    <n v="0"/>
    <n v="0"/>
    <n v="0"/>
    <n v="0"/>
    <n v="0"/>
    <n v="0"/>
    <m/>
    <n v="1327623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YEHUE"/>
    <m/>
    <m/>
    <m/>
    <m/>
    <m/>
    <m/>
    <m/>
    <n v="3869018160"/>
    <n v="3115184988"/>
    <m/>
    <n v="712506633"/>
    <n v="383684418"/>
    <n v="328822215"/>
    <n v="0"/>
    <n v="0"/>
    <n v="0"/>
    <n v="0"/>
    <n v="0"/>
    <n v="94625230"/>
    <n v="55548250"/>
    <n v="178907670"/>
    <n v="24692135"/>
    <n v="0"/>
    <n v="29911133"/>
    <n v="0"/>
    <m/>
    <n v="4132653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OSORNO"/>
    <s v="RIO NEGRO"/>
    <n v="5"/>
    <s v="LIBRE"/>
    <s v="DISEÑO"/>
    <n v="30088194"/>
    <m/>
    <s v="Ignacio Ortiz Martin"/>
    <s v="30088194DISEÑO"/>
    <m/>
    <s v="REPOSICION ESCUELA ANDREW JACKSON RIO NEGRO"/>
    <m/>
    <m/>
    <m/>
    <m/>
    <m/>
    <m/>
    <m/>
    <n v="168868000"/>
    <n v="112337477"/>
    <m/>
    <n v="56530523"/>
    <n v="42216590"/>
    <n v="14313933"/>
    <n v="0"/>
    <n v="0"/>
    <n v="0"/>
    <n v="0"/>
    <n v="0"/>
    <n v="0"/>
    <n v="0"/>
    <n v="42216590"/>
    <n v="0"/>
    <n v="0"/>
    <n v="0"/>
    <n v="0"/>
    <m/>
    <n v="0"/>
    <s v="RS"/>
    <s v="RS"/>
    <s v="En Ejecución "/>
  </r>
  <r>
    <n v="31"/>
    <s v="A"/>
    <x v="4"/>
    <s v="URBANO"/>
    <s v="SOCIAL"/>
    <s v="OSORNO"/>
    <s v="RIO NEGRO"/>
    <n v="5"/>
    <s v="FAR"/>
    <s v="EJECUCION"/>
    <n v="30284622"/>
    <m/>
    <e v="#N/A"/>
    <s v="30284622EJECUCION"/>
    <s v="450-134-LR19"/>
    <s v="REPOSICION PLAZA DE ARMAS RIO NEGRO"/>
    <m/>
    <m/>
    <m/>
    <m/>
    <m/>
    <m/>
    <m/>
    <n v="692739000"/>
    <n v="0"/>
    <m/>
    <n v="673567593"/>
    <n v="666417182"/>
    <n v="7150411"/>
    <n v="0"/>
    <n v="0"/>
    <n v="0"/>
    <n v="0"/>
    <n v="0"/>
    <n v="1714285"/>
    <n v="1714285"/>
    <n v="113353943"/>
    <n v="245651400"/>
    <n v="181100621"/>
    <n v="122882648"/>
    <n v="0"/>
    <m/>
    <n v="19171407"/>
    <s v="RS"/>
    <s v="RS"/>
    <s v="En Ejecución "/>
  </r>
  <r>
    <n v="33"/>
    <s v="A"/>
    <x v="4"/>
    <s v="URBANO"/>
    <s v="SOCIAL"/>
    <s v="OSORNO"/>
    <s v="RIO NEGRO"/>
    <n v="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RIO NEGRO"/>
    <n v="5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79859710"/>
    <n v="20140290"/>
    <n v="0"/>
    <n v="0"/>
    <n v="0"/>
    <n v="0"/>
    <n v="0"/>
    <n v="24259524"/>
    <n v="44987754"/>
    <n v="0"/>
    <n v="0"/>
    <n v="110612432"/>
    <n v="0"/>
    <n v="0"/>
    <m/>
    <n v="0"/>
    <s v="RS**"/>
    <s v="FRIL"/>
    <s v="En Ejecución "/>
  </r>
  <r>
    <n v="31"/>
    <s v="A"/>
    <x v="4"/>
    <s v="URBANO"/>
    <s v="SOCIAL"/>
    <s v="OSORNO"/>
    <s v="RIO NEGRO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36093304"/>
    <n v="0"/>
    <n v="36093304"/>
    <m/>
    <m/>
    <m/>
    <m/>
    <m/>
    <n v="0"/>
    <m/>
    <m/>
    <m/>
    <m/>
    <m/>
    <m/>
    <m/>
    <n v="8864696"/>
    <s v="RS*"/>
    <s v="C33"/>
    <s v="En Ejecución "/>
  </r>
  <r>
    <n v="29"/>
    <s v="N"/>
    <x v="1"/>
    <s v="RURAL"/>
    <s v="CONECTIVIDAD"/>
    <s v="OSORNO"/>
    <s v="RIO NEGRO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C33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007260887"/>
    <n v="913033364"/>
    <m/>
    <n v="1066191420"/>
    <n v="888493482"/>
    <n v="177697938"/>
    <n v="0"/>
    <n v="0"/>
    <n v="0"/>
    <n v="0"/>
    <n v="0"/>
    <n v="25973809"/>
    <n v="46702039"/>
    <n v="155570533"/>
    <n v="245651400"/>
    <n v="291713053"/>
    <n v="122882648"/>
    <n v="0"/>
    <m/>
    <n v="1917140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6"/>
    <s v="RURAL"/>
    <s v="SOCIAL"/>
    <s v="OSORNO"/>
    <s v="RIO NEGRO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RIO NEGRO"/>
    <m/>
    <m/>
    <m/>
    <m/>
    <m/>
    <m/>
    <m/>
    <n v="2041600887"/>
    <n v="913033364"/>
    <m/>
    <n v="1071191420"/>
    <n v="888493482"/>
    <n v="182697938"/>
    <n v="0"/>
    <n v="0"/>
    <n v="0"/>
    <n v="0"/>
    <n v="0"/>
    <n v="25973809"/>
    <n v="46702039"/>
    <n v="155570533"/>
    <n v="245651400"/>
    <n v="291713053"/>
    <n v="122882648"/>
    <n v="0"/>
    <m/>
    <n v="5737610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OSORNO"/>
    <s v="SAN JUAN DE LA COSTA"/>
    <n v="6"/>
    <s v="FIE"/>
    <s v="EJECUCION"/>
    <n v="30110580"/>
    <m/>
    <s v="Ignacio Ortiz Martin"/>
    <s v="30110580EJECUCION"/>
    <m/>
    <s v="REPOSICION LICEO INTERNADO ANTULAFKEN PUAUCHO"/>
    <m/>
    <m/>
    <m/>
    <m/>
    <m/>
    <m/>
    <m/>
    <n v="3406943000"/>
    <n v="3059398659"/>
    <m/>
    <n v="288197803"/>
    <n v="145505558"/>
    <n v="142692245"/>
    <n v="0"/>
    <n v="0"/>
    <n v="0"/>
    <n v="0"/>
    <n v="0"/>
    <n v="0"/>
    <n v="0"/>
    <n v="142672223"/>
    <n v="0"/>
    <n v="0"/>
    <n v="0"/>
    <n v="2833335"/>
    <m/>
    <n v="59346538"/>
    <s v="RE"/>
    <s v="RE"/>
    <s v="En Ejecución / Reevaluación"/>
  </r>
  <r>
    <n v="31"/>
    <s v="N"/>
    <x v="8"/>
    <s v="RURAL"/>
    <s v="SOCIAL"/>
    <s v="OSORNO"/>
    <s v="SAN JUAN DE LA COSTA"/>
    <n v="6"/>
    <s v="ENERGIZACION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  <s v="RS"/>
    <s v="En Ejecución "/>
  </r>
  <r>
    <n v="31"/>
    <s v="A"/>
    <x v="6"/>
    <s v="RURAL"/>
    <s v="SOCIAL"/>
    <s v="OSORNO"/>
    <s v="SAN JUAN DE LA COSTA"/>
    <n v="6"/>
    <s v="LIBRE"/>
    <s v="EJECUCION"/>
    <n v="30071878"/>
    <s v="SALUD"/>
    <s v="GLORIA DEL CARMEN QUEZADA VELASQUEZ"/>
    <s v="30071878EJECUCION"/>
    <m/>
    <s v="REPOSICION CONSULTORIO DE SALUD RURAL BAHIA MANSA"/>
    <m/>
    <m/>
    <m/>
    <m/>
    <m/>
    <m/>
    <m/>
    <n v="2587228000"/>
    <n v="0"/>
    <m/>
    <n v="364048000"/>
    <n v="26644784"/>
    <n v="337403216"/>
    <n v="0"/>
    <n v="0"/>
    <n v="0"/>
    <n v="0"/>
    <n v="0"/>
    <n v="0"/>
    <n v="12994362"/>
    <n v="0"/>
    <n v="901728"/>
    <n v="12748694"/>
    <n v="0"/>
    <n v="0"/>
    <m/>
    <n v="2223180000"/>
    <s v="RS"/>
    <s v="RS"/>
    <s v="En Ejecución "/>
  </r>
  <r>
    <n v="33"/>
    <s v="A"/>
    <x v="4"/>
    <s v="URBANO"/>
    <s v="SOCIAL"/>
    <s v="OSORNO"/>
    <s v="SAN JUAN DE LA COSTA"/>
    <n v="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SAN JUAN DE LA COSTA"/>
    <n v="6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19980911"/>
    <n v="80019089"/>
    <n v="0"/>
    <n v="0"/>
    <n v="0"/>
    <n v="0"/>
    <n v="0"/>
    <n v="7574094"/>
    <n v="23293344"/>
    <n v="0"/>
    <n v="62159365"/>
    <n v="0"/>
    <n v="26954108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SAN JUAN DE LA COSTA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OSORNO"/>
    <s v="SAN PABLO"/>
    <n v="7"/>
    <s v="LIBRE"/>
    <s v="DISEÑO"/>
    <n v="30405773"/>
    <m/>
    <s v="GLORIA DEL CARMEN QUEZADA VELASQUEZ"/>
    <s v="30405773DISEÑO"/>
    <m/>
    <s v="REPOSICION POSTA RURAL LA POZA, COMUNA DE SAN PABLO"/>
    <m/>
    <m/>
    <m/>
    <m/>
    <m/>
    <m/>
    <m/>
    <n v="24900000"/>
    <n v="6679000"/>
    <m/>
    <n v="17947699"/>
    <n v="5050500"/>
    <n v="12897199"/>
    <n v="0"/>
    <n v="0"/>
    <n v="0"/>
    <n v="0"/>
    <n v="0"/>
    <n v="0"/>
    <n v="5050500"/>
    <n v="0"/>
    <n v="0"/>
    <n v="0"/>
    <n v="0"/>
    <n v="0"/>
    <m/>
    <n v="273301"/>
    <s v="RS"/>
    <s v="RS"/>
    <s v="En Ejecución "/>
  </r>
  <r>
    <n v="29"/>
    <s v="A"/>
    <x v="2"/>
    <s v="URBANO"/>
    <s v="SOCIAL"/>
    <s v="OSORNO"/>
    <s v="SAN PABLO"/>
    <n v="7"/>
    <s v="FIE"/>
    <s v="EJECUCION"/>
    <n v="40000985"/>
    <m/>
    <s v="GLORIA DEL CARMEN QUEZADA VELASQUEZ"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9014"/>
    <n v="163408107"/>
    <n v="907"/>
    <n v="0"/>
    <n v="0"/>
    <n v="0"/>
    <n v="0"/>
    <n v="0"/>
    <n v="0"/>
    <n v="0"/>
    <n v="0"/>
    <n v="105255061"/>
    <n v="58153046"/>
    <n v="0"/>
    <n v="0"/>
    <m/>
    <n v="728"/>
    <s v="RS*"/>
    <s v="C33"/>
    <s v="En Ejecución "/>
  </r>
  <r>
    <n v="29"/>
    <s v="N"/>
    <x v="6"/>
    <s v="URBANO"/>
    <s v="SOCIAL"/>
    <s v="OSORNO"/>
    <s v="SAN PABLO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  <s v="C33"/>
    <s v="Terminada"/>
  </r>
  <r>
    <n v="29"/>
    <s v="N"/>
    <x v="4"/>
    <s v="URBANO"/>
    <s v="SOCIAL"/>
    <s v="OSORNO"/>
    <s v="SAN PABLO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  <s v="C33"/>
    <s v="Terminada"/>
  </r>
  <r>
    <n v="33"/>
    <s v="A"/>
    <x v="4"/>
    <s v="URBANO"/>
    <s v="SOCIAL"/>
    <s v="OSORNO"/>
    <s v="SAN PABLO"/>
    <n v="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OSORNO"/>
    <s v="SAN PABLO"/>
    <n v="7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80049584"/>
    <n v="119950416"/>
    <n v="0"/>
    <n v="0"/>
    <n v="0"/>
    <n v="0"/>
    <n v="0"/>
    <n v="0"/>
    <n v="0"/>
    <n v="3706026"/>
    <n v="44076261"/>
    <n v="0"/>
    <n v="32267297"/>
    <n v="0"/>
    <m/>
    <n v="0"/>
    <s v="RS**"/>
    <s v="FRIL"/>
    <s v="En Ejecución "/>
  </r>
  <r>
    <n v="31"/>
    <s v="N"/>
    <x v="1"/>
    <s v="URBANO"/>
    <s v="CONECTIVIDAD"/>
    <s v="OSORNO"/>
    <s v="SAN PABLO"/>
    <n v="7"/>
    <s v="FAR"/>
    <s v="EJECUCION"/>
    <n v="30247072"/>
    <m/>
    <m/>
    <s v="30247072EJECUCION"/>
    <m/>
    <s v="MEJORAMIENTO ACCESO NORTE A SAN PABLO"/>
    <m/>
    <m/>
    <m/>
    <m/>
    <m/>
    <m/>
    <m/>
    <n v="14960000"/>
    <n v="1496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770931301"/>
    <n v="159110258"/>
    <m/>
    <n v="611547014"/>
    <n v="378698492"/>
    <n v="232848522"/>
    <n v="0"/>
    <n v="0"/>
    <n v="0"/>
    <n v="0"/>
    <n v="0"/>
    <n v="89690300"/>
    <n v="5050500"/>
    <n v="44206027"/>
    <n v="149331322"/>
    <n v="58153046"/>
    <n v="32267297"/>
    <n v="0"/>
    <m/>
    <n v="27402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2"/>
    <s v="URBANO"/>
    <s v="SOCIAL"/>
    <s v="OSORNO"/>
    <s v="SAN PABLO"/>
    <n v="7"/>
    <s v="FIE"/>
    <s v="EJECUCION"/>
    <n v="40000986"/>
    <m/>
    <e v="#N/A"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SAN PABLO"/>
    <m/>
    <m/>
    <m/>
    <m/>
    <m/>
    <m/>
    <m/>
    <n v="1070536301"/>
    <n v="159110258"/>
    <m/>
    <n v="911152014"/>
    <n v="378698492"/>
    <n v="532453522"/>
    <n v="0"/>
    <n v="0"/>
    <n v="0"/>
    <n v="0"/>
    <n v="0"/>
    <n v="89690300"/>
    <n v="5050500"/>
    <n v="44206027"/>
    <n v="149331322"/>
    <n v="58153046"/>
    <n v="32267297"/>
    <n v="0"/>
    <m/>
    <n v="27402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RURAL"/>
    <s v="SOCIAL"/>
    <s v="OSORNO"/>
    <s v="PROV. OSORNO"/>
    <n v="8"/>
    <s v="LIBRE"/>
    <s v="EJECUCION"/>
    <n v="30086815"/>
    <s v="G"/>
    <s v="KARIN DEL CARMEN BARRIENTOS WINTER"/>
    <s v="30086815EJECUCION"/>
    <m/>
    <s v="CONSTRUCCION  RELLENO SANITARIO PROV. DE OSORNO"/>
    <m/>
    <m/>
    <m/>
    <m/>
    <m/>
    <m/>
    <m/>
    <n v="15318985549"/>
    <n v="4736606083"/>
    <m/>
    <n v="25158315"/>
    <n v="0"/>
    <n v="25158315"/>
    <n v="0"/>
    <n v="0"/>
    <n v="0"/>
    <n v="0"/>
    <n v="0"/>
    <n v="0"/>
    <n v="0"/>
    <n v="0"/>
    <n v="0"/>
    <n v="0"/>
    <n v="0"/>
    <n v="0"/>
    <m/>
    <n v="10557221151"/>
    <s v="RS"/>
    <s v="RS"/>
    <s v="En Ejecución "/>
  </r>
  <r>
    <n v="31"/>
    <s v="A"/>
    <x v="1"/>
    <s v="RURAL"/>
    <s v="CONECTIVIDAD"/>
    <s v="OSORNO"/>
    <s v="PROV. OSORNO"/>
    <n v="8"/>
    <s v="FAR"/>
    <s v="EJECUCION"/>
    <n v="40001554"/>
    <m/>
    <e v="#N/A"/>
    <s v="40001554EJECUCION"/>
    <m/>
    <s v="CONSERVACION DE CAMINOS DE ACC. COMUN. INDIGENAS PUYEHUE, RIO NEGRO Y PURRANQUE (C33)"/>
    <m/>
    <m/>
    <m/>
    <m/>
    <m/>
    <m/>
    <m/>
    <n v="271000000"/>
    <n v="45085404"/>
    <m/>
    <n v="170017735"/>
    <n v="119701022"/>
    <n v="50316713"/>
    <n v="0"/>
    <n v="0"/>
    <n v="0"/>
    <n v="0"/>
    <n v="0"/>
    <n v="0"/>
    <n v="0"/>
    <n v="16290216"/>
    <n v="0"/>
    <n v="16999179"/>
    <n v="86411627"/>
    <n v="0"/>
    <m/>
    <n v="55896861"/>
    <s v="RS*"/>
    <s v="C33"/>
    <s v="En Ejecución "/>
  </r>
  <r>
    <n v="31"/>
    <s v="A"/>
    <x v="6"/>
    <s v="URBANO"/>
    <s v="SOCIAL"/>
    <s v="OSORNO"/>
    <s v="PROV. OSORNO"/>
    <n v="8"/>
    <s v="LIBRE"/>
    <s v="EJECUCION"/>
    <n v="30126279"/>
    <s v="SALUD"/>
    <s v="GLORIA DEL CARMEN QUEZADA VELASQUEZ"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  <s v="RS"/>
    <s v="En Ejecución "/>
  </r>
  <r>
    <n v="31"/>
    <s v="A"/>
    <x v="1"/>
    <s v="RURAL"/>
    <s v="CONECTIVIDAD"/>
    <s v="OSORNO"/>
    <s v="PROV. OSORNO"/>
    <n v="8"/>
    <s v="FAR"/>
    <s v="EJECUCION"/>
    <n v="30448275"/>
    <m/>
    <s v="GLORIA DEL CARMEN QUEZADA VELASQUEZ"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8621550"/>
    <n v="0"/>
    <n v="8621550"/>
    <n v="0"/>
    <n v="0"/>
    <n v="0"/>
    <n v="0"/>
    <n v="0"/>
    <n v="0"/>
    <n v="0"/>
    <n v="0"/>
    <n v="0"/>
    <n v="0"/>
    <n v="0"/>
    <n v="0"/>
    <m/>
    <n v="7350000"/>
    <s v="RS*"/>
    <s v="C33"/>
    <s v="En Ejecución "/>
  </r>
  <r>
    <n v="31"/>
    <s v="A"/>
    <x v="3"/>
    <s v="RURAL"/>
    <s v="SOCIAL"/>
    <s v="OSORNO"/>
    <s v="PROV. OSORNO"/>
    <n v="8"/>
    <s v="LIBRE"/>
    <s v="EJECUCION"/>
    <n v="30087497"/>
    <s v="G"/>
    <s v="Ignacio Ortiz Martin"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2064914131.6666601"/>
    <n v="2060777476"/>
    <n v="4136655.6666600704"/>
    <n v="0"/>
    <n v="0"/>
    <n v="0"/>
    <n v="0"/>
    <n v="0"/>
    <n v="0"/>
    <n v="395388053"/>
    <n v="401942413"/>
    <n v="4837654"/>
    <n v="441994391"/>
    <n v="518614764"/>
    <n v="298000201"/>
    <m/>
    <n v="3741623487.3333397"/>
    <s v="RS"/>
    <s v="RS"/>
    <s v="En Ejecución "/>
  </r>
  <r>
    <n v="31"/>
    <s v="A"/>
    <x v="6"/>
    <s v="URBANO"/>
    <s v="SOCIAL"/>
    <s v="OSORNO"/>
    <s v="PROV. OSORNO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m/>
    <m/>
    <m/>
    <m/>
    <m/>
    <n v="0"/>
    <n v="0"/>
    <n v="7294860"/>
    <m/>
    <m/>
    <m/>
    <m/>
    <m/>
    <n v="107662085"/>
    <s v="RE"/>
    <s v="RE"/>
    <s v="En Ejecución "/>
  </r>
  <r>
    <n v="29"/>
    <s v="N"/>
    <x v="6"/>
    <s v="URBANO"/>
    <s v="SOCIAL"/>
    <s v="OSORNO"/>
    <s v="PROV. OSORNO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m/>
    <m/>
    <m/>
    <m/>
    <m/>
    <n v="0"/>
    <n v="163364000"/>
    <n v="0"/>
    <n v="0"/>
    <m/>
    <m/>
    <m/>
    <m/>
    <n v="0"/>
    <s v="RS*"/>
    <s v="C33"/>
    <s v="Terminada"/>
  </r>
  <r>
    <n v="29"/>
    <s v="N"/>
    <x v="6"/>
    <s v="URBANO"/>
    <s v="SOCIAL"/>
    <s v="OSORNO"/>
    <s v="PROV. OSORNO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3887869"/>
    <n v="43887869"/>
    <n v="0"/>
    <m/>
    <m/>
    <m/>
    <m/>
    <m/>
    <n v="43887869"/>
    <n v="0"/>
    <n v="0"/>
    <n v="0"/>
    <m/>
    <m/>
    <m/>
    <m/>
    <n v="443216131"/>
    <s v="RS*"/>
    <s v="C33"/>
    <s v="En Ejecución "/>
  </r>
  <r>
    <n v="31"/>
    <s v="A"/>
    <x v="6"/>
    <s v="RURAL"/>
    <s v="SOCIAL"/>
    <s v="OSORNO"/>
    <s v="PROV. OSORNO"/>
    <n v="8"/>
    <s v="LIBRE"/>
    <s v="EJECUCION"/>
    <n v="30126943"/>
    <s v="SALUD"/>
    <s v="GLORIA DEL CARMEN QUEZADA VELASQUEZ"/>
    <s v="30126943EJECUCION"/>
    <m/>
    <s v="MEJORAMIENTO HOSPITAL DE RIO NEGRO"/>
    <m/>
    <m/>
    <m/>
    <m/>
    <m/>
    <m/>
    <m/>
    <n v="3542559000"/>
    <n v="2092000"/>
    <m/>
    <n v="599559468"/>
    <n v="44744000"/>
    <n v="554815468"/>
    <n v="0"/>
    <n v="0"/>
    <n v="0"/>
    <n v="0"/>
    <n v="0"/>
    <n v="0"/>
    <n v="0"/>
    <n v="0"/>
    <n v="0"/>
    <n v="44744000"/>
    <n v="0"/>
    <n v="0"/>
    <m/>
    <n v="2940907532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3148496899.6666603"/>
    <n v="2500595634"/>
    <n v="647901265.66666007"/>
    <n v="0"/>
    <n v="0"/>
    <n v="0"/>
    <n v="0"/>
    <n v="0"/>
    <n v="43887869"/>
    <n v="560620220"/>
    <n v="458602899"/>
    <n v="4837654"/>
    <n v="529620400"/>
    <n v="605026391"/>
    <n v="298000201"/>
    <m/>
    <n v="17854048910.3333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URBANO"/>
    <s v="SOCIAL"/>
    <s v="OSORNO"/>
    <s v="PROV. OSORNO"/>
    <n v="8"/>
    <s v="LIBRE"/>
    <s v="EJECUCION"/>
    <n v="30402378"/>
    <m/>
    <e v="#N/A"/>
    <s v="30402378EJECUCION"/>
    <m/>
    <s v="DIAGNOSTICO INFRAESTRUCTURA PSR DE LA RED ASISTENCIAL DE OSORNO"/>
    <m/>
    <m/>
    <m/>
    <m/>
    <m/>
    <m/>
    <m/>
    <n v="32260000"/>
    <n v="0"/>
    <m/>
    <n v="32260000"/>
    <n v="0"/>
    <n v="32260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n v="31"/>
    <s v="N"/>
    <x v="1"/>
    <s v="URBANO"/>
    <s v="AGUA POTABLE"/>
    <s v="OSORNO"/>
    <s v="PROV. OSORNO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0"/>
    <n v="0"/>
    <n v="0"/>
    <n v="0"/>
    <n v="0"/>
    <n v="0"/>
    <n v="0"/>
    <n v="0"/>
    <n v="0"/>
    <n v="0"/>
    <n v="0"/>
    <n v="0"/>
    <n v="0"/>
    <n v="0"/>
    <n v="0"/>
    <m/>
    <n v="402984000"/>
    <s v="RS"/>
    <s v="S-FICHA"/>
    <s v="En Licitación"/>
  </r>
  <r>
    <n v="29"/>
    <s v="N"/>
    <x v="6"/>
    <s v="URBANO"/>
    <s v="SOCIAL"/>
    <s v="OSORNO"/>
    <s v="PROV. OSORNO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m/>
    <m/>
    <m/>
    <m/>
    <m/>
    <n v="0"/>
    <n v="0"/>
    <n v="0"/>
    <n v="0"/>
    <n v="0"/>
    <n v="0"/>
    <n v="0"/>
    <m/>
    <n v="52816000"/>
    <s v="RS*"/>
    <s v="C33"/>
    <s v="Convenio en Confección"/>
  </r>
  <r>
    <n v="31"/>
    <s v="A"/>
    <x v="1"/>
    <s v="RURAL"/>
    <s v="CONECTIVIDAD"/>
    <s v="OSORNO"/>
    <s v="PROV. OSORNO"/>
    <n v="8"/>
    <s v="FAR"/>
    <s v="EJECUCION"/>
    <n v="30395473"/>
    <m/>
    <e v="#N/A"/>
    <s v="30395473EJECUCION"/>
    <m/>
    <s v="CONSERVACION CAMINOS BASICOS,CAMINO U-925,CARRIL-MEDIALUNA PAMPAGRANDE (C33)"/>
    <m/>
    <m/>
    <m/>
    <m/>
    <m/>
    <m/>
    <m/>
    <n v="1688957000"/>
    <n v="0"/>
    <m/>
    <n v="343614936"/>
    <n v="0"/>
    <n v="343614936"/>
    <n v="0"/>
    <n v="0"/>
    <n v="0"/>
    <n v="0"/>
    <n v="0"/>
    <n v="0"/>
    <n v="0"/>
    <n v="0"/>
    <n v="0"/>
    <n v="0"/>
    <n v="0"/>
    <n v="0"/>
    <m/>
    <n v="1345342064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177017000"/>
    <n v="0"/>
    <m/>
    <n v="375874936"/>
    <n v="0"/>
    <n v="375874936"/>
    <n v="0"/>
    <n v="0"/>
    <n v="0"/>
    <n v="0"/>
    <n v="0"/>
    <n v="0"/>
    <n v="0"/>
    <n v="0"/>
    <n v="0"/>
    <n v="0"/>
    <n v="0"/>
    <n v="0"/>
    <m/>
    <n v="180114206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LES"/>
    <m/>
    <m/>
    <m/>
    <m/>
    <m/>
    <m/>
    <m/>
    <n v="32573522567"/>
    <n v="9393959757"/>
    <m/>
    <n v="3524371835.6666603"/>
    <n v="2500595634"/>
    <n v="1023776201.6666601"/>
    <n v="0"/>
    <n v="0"/>
    <n v="0"/>
    <n v="0"/>
    <n v="0"/>
    <n v="43887869"/>
    <n v="560620220"/>
    <n v="458602899"/>
    <n v="4837654"/>
    <n v="529620400"/>
    <n v="605026391"/>
    <n v="298000201"/>
    <m/>
    <n v="19655190974.3333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OSORNO"/>
    <m/>
    <m/>
    <m/>
    <m/>
    <m/>
    <m/>
    <m/>
    <n v="93186605861"/>
    <n v="31468023844"/>
    <m/>
    <n v="17685010467.999992"/>
    <n v="9349256892"/>
    <n v="8335753575.9999933"/>
    <n v="0"/>
    <n v="0"/>
    <n v="0"/>
    <n v="0"/>
    <n v="0"/>
    <n v="1335194398"/>
    <n v="1488058987"/>
    <n v="1934983469"/>
    <n v="932663669"/>
    <n v="1622647892"/>
    <n v="1387359897"/>
    <n v="648348580"/>
    <m/>
    <n v="44033571549.00000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LLANQUIHUE"/>
    <s v="P. MONTT"/>
    <n v="9"/>
    <s v="FIE"/>
    <s v="EJECUCION"/>
    <n v="30440174"/>
    <m/>
    <s v="KARIN DEL CARMEN BARRIENTOS WINTER"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21031688"/>
    <n v="0"/>
    <n v="21031688"/>
    <n v="0"/>
    <n v="0"/>
    <n v="0"/>
    <n v="0"/>
    <n v="0"/>
    <n v="0"/>
    <n v="0"/>
    <n v="0"/>
    <n v="0"/>
    <n v="0"/>
    <n v="0"/>
    <n v="0"/>
    <m/>
    <n v="0"/>
    <s v="RS*"/>
    <s v="C33"/>
    <s v="En Ejecución "/>
  </r>
  <r>
    <n v="31"/>
    <s v="A"/>
    <x v="6"/>
    <s v="RURAL"/>
    <s v="SOCIAL"/>
    <s v="LLANQUIHUE"/>
    <s v="P. MONTT"/>
    <n v="9"/>
    <s v="LIBRE"/>
    <s v="DISEÑO"/>
    <n v="40005337"/>
    <m/>
    <e v="#N/A"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49462000"/>
    <n v="0"/>
    <n v="49462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x v="2"/>
    <s v="URBANO"/>
    <s v="SOCIAL"/>
    <s v="LLANQUIHUE"/>
    <s v="P. MONTT"/>
    <n v="9"/>
    <s v="LIBRE"/>
    <s v="EJECUCION"/>
    <n v="30103446"/>
    <m/>
    <s v="PAULINA HUIDOBRO JARAMI"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1"/>
    <s v="URBANO"/>
    <s v="SOCIAL"/>
    <s v="LLANQUIHUE"/>
    <s v="P. MONTT"/>
    <n v="9"/>
    <s v="FAR"/>
    <s v="EJECUCION"/>
    <n v="30072731"/>
    <s v="G"/>
    <s v="PAULINA HUIDOBRO JARAMI"/>
    <s v="30072731EJECUCION"/>
    <m/>
    <s v="* MEJORAMIENTO CALLE ANTONIO VARAS, PUERTO MONTT"/>
    <s v="* CERT. CORE 79 03.2020 - AUMENTA PPTO"/>
    <m/>
    <m/>
    <m/>
    <m/>
    <m/>
    <m/>
    <n v="8304377035"/>
    <n v="4050000"/>
    <m/>
    <n v="43363388"/>
    <n v="0"/>
    <n v="43363388"/>
    <n v="0"/>
    <n v="0"/>
    <n v="0"/>
    <n v="0"/>
    <n v="0"/>
    <n v="0"/>
    <n v="0"/>
    <n v="0"/>
    <n v="0"/>
    <n v="0"/>
    <n v="0"/>
    <n v="0"/>
    <m/>
    <n v="8256963647"/>
    <s v="RS"/>
    <s v="RS"/>
    <s v="En Ejecución "/>
  </r>
  <r>
    <n v="31"/>
    <s v="A"/>
    <x v="1"/>
    <s v="URBANO"/>
    <s v="CONECTIVIDAD"/>
    <s v="LLANQUIHUE"/>
    <s v="P. MONTT"/>
    <n v="9"/>
    <s v="LIBRE"/>
    <s v="EJECUCION"/>
    <n v="30080460"/>
    <m/>
    <s v="KARIN DEL CARMEN BARRIENTOS WINTER"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  <s v="RS"/>
    <s v="En Ejecución "/>
  </r>
  <r>
    <n v="31"/>
    <s v="A"/>
    <x v="4"/>
    <s v="URBANO"/>
    <s v="SOCIAL"/>
    <s v="LLANQUIHUE"/>
    <s v="P. MONTT"/>
    <n v="9"/>
    <s v="LIBRE"/>
    <s v="EJECUCION"/>
    <n v="30104476"/>
    <m/>
    <s v="KARIN DEL CARMEN BARRIENTOS WINTER"/>
    <s v="30104476EJECUCION"/>
    <m/>
    <s v="CONSTRUCCION CIERRE VERTEDERO MUNICIPAL COMUNA DE PUERTO MONTT"/>
    <m/>
    <m/>
    <m/>
    <m/>
    <m/>
    <m/>
    <m/>
    <n v="1111238000"/>
    <n v="2101000"/>
    <m/>
    <n v="308433000"/>
    <n v="108933337"/>
    <n v="199499663"/>
    <n v="0"/>
    <n v="0"/>
    <n v="0"/>
    <n v="0"/>
    <n v="0"/>
    <n v="1800000"/>
    <n v="36753623"/>
    <n v="32932146"/>
    <n v="16139435"/>
    <n v="1800000"/>
    <n v="19508133"/>
    <n v="0"/>
    <m/>
    <n v="800704000"/>
    <s v="RS"/>
    <s v="RS"/>
    <s v="En Ejecución "/>
  </r>
  <r>
    <n v="33"/>
    <s v="A"/>
    <x v="4"/>
    <s v="URBANO"/>
    <s v="SOCIAL"/>
    <s v="LLANQUIHUE"/>
    <s v="P. MONTT"/>
    <n v="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P. MONTT"/>
    <n v="9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4257666"/>
    <n v="195742334"/>
    <n v="0"/>
    <n v="0"/>
    <n v="0"/>
    <n v="0"/>
    <n v="0"/>
    <n v="684580"/>
    <n v="0"/>
    <n v="0"/>
    <n v="0"/>
    <n v="0"/>
    <n v="3573086"/>
    <n v="0"/>
    <m/>
    <n v="0"/>
    <s v="RS**"/>
    <s v="FRIL"/>
    <s v="En Ejecución "/>
  </r>
  <r>
    <n v="31"/>
    <s v="N"/>
    <x v="6"/>
    <s v="URBANO"/>
    <s v="SOCIAL"/>
    <s v="LLANQUIHUE"/>
    <s v="P. MONTT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RS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9146882427"/>
    <n v="9223947042"/>
    <m/>
    <n v="828034588"/>
    <n v="218935515"/>
    <n v="609099073"/>
    <n v="0"/>
    <n v="0"/>
    <n v="0"/>
    <n v="0"/>
    <n v="0"/>
    <n v="4984580"/>
    <n v="36753623"/>
    <n v="32932146"/>
    <n v="16139435"/>
    <n v="1800000"/>
    <n v="89615941"/>
    <n v="36709790"/>
    <m/>
    <n v="909490079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LLANQUIHUE"/>
    <s v="P. MONTT"/>
    <n v="9"/>
    <s v="LIBRE"/>
    <s v="DISEÑO"/>
    <n v="30080922"/>
    <m/>
    <e v="#N/A"/>
    <s v="30080922DISEÑO"/>
    <s v="2332-42-LE19"/>
    <s v="REPOSICIÓN POSTA DE SALUD RURAL DE HUELMO"/>
    <m/>
    <m/>
    <m/>
    <s v="335 15,02,19"/>
    <n v="23524000"/>
    <m/>
    <m/>
    <n v="23524000"/>
    <n v="0"/>
    <m/>
    <n v="14524000"/>
    <n v="0"/>
    <n v="14524000"/>
    <n v="0"/>
    <n v="0"/>
    <n v="0"/>
    <n v="0"/>
    <n v="0"/>
    <n v="0"/>
    <n v="0"/>
    <n v="0"/>
    <n v="0"/>
    <n v="0"/>
    <n v="0"/>
    <n v="0"/>
    <m/>
    <n v="9000000"/>
    <s v="RS"/>
    <s v="RS"/>
    <s v="Licitación Adjudicada"/>
  </r>
  <r>
    <n v="31"/>
    <s v="A"/>
    <x v="6"/>
    <s v="RURAL"/>
    <s v="SOCIAL"/>
    <s v="LLANQUIHUE"/>
    <s v="P. MONTT"/>
    <n v="9"/>
    <s v="LIBRE"/>
    <s v="DISEÑO"/>
    <n v="30080921"/>
    <m/>
    <s v="KARIN DEL CARMEN BARRIENTOS WINTER"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22645000"/>
    <n v="0"/>
    <n v="22645000"/>
    <n v="0"/>
    <n v="0"/>
    <n v="0"/>
    <n v="0"/>
    <n v="0"/>
    <n v="0"/>
    <n v="0"/>
    <n v="0"/>
    <n v="0"/>
    <n v="0"/>
    <n v="0"/>
    <n v="0"/>
    <m/>
    <n v="0"/>
    <s v="RS"/>
    <s v="RS"/>
    <s v="Licitación Desierta"/>
  </r>
  <r>
    <n v="31"/>
    <s v="A"/>
    <x v="6"/>
    <s v="RURAL"/>
    <s v="SOCIAL"/>
    <s v="LLANQUIHUE"/>
    <s v="P. MONTT"/>
    <n v="9"/>
    <s v="LIBRE"/>
    <s v="DISEÑO"/>
    <n v="30270222"/>
    <m/>
    <s v="KARIN DEL CARMEN BARRIENTOS WINTER"/>
    <s v="30270222DISEÑO"/>
    <s v="2332-84-LE19"/>
    <s v="REPOSICIÓN POSTA DE SALUD RURAL DE CORRENTOSO"/>
    <m/>
    <m/>
    <m/>
    <m/>
    <m/>
    <m/>
    <m/>
    <n v="22000000"/>
    <n v="0"/>
    <m/>
    <n v="17500000"/>
    <n v="0"/>
    <n v="17500000"/>
    <n v="0"/>
    <n v="0"/>
    <n v="0"/>
    <n v="0"/>
    <n v="0"/>
    <n v="0"/>
    <n v="0"/>
    <n v="0"/>
    <n v="0"/>
    <n v="0"/>
    <n v="0"/>
    <n v="0"/>
    <m/>
    <n v="4500000"/>
    <s v="RS"/>
    <s v="RS"/>
    <s v="Licitación Desierta"/>
  </r>
  <r>
    <n v="31"/>
    <s v="N"/>
    <x v="7"/>
    <s v="URBANO"/>
    <s v="ALCANTARILLADO"/>
    <s v="LLANQUIHUE"/>
    <s v="P. MONTT"/>
    <n v="9"/>
    <s v="LIBRE"/>
    <s v="EJECUCION"/>
    <n v="30429872"/>
    <s v="G"/>
    <s v="PAULINA HUIDOBRO JARAMI"/>
    <s v="30429872EJECUCION"/>
    <m/>
    <s v="CONSTRUCCION REDES AGUA POTABLE Y ALC. VILLA LOS PINOS ALTOS"/>
    <m/>
    <m/>
    <m/>
    <s v="1101 18,05,20"/>
    <n v="445639000"/>
    <m/>
    <m/>
    <n v="445639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345639000"/>
    <s v="RS"/>
    <s v="RS"/>
    <s v="En Licitación"/>
  </r>
  <r>
    <n v="31"/>
    <s v="N"/>
    <x v="2"/>
    <s v="URBANO"/>
    <s v="SOCIAL"/>
    <s v="LLANQUIHUE"/>
    <s v="P. MONTT"/>
    <n v="9"/>
    <s v="LIBRE"/>
    <s v="EJECUCION"/>
    <n v="30077490"/>
    <s v="G"/>
    <s v="PAULINA HUIDOBRO JARAMI"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416782000"/>
    <s v="RS"/>
    <s v="RS"/>
    <s v="En Licitación"/>
  </r>
  <r>
    <n v="31"/>
    <s v="N"/>
    <x v="3"/>
    <s v="URBANO"/>
    <s v="SOCIAL"/>
    <s v="LLANQUIHUE"/>
    <s v="P. MONTT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809015000"/>
    <s v="RS"/>
    <s v="RS"/>
    <s v="En Licitación"/>
  </r>
  <r>
    <n v="31"/>
    <s v="N"/>
    <x v="1"/>
    <s v="URBANO"/>
    <s v="CONECTIVIDAD"/>
    <s v="LLANQUIHUE"/>
    <s v="P. MONTT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12000000"/>
    <n v="0"/>
    <n v="12000000"/>
    <n v="0"/>
    <n v="0"/>
    <n v="0"/>
    <n v="0"/>
    <n v="0"/>
    <n v="0"/>
    <n v="0"/>
    <n v="0"/>
    <n v="0"/>
    <n v="0"/>
    <n v="0"/>
    <n v="0"/>
    <m/>
    <n v="513598000"/>
    <s v="RS"/>
    <s v="RS"/>
    <s v="Convenio en Confección"/>
  </r>
  <r>
    <n v="31"/>
    <s v="A"/>
    <x v="6"/>
    <s v="URBANO"/>
    <s v="SOCIAL"/>
    <s v="LLANQUIHUE"/>
    <s v="P. MONTT"/>
    <n v="9"/>
    <s v="LIBRE"/>
    <s v="EJECUCION"/>
    <n v="30128140"/>
    <m/>
    <s v="KARIN DEL CARMEN BARRIENTOS WINTER"/>
    <s v="30128140EJECUCION"/>
    <m/>
    <s v="NORMALIZACION CESFAM ALERCE "/>
    <m/>
    <m/>
    <m/>
    <m/>
    <m/>
    <m/>
    <m/>
    <n v="4090104000"/>
    <n v="4000000"/>
    <m/>
    <n v="498204000"/>
    <n v="0"/>
    <n v="498204000"/>
    <n v="0"/>
    <n v="0"/>
    <n v="0"/>
    <n v="0"/>
    <n v="0"/>
    <n v="0"/>
    <n v="0"/>
    <n v="0"/>
    <n v="0"/>
    <n v="0"/>
    <n v="0"/>
    <n v="0"/>
    <m/>
    <n v="35879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8525307000"/>
    <n v="4000000"/>
    <m/>
    <n v="834873000"/>
    <n v="0"/>
    <n v="834873000"/>
    <n v="0"/>
    <n v="0"/>
    <n v="0"/>
    <n v="0"/>
    <n v="0"/>
    <n v="0"/>
    <n v="0"/>
    <n v="0"/>
    <n v="0"/>
    <n v="0"/>
    <n v="0"/>
    <n v="0"/>
    <m/>
    <n v="7686434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. MONTT"/>
    <m/>
    <m/>
    <m/>
    <m/>
    <m/>
    <m/>
    <m/>
    <n v="27672189427"/>
    <n v="9227947042"/>
    <m/>
    <n v="1662907588"/>
    <n v="218935515"/>
    <n v="1443972073"/>
    <n v="0"/>
    <n v="0"/>
    <n v="0"/>
    <n v="0"/>
    <n v="0"/>
    <n v="4984580"/>
    <n v="36753623"/>
    <n v="32932146"/>
    <n v="16139435"/>
    <n v="1800000"/>
    <n v="89615941"/>
    <n v="36709790"/>
    <m/>
    <n v="1678133479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x v="8"/>
    <s v="RURAL"/>
    <s v="SOCIAL"/>
    <s v="LLANQUIHUE"/>
    <s v="CALBUCO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300000000"/>
    <n v="0"/>
    <m/>
    <n v="300000000"/>
    <n v="113656769"/>
    <n v="186343231"/>
    <n v="0"/>
    <n v="0"/>
    <n v="0"/>
    <n v="0"/>
    <n v="0"/>
    <n v="0"/>
    <n v="35920984"/>
    <n v="0"/>
    <n v="15827056"/>
    <n v="31320144"/>
    <n v="30588585"/>
    <n v="0"/>
    <m/>
    <n v="0"/>
    <s v="RS***"/>
    <s v="SS.EE"/>
    <s v="En Ejecución "/>
  </r>
  <r>
    <n v="31"/>
    <s v="A"/>
    <x v="4"/>
    <s v="RURAL"/>
    <s v="SOCIAL"/>
    <s v="LLANQUIHUE"/>
    <s v="CALBUCO"/>
    <n v="10"/>
    <s v="LIBRE"/>
    <s v="EJECUCION"/>
    <n v="30087299"/>
    <m/>
    <s v="PAULINA HUIDOBRO JARAMI"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82320466"/>
    <n v="134588568"/>
    <n v="0"/>
    <n v="0"/>
    <n v="0"/>
    <n v="0"/>
    <n v="0"/>
    <n v="41382967"/>
    <n v="40937499"/>
    <n v="0"/>
    <n v="0"/>
    <n v="0"/>
    <n v="0"/>
    <n v="0"/>
    <m/>
    <n v="2529416"/>
    <s v="RS"/>
    <s v="RS"/>
    <s v="En Ejecución "/>
  </r>
  <r>
    <m/>
    <m/>
    <x v="0"/>
    <m/>
    <m/>
    <m/>
    <m/>
    <m/>
    <m/>
    <m/>
    <m/>
    <m/>
    <e v="#N/A"/>
    <m/>
    <m/>
    <s v="CONSULTORIA"/>
    <m/>
    <m/>
    <n v="18392000"/>
    <m/>
    <m/>
    <m/>
    <m/>
    <n v="18392000"/>
    <m/>
    <m/>
    <m/>
    <m/>
    <m/>
    <m/>
    <m/>
    <m/>
    <m/>
    <m/>
    <m/>
    <m/>
    <m/>
    <m/>
    <m/>
    <m/>
    <m/>
    <m/>
    <n v="18392000"/>
    <m/>
    <m/>
    <m/>
  </r>
  <r>
    <m/>
    <m/>
    <x v="0"/>
    <m/>
    <m/>
    <m/>
    <m/>
    <m/>
    <m/>
    <m/>
    <m/>
    <m/>
    <e v="#N/A"/>
    <m/>
    <m/>
    <s v="EQUIPAMIENTO"/>
    <m/>
    <m/>
    <n v="6404000"/>
    <m/>
    <m/>
    <m/>
    <m/>
    <n v="6404000"/>
    <m/>
    <m/>
    <m/>
    <m/>
    <m/>
    <m/>
    <m/>
    <m/>
    <m/>
    <m/>
    <m/>
    <m/>
    <m/>
    <m/>
    <m/>
    <m/>
    <m/>
    <m/>
    <n v="6404000"/>
    <m/>
    <m/>
    <m/>
  </r>
  <r>
    <m/>
    <m/>
    <x v="0"/>
    <m/>
    <m/>
    <m/>
    <m/>
    <m/>
    <m/>
    <m/>
    <m/>
    <m/>
    <e v="#N/A"/>
    <m/>
    <m/>
    <s v="EQUIPOS"/>
    <m/>
    <m/>
    <n v="73180000"/>
    <m/>
    <m/>
    <m/>
    <m/>
    <n v="73180000"/>
    <m/>
    <m/>
    <m/>
    <m/>
    <m/>
    <m/>
    <m/>
    <m/>
    <m/>
    <m/>
    <m/>
    <m/>
    <m/>
    <m/>
    <m/>
    <m/>
    <m/>
    <m/>
    <n v="73180000"/>
    <m/>
    <m/>
    <m/>
  </r>
  <r>
    <m/>
    <m/>
    <x v="0"/>
    <m/>
    <m/>
    <m/>
    <m/>
    <m/>
    <m/>
    <m/>
    <m/>
    <m/>
    <e v="#N/A"/>
    <m/>
    <m/>
    <s v="GASTOS ADMINISTRATIVOS"/>
    <m/>
    <m/>
    <m/>
    <m/>
    <m/>
    <m/>
    <m/>
    <n v="0"/>
    <m/>
    <m/>
    <m/>
    <m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e v="#N/A"/>
    <m/>
    <m/>
    <s v="OBRAS CIVILES"/>
    <m/>
    <m/>
    <n v="1196036000"/>
    <m/>
    <m/>
    <m/>
    <m/>
    <n v="1196036000"/>
    <m/>
    <m/>
    <m/>
    <m/>
    <m/>
    <m/>
    <m/>
    <m/>
    <m/>
    <m/>
    <m/>
    <m/>
    <m/>
    <m/>
    <m/>
    <m/>
    <m/>
    <m/>
    <n v="1196036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1"/>
    <s v="A"/>
    <x v="2"/>
    <s v="URBANO"/>
    <s v="SOCIAL"/>
    <s v="LLANQUIHUE"/>
    <s v="CALBUCO"/>
    <n v="10"/>
    <s v="LIBRE"/>
    <s v="EJECUCION"/>
    <n v="20086686"/>
    <s v="G"/>
    <s v="PAULINA HUIDOBRO JARAMI"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400000000"/>
    <n v="0"/>
    <n v="400000000"/>
    <n v="0"/>
    <n v="0"/>
    <n v="0"/>
    <n v="0"/>
    <n v="0"/>
    <n v="0"/>
    <n v="0"/>
    <n v="0"/>
    <n v="0"/>
    <n v="0"/>
    <n v="0"/>
    <n v="0"/>
    <m/>
    <n v="9321966750"/>
    <s v="RS"/>
    <s v="RS"/>
    <s v="En Ejecución "/>
  </r>
  <r>
    <n v="31"/>
    <s v="A"/>
    <x v="2"/>
    <s v="RURAL"/>
    <s v="SOCIAL"/>
    <s v="LLANQUIHUE"/>
    <s v="CALBUCO"/>
    <n v="10"/>
    <s v="LIBRE"/>
    <s v="DISEÑO"/>
    <n v="30326322"/>
    <m/>
    <s v="KARIN DEL CARMEN BARRIENTOS WINTER"/>
    <s v="30326322DISEÑO"/>
    <m/>
    <s v="REPOSICION ESCUELA BERNARDO OHIGGINS, CALBUCO"/>
    <m/>
    <m/>
    <m/>
    <m/>
    <m/>
    <m/>
    <m/>
    <n v="290974000"/>
    <n v="200000000"/>
    <m/>
    <n v="90974000"/>
    <n v="0"/>
    <n v="9097400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x v="4"/>
    <s v="URBANO"/>
    <s v="SOCIAL"/>
    <s v="LLANQUIHUE"/>
    <s v="CALBUCO"/>
    <n v="1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CALBUCO"/>
    <n v="10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91627806"/>
    <n v="108372194"/>
    <n v="0"/>
    <n v="0"/>
    <n v="0"/>
    <n v="0"/>
    <n v="0"/>
    <n v="14021603"/>
    <n v="7264992"/>
    <n v="0"/>
    <n v="61444815"/>
    <n v="8896396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2064172463"/>
    <n v="1431793263"/>
    <m/>
    <n v="1307883034"/>
    <n v="287605041"/>
    <n v="1020277993"/>
    <n v="0"/>
    <n v="0"/>
    <n v="0"/>
    <n v="0"/>
    <n v="0"/>
    <n v="55404570"/>
    <n v="84123475"/>
    <n v="0"/>
    <n v="77271871"/>
    <n v="40216540"/>
    <n v="30588585"/>
    <n v="0"/>
    <m/>
    <n v="932449616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9"/>
    <s v="URBANO"/>
    <s v="SOCIAL"/>
    <s v="LLANQUIHUE"/>
    <s v="CALBUCO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388423000"/>
    <n v="0"/>
    <n v="388423000"/>
    <n v="0"/>
    <n v="0"/>
    <n v="0"/>
    <n v="0"/>
    <n v="0"/>
    <n v="0"/>
    <n v="0"/>
    <n v="0"/>
    <n v="0"/>
    <n v="0"/>
    <n v="0"/>
    <n v="0"/>
    <m/>
    <n v="1165268000"/>
    <s v="RS"/>
    <s v="RS"/>
    <s v="En Licitación"/>
  </r>
  <r>
    <n v="31"/>
    <s v="N"/>
    <x v="1"/>
    <s v="URBANO"/>
    <s v="CONECTIVIDAD"/>
    <s v="LLANQUIHUE"/>
    <s v="CALBUCO"/>
    <n v="10"/>
    <s v="FAR"/>
    <s v="EJECUCION"/>
    <n v="40015774"/>
    <m/>
    <m/>
    <s v="40015774EJECUCION"/>
    <m/>
    <s v="CONSTRUCCION PAVIMENTO CALLE SAN ANDRES Y LOS TULIPANES"/>
    <m/>
    <m/>
    <m/>
    <m/>
    <m/>
    <m/>
    <m/>
    <n v="269785542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19785542"/>
    <s v="RS"/>
    <s v="RS"/>
    <s v="Convenio en Confección"/>
  </r>
  <r>
    <n v="31"/>
    <s v="N"/>
    <x v="1"/>
    <s v="URBANO"/>
    <s v="CONECTIVIDAD"/>
    <s v="LLANQUIHUE"/>
    <s v="CALBUCO"/>
    <n v="10"/>
    <s v="FAR"/>
    <s v="EJECUCION"/>
    <n v="40015770"/>
    <m/>
    <m/>
    <s v="40015770EJECUCION"/>
    <m/>
    <s v="CONSTRUCCION PAVIMENTO CALLE CONDELL, FRAGATA COCHRANE Y LAS VERTIENTES"/>
    <m/>
    <m/>
    <m/>
    <m/>
    <m/>
    <m/>
    <m/>
    <n v="370712904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300712904"/>
    <s v="RS"/>
    <s v="RS"/>
    <s v="Convenio en Confección"/>
  </r>
  <r>
    <n v="22"/>
    <s v="N"/>
    <x v="1"/>
    <s v="URBANO"/>
    <s v="SOCIAL"/>
    <s v="LLANQUIHUE"/>
    <s v="CALBUCO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95000000"/>
    <s v="RS*"/>
    <s v="C33"/>
    <s v="En Licitación (08.07.20)"/>
  </r>
  <r>
    <n v="31"/>
    <s v="N"/>
    <x v="7"/>
    <s v="RURAL"/>
    <s v="AGUA POTABLE"/>
    <s v="LLANQUIHUE"/>
    <s v="CALBUCO"/>
    <n v="10"/>
    <s v="LIBRE"/>
    <s v="EJECUCION"/>
    <n v="30480526"/>
    <m/>
    <m/>
    <s v="30480526EJECUCION"/>
    <m/>
    <s v="CONSTRUCCION SERVICIO AGUA POTABLE RURAL LA CAMPANA"/>
    <m/>
    <m/>
    <m/>
    <m/>
    <m/>
    <m/>
    <m/>
    <n v="791085000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721085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095274446"/>
    <n v="0"/>
    <m/>
    <n v="593423000"/>
    <n v="0"/>
    <n v="593423000"/>
    <n v="0"/>
    <n v="0"/>
    <n v="0"/>
    <n v="0"/>
    <n v="0"/>
    <n v="0"/>
    <n v="0"/>
    <n v="0"/>
    <n v="0"/>
    <n v="0"/>
    <n v="0"/>
    <n v="0"/>
    <m/>
    <n v="250185144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ALBUCO"/>
    <m/>
    <m/>
    <m/>
    <m/>
    <m/>
    <m/>
    <m/>
    <n v="15159446909"/>
    <n v="1431793263"/>
    <m/>
    <n v="1901306034"/>
    <n v="287605041"/>
    <n v="1613700993"/>
    <n v="0"/>
    <n v="0"/>
    <n v="0"/>
    <n v="0"/>
    <n v="0"/>
    <n v="55404570"/>
    <n v="84123475"/>
    <n v="0"/>
    <n v="77271871"/>
    <n v="40216540"/>
    <n v="30588585"/>
    <n v="0"/>
    <m/>
    <n v="1182634761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LLANQUIHUE"/>
    <s v="COCHAMO"/>
    <n v="11"/>
    <s v="LIBRE"/>
    <s v="DISEÑO"/>
    <n v="30085125"/>
    <s v="V"/>
    <s v="KARIN DEL CARMEN BARRIENTOS WINTER"/>
    <s v="30085125DISEÑO"/>
    <m/>
    <s v="REPOSICION POSTA DE SALUD RURAL PASO EL LEON, COCHAMO"/>
    <m/>
    <m/>
    <m/>
    <m/>
    <m/>
    <m/>
    <m/>
    <n v="23800000"/>
    <n v="1300000"/>
    <m/>
    <n v="22500000"/>
    <n v="8800000"/>
    <n v="13700000"/>
    <n v="0"/>
    <n v="0"/>
    <n v="0"/>
    <n v="0"/>
    <n v="0"/>
    <n v="0"/>
    <n v="4400000"/>
    <n v="0"/>
    <n v="0"/>
    <n v="0"/>
    <n v="4400000"/>
    <n v="0"/>
    <m/>
    <n v="0"/>
    <s v="RS"/>
    <s v="RS"/>
    <s v="En Ejecución "/>
  </r>
  <r>
    <n v="31"/>
    <s v="A"/>
    <x v="5"/>
    <s v="RURAL"/>
    <s v="SOCIAL"/>
    <s v="LLANQUIHUE"/>
    <s v="COCHAMO"/>
    <n v="11"/>
    <s v="LIBRE"/>
    <s v="DISEÑO"/>
    <n v="30328431"/>
    <s v="V"/>
    <s v="KARIN DEL CARMEN BARRIENTOS WINTER"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  <s v="RS"/>
    <s v="En Ejecución "/>
  </r>
  <r>
    <n v="33"/>
    <s v="A"/>
    <x v="4"/>
    <s v="URBANO"/>
    <s v="SOCIAL"/>
    <s v="LLANQUIHUE"/>
    <s v="COCHAMO"/>
    <n v="1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COCHAMO"/>
    <n v="11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78356571"/>
    <n v="121643429"/>
    <n v="0"/>
    <n v="0"/>
    <n v="0"/>
    <n v="0"/>
    <n v="0"/>
    <n v="0"/>
    <n v="0"/>
    <n v="9381246"/>
    <n v="7681695"/>
    <n v="0"/>
    <n v="6129363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64080000"/>
    <n v="2300000"/>
    <m/>
    <n v="361780000"/>
    <n v="106896571"/>
    <n v="254883429"/>
    <n v="0"/>
    <n v="0"/>
    <n v="0"/>
    <n v="0"/>
    <n v="0"/>
    <n v="0"/>
    <n v="4400000"/>
    <n v="9381246"/>
    <n v="20841695"/>
    <n v="0"/>
    <n v="65693630"/>
    <n v="658000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LLANQUIHUE"/>
    <s v="COCHAMO"/>
    <n v="11"/>
    <s v="LIBRE"/>
    <s v="DISEÑO"/>
    <n v="40006863"/>
    <m/>
    <e v="#N/A"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60000000"/>
    <n v="0"/>
    <n v="60000000"/>
    <n v="0"/>
    <n v="0"/>
    <n v="0"/>
    <n v="0"/>
    <n v="0"/>
    <n v="0"/>
    <n v="0"/>
    <n v="0"/>
    <n v="0"/>
    <n v="0"/>
    <n v="0"/>
    <n v="0"/>
    <m/>
    <n v="69430000"/>
    <s v="RS"/>
    <s v="RS"/>
    <s v="Licitación Adjudicada"/>
  </r>
  <r>
    <n v="29"/>
    <s v="N"/>
    <x v="3"/>
    <s v="RURAL"/>
    <s v="SOCIAL"/>
    <s v="LLANQUIHUE"/>
    <s v="COCHAMO"/>
    <n v="11"/>
    <s v="ENERGIZACION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89582"/>
    <n v="0"/>
    <m/>
    <n v="127689582"/>
    <n v="0"/>
    <n v="127689582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29"/>
    <s v="A"/>
    <x v="6"/>
    <s v="RURAL"/>
    <s v="SOCIAL"/>
    <s v="LLANQUIHUE"/>
    <s v="COCHAMO"/>
    <n v="11"/>
    <s v="FAR"/>
    <s v="EJECUCION"/>
    <n v="40005418"/>
    <m/>
    <e v="#N/A"/>
    <s v="40005418EJECUCION"/>
    <s v="4831-2-LQ20"/>
    <s v="ADQUISICION Y REPOSICION AMBULANCIAS DE EMERGENCIAS PARA TRASLADO DE PACIENTES (C33)"/>
    <m/>
    <m/>
    <m/>
    <s v="369 10,02,20"/>
    <n v="137960000"/>
    <m/>
    <m/>
    <n v="54300000"/>
    <n v="0"/>
    <m/>
    <n v="54300000"/>
    <n v="0"/>
    <n v="54300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31"/>
    <s v="N"/>
    <x v="7"/>
    <s v="RURAL"/>
    <s v="AGUA POTABLE"/>
    <s v="LLANQUIHUE"/>
    <s v="COCHAMO"/>
    <n v="11"/>
    <s v="LIBRE"/>
    <s v="EJECUCION"/>
    <n v="30116479"/>
    <m/>
    <s v="KARIN DEL CARMEN BARRIENTOS WINTER"/>
    <s v="30116479EJECUCION"/>
    <s v="4831-7-LR20"/>
    <s v="* CONSTRUCCION SISTEMA APR DE LLAGUEPE"/>
    <s v="* CERT. CORE 41 07.02.20 - ACTUALIZA COSTO"/>
    <m/>
    <m/>
    <s v="781 18,03,20"/>
    <n v="425454000"/>
    <m/>
    <m/>
    <n v="425454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345454000"/>
    <s v="RS"/>
    <s v="RS"/>
    <s v="Licitacion Desierta 03.06.20"/>
  </r>
  <r>
    <n v="29"/>
    <s v="N"/>
    <x v="2"/>
    <s v="URBANO"/>
    <s v="SOCIAL"/>
    <s v="LLANQUIHUE"/>
    <s v="COCHAMO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0"/>
    <n v="0"/>
    <n v="0"/>
    <n v="0"/>
    <n v="0"/>
    <n v="0"/>
    <n v="0"/>
    <n v="0"/>
    <n v="0"/>
    <n v="0"/>
    <n v="0"/>
    <n v="0"/>
    <n v="0"/>
    <n v="0"/>
    <n v="0"/>
    <m/>
    <n v="290674000"/>
    <s v="RS*"/>
    <s v="C33"/>
    <s v="Convenio en Tramite"/>
  </r>
  <r>
    <n v="31"/>
    <s v="N"/>
    <x v="2"/>
    <s v="RURAL"/>
    <s v="SOCIAL"/>
    <s v="LLANQUIHUE"/>
    <s v="COCHAMO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25000000"/>
    <n v="0"/>
    <n v="25000000"/>
    <n v="0"/>
    <n v="0"/>
    <n v="0"/>
    <n v="0"/>
    <n v="0"/>
    <n v="0"/>
    <n v="0"/>
    <n v="0"/>
    <n v="0"/>
    <n v="0"/>
    <n v="0"/>
    <n v="0"/>
    <m/>
    <n v="97370000"/>
    <s v="RS"/>
    <s v="RS"/>
    <s v="Convenio en Confección"/>
  </r>
  <r>
    <n v="31"/>
    <s v="N"/>
    <x v="8"/>
    <s v="RURAL"/>
    <s v="ENERGIA"/>
    <s v="LLANQUIHUE"/>
    <s v="COCHAMO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766527000"/>
    <n v="0"/>
    <n v="766527000"/>
    <n v="0"/>
    <n v="0"/>
    <n v="0"/>
    <n v="0"/>
    <n v="0"/>
    <n v="0"/>
    <n v="0"/>
    <n v="0"/>
    <n v="0"/>
    <n v="0"/>
    <n v="0"/>
    <n v="0"/>
    <m/>
    <n v="2574000"/>
    <s v="RS"/>
    <s v="RS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919018582"/>
    <n v="0"/>
    <m/>
    <n v="1113516582"/>
    <n v="0"/>
    <n v="1113516582"/>
    <n v="0"/>
    <n v="0"/>
    <n v="0"/>
    <n v="0"/>
    <n v="0"/>
    <n v="0"/>
    <n v="0"/>
    <n v="0"/>
    <n v="0"/>
    <n v="0"/>
    <n v="0"/>
    <n v="0"/>
    <m/>
    <n v="80550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OCHAMO"/>
    <m/>
    <m/>
    <m/>
    <m/>
    <m/>
    <m/>
    <m/>
    <n v="2283098582"/>
    <n v="2300000"/>
    <m/>
    <n v="1475296582"/>
    <n v="106896571"/>
    <n v="1368400011"/>
    <n v="0"/>
    <n v="0"/>
    <n v="0"/>
    <n v="0"/>
    <n v="0"/>
    <n v="0"/>
    <n v="4400000"/>
    <n v="9381246"/>
    <n v="20841695"/>
    <n v="0"/>
    <n v="65693630"/>
    <n v="6580000"/>
    <m/>
    <n v="80550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LCANTARILLADO"/>
    <s v="LLANQUIHUE"/>
    <s v="FRESIA"/>
    <n v="12"/>
    <s v="LIBRE"/>
    <s v="EJECUCION"/>
    <n v="30088011"/>
    <s v="G"/>
    <s v="PAULINA HUIDOBRO JARAMI"/>
    <s v="30088011EJECUCION"/>
    <m/>
    <s v="CONSTRUCCION PLANTA DE TRATAMIENTO PARGA"/>
    <m/>
    <m/>
    <m/>
    <m/>
    <m/>
    <m/>
    <m/>
    <n v="646979000"/>
    <n v="305360040"/>
    <m/>
    <n v="341618960"/>
    <n v="29853568"/>
    <n v="311765392"/>
    <n v="0"/>
    <n v="0"/>
    <n v="0"/>
    <n v="0"/>
    <n v="0"/>
    <n v="0"/>
    <n v="0"/>
    <n v="0"/>
    <n v="0"/>
    <n v="10007311"/>
    <n v="3487763"/>
    <n v="16358494"/>
    <m/>
    <n v="0"/>
    <s v="RS"/>
    <s v="RS"/>
    <s v="En Ejecución "/>
  </r>
  <r>
    <n v="31"/>
    <s v="A"/>
    <x v="7"/>
    <s v="RURAL"/>
    <s v="AGUA POTABLE"/>
    <s v="LLANQUIHUE"/>
    <s v="FRESIA"/>
    <n v="12"/>
    <s v="LIBRE"/>
    <s v="EJECUCION"/>
    <n v="30397144"/>
    <s v="G"/>
    <s v="PAULINA HUIDOBRO JARAMI"/>
    <s v="30397144EJECUCION"/>
    <m/>
    <s v="CONSTRUCCION SISTEMA APR SECTOR LAS CRUCES, COMUNA DE FRESIA"/>
    <m/>
    <m/>
    <m/>
    <m/>
    <m/>
    <m/>
    <m/>
    <n v="1134291000"/>
    <n v="698836765"/>
    <m/>
    <n v="435454235"/>
    <n v="258467213"/>
    <n v="176987022"/>
    <n v="0"/>
    <n v="0"/>
    <n v="0"/>
    <n v="0"/>
    <n v="0"/>
    <n v="1250000"/>
    <n v="1250000"/>
    <n v="9961818"/>
    <n v="39677906"/>
    <n v="67667864"/>
    <n v="42695534"/>
    <n v="95964091"/>
    <m/>
    <n v="0"/>
    <s v="RE"/>
    <s v="RE"/>
    <s v="En Ejecución / Reevaluación"/>
  </r>
  <r>
    <n v="31"/>
    <s v="A"/>
    <x v="2"/>
    <s v="RURAL"/>
    <s v="SOCIAL"/>
    <s v="LLANQUIHUE"/>
    <s v="FRESIA"/>
    <n v="12"/>
    <s v="LIBRE"/>
    <s v="EJECUCION"/>
    <n v="30396276"/>
    <m/>
    <s v="KARIN DEL CARMEN BARRIENTOS WINTER"/>
    <s v="30396276EJECUCION"/>
    <m/>
    <s v="CONSERVACION EDIFICIO DAEM, FRESIA (C33)"/>
    <m/>
    <m/>
    <m/>
    <m/>
    <m/>
    <m/>
    <m/>
    <n v="68303000"/>
    <n v="61049360"/>
    <m/>
    <n v="7253640"/>
    <n v="6450636"/>
    <n v="803004"/>
    <n v="0"/>
    <n v="0"/>
    <n v="0"/>
    <n v="0"/>
    <n v="0"/>
    <n v="0"/>
    <n v="1416666"/>
    <n v="3617304"/>
    <n v="0"/>
    <n v="0"/>
    <n v="0"/>
    <n v="1416666"/>
    <m/>
    <n v="0"/>
    <s v="RS*"/>
    <s v="C33"/>
    <s v="En Ejecución "/>
  </r>
  <r>
    <n v="31"/>
    <s v="A"/>
    <x v="6"/>
    <s v="RURAL"/>
    <s v="SOCIAL"/>
    <s v="LLANQUIHUE"/>
    <s v="FRESIA"/>
    <n v="12"/>
    <s v="LIBRE"/>
    <s v="EJECUCION"/>
    <n v="30282773"/>
    <s v="SALUD"/>
    <s v="KARIN DEL CARMEN BARRIENTOS WINTER"/>
    <s v="30282773EJECUCION"/>
    <m/>
    <s v="REPOSICION POSTA DE SALUD RURAL EL TRAIGUEN, FRESIA"/>
    <m/>
    <m/>
    <m/>
    <m/>
    <m/>
    <m/>
    <m/>
    <n v="466789000"/>
    <n v="27961790"/>
    <m/>
    <n v="438827210"/>
    <n v="89282896"/>
    <n v="349544314"/>
    <n v="0"/>
    <n v="0"/>
    <n v="0"/>
    <n v="0"/>
    <n v="0"/>
    <n v="1330000"/>
    <n v="66702268"/>
    <n v="6795593"/>
    <n v="10465035"/>
    <n v="2660000"/>
    <n v="0"/>
    <n v="1330000"/>
    <m/>
    <n v="0"/>
    <s v="RS"/>
    <s v="RS"/>
    <s v="En Ejecución "/>
  </r>
  <r>
    <n v="29"/>
    <s v="A"/>
    <x v="3"/>
    <s v="RURAL"/>
    <s v="SOCIAL"/>
    <s v="LLANQUIHUE"/>
    <s v="FRESIA"/>
    <n v="12"/>
    <s v="LIBRE"/>
    <s v="EJECUCION"/>
    <n v="30340925"/>
    <m/>
    <e v="#N/A"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212085350"/>
    <n v="0"/>
    <n v="212085350"/>
    <n v="0"/>
    <n v="0"/>
    <n v="0"/>
    <n v="0"/>
    <n v="0"/>
    <n v="0"/>
    <n v="0"/>
    <n v="0"/>
    <n v="0"/>
    <n v="0"/>
    <n v="0"/>
    <n v="0"/>
    <m/>
    <n v="322758650"/>
    <s v="RS*"/>
    <s v="C33"/>
    <s v="En Ejecución "/>
  </r>
  <r>
    <n v="31"/>
    <s v="A"/>
    <x v="7"/>
    <s v="RURAL"/>
    <s v="AGUA POTABLE"/>
    <s v="LLANQUIHUE"/>
    <s v="FRESIA"/>
    <n v="12"/>
    <s v="LIBRE"/>
    <s v="EJECUCION"/>
    <n v="30212472"/>
    <m/>
    <s v="KARIN DEL CARMEN BARRIENTOS WINTER"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114424497"/>
    <n v="0"/>
    <n v="114424497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n v="33"/>
    <s v="A"/>
    <x v="4"/>
    <s v="URBANO"/>
    <s v="SOCIAL"/>
    <s v="LLANQUIHUE"/>
    <s v="FRESIA"/>
    <n v="1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FRESIA"/>
    <n v="12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92828132"/>
    <n v="107171868"/>
    <n v="0"/>
    <n v="0"/>
    <n v="0"/>
    <n v="0"/>
    <n v="0"/>
    <n v="0"/>
    <n v="5966708"/>
    <n v="0"/>
    <n v="35633834"/>
    <n v="0"/>
    <n v="5122759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641996000"/>
    <n v="1469573458"/>
    <m/>
    <n v="1849663892"/>
    <n v="476882445"/>
    <n v="1372781447"/>
    <n v="0"/>
    <n v="0"/>
    <n v="0"/>
    <n v="0"/>
    <n v="0"/>
    <n v="2580000"/>
    <n v="75335642"/>
    <n v="20374715"/>
    <n v="85776775"/>
    <n v="80335175"/>
    <n v="97410887"/>
    <n v="115069251"/>
    <m/>
    <n v="32275865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URBANO"/>
    <s v="SOCIAL"/>
    <s v="LLANQUIHUE"/>
    <s v="FRESIA"/>
    <n v="12"/>
    <s v="LIBRE"/>
    <s v="EJECUCION"/>
    <n v="30134714"/>
    <m/>
    <e v="#N/A"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319116000"/>
    <n v="0"/>
    <n v="319116000"/>
    <n v="0"/>
    <n v="0"/>
    <n v="0"/>
    <n v="0"/>
    <n v="0"/>
    <n v="0"/>
    <n v="0"/>
    <n v="0"/>
    <n v="0"/>
    <n v="0"/>
    <n v="0"/>
    <n v="0"/>
    <m/>
    <n v="600000000"/>
    <s v="RS"/>
    <s v="RS"/>
    <s v="Licitación Desierta (28.05.20)"/>
  </r>
  <r>
    <n v="31"/>
    <s v="A"/>
    <x v="1"/>
    <s v="RURAL"/>
    <s v="CONECTIVIDAD"/>
    <s v="LLANQUIHUE"/>
    <s v="FRESIA"/>
    <n v="12"/>
    <s v="FAR"/>
    <s v="EJECUCION"/>
    <n v="40006229"/>
    <m/>
    <e v="#N/A"/>
    <s v="40006229EJECUCION"/>
    <s v="4037-132-LR19"/>
    <s v="MEJORAMIENTO DIVERSAS CALLES, COMUNA DE FRESIA"/>
    <m/>
    <m/>
    <m/>
    <m/>
    <m/>
    <m/>
    <m/>
    <n v="774200000"/>
    <n v="0"/>
    <m/>
    <n v="237621258"/>
    <n v="0"/>
    <n v="237621258"/>
    <n v="0"/>
    <n v="0"/>
    <n v="0"/>
    <n v="0"/>
    <n v="0"/>
    <n v="0"/>
    <n v="0"/>
    <n v="0"/>
    <n v="0"/>
    <n v="0"/>
    <n v="0"/>
    <n v="0"/>
    <m/>
    <n v="536578742"/>
    <s v="RS"/>
    <s v="RS"/>
    <s v="Licitación Desierta"/>
  </r>
  <r>
    <n v="31"/>
    <s v="N"/>
    <x v="1"/>
    <s v="RURAL"/>
    <s v="CONECTIVIDAD"/>
    <s v="LLANQUIHUE"/>
    <s v="FRESIA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716629000"/>
    <s v="RS*"/>
    <s v="C33"/>
    <s v="En Licitación (15.07.20)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559945000"/>
    <n v="0"/>
    <m/>
    <n v="706737258"/>
    <n v="0"/>
    <n v="706737258"/>
    <n v="0"/>
    <n v="0"/>
    <n v="0"/>
    <n v="0"/>
    <n v="0"/>
    <n v="0"/>
    <n v="0"/>
    <n v="0"/>
    <n v="0"/>
    <n v="0"/>
    <n v="0"/>
    <n v="0"/>
    <m/>
    <n v="185320774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RESIA"/>
    <m/>
    <m/>
    <m/>
    <m/>
    <m/>
    <m/>
    <m/>
    <n v="6201941000"/>
    <n v="1469573458"/>
    <m/>
    <n v="2556401150"/>
    <n v="476882445"/>
    <n v="2079518705"/>
    <n v="0"/>
    <n v="0"/>
    <n v="0"/>
    <n v="0"/>
    <n v="0"/>
    <n v="2580000"/>
    <n v="75335642"/>
    <n v="20374715"/>
    <n v="85776775"/>
    <n v="80335175"/>
    <n v="97410887"/>
    <n v="115069251"/>
    <m/>
    <n v="217596639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LLANQUIHUE"/>
    <s v="FRUTILLAR"/>
    <n v="13"/>
    <s v="LIBRE"/>
    <s v="EJECUCION"/>
    <n v="30484262"/>
    <m/>
    <s v="KARIN DEL CARMEN BARRIENTOS WINTER"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  <s v="RS"/>
    <s v="En Ejecución "/>
  </r>
  <r>
    <n v="31"/>
    <s v="A"/>
    <x v="7"/>
    <s v="RURAL"/>
    <s v="AGUA POTABLE"/>
    <s v="LLANQUIHUE"/>
    <s v="FRUTILLAR"/>
    <n v="13"/>
    <s v="LIBRE"/>
    <s v="EJECUCION"/>
    <n v="30465246"/>
    <m/>
    <s v="PAULINA HUIDOBRO JARAMI"/>
    <s v="30465246EJECUCION"/>
    <m/>
    <s v="CONSTRUCCION RED DE APR SECTOR VILLA ALEGRE"/>
    <m/>
    <m/>
    <m/>
    <m/>
    <m/>
    <m/>
    <m/>
    <n v="175409000"/>
    <n v="148115391"/>
    <m/>
    <n v="27293609"/>
    <n v="3600000"/>
    <n v="23693609"/>
    <n v="0"/>
    <n v="0"/>
    <n v="0"/>
    <n v="0"/>
    <n v="0"/>
    <n v="0"/>
    <n v="0"/>
    <n v="0"/>
    <n v="0"/>
    <n v="1200000"/>
    <n v="1200000"/>
    <n v="1200000"/>
    <m/>
    <n v="0"/>
    <s v="RS"/>
    <s v="RS"/>
    <s v="En Ejecución "/>
  </r>
  <r>
    <n v="31"/>
    <s v="A"/>
    <x v="2"/>
    <s v="RURAL"/>
    <s v="SOCIAL"/>
    <s v="LLANQUIHUE"/>
    <s v="FRUTILLAR"/>
    <n v="13"/>
    <s v="LIBRE"/>
    <s v="EJECUCION"/>
    <n v="40005302"/>
    <m/>
    <e v="#N/A"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  <s v="C33"/>
    <s v="En Ejecución "/>
  </r>
  <r>
    <n v="31"/>
    <s v="A"/>
    <x v="1"/>
    <s v="RURAL"/>
    <s v="CONECTIVIDAD"/>
    <s v="LLANQUIHUE"/>
    <s v="FRUTILLAR"/>
    <n v="13"/>
    <s v="FAR"/>
    <s v="EJECUCION"/>
    <n v="30077934"/>
    <m/>
    <e v="#N/A"/>
    <s v="30077934EJECUCION"/>
    <m/>
    <s v="CONSTRUCCION CALLE NUEVA NUEVE DE FRUTILLAR"/>
    <m/>
    <m/>
    <m/>
    <m/>
    <m/>
    <m/>
    <m/>
    <n v="1461360000"/>
    <n v="26796157"/>
    <m/>
    <n v="816715492"/>
    <n v="816715492"/>
    <n v="0"/>
    <n v="0"/>
    <n v="0"/>
    <n v="0"/>
    <n v="0"/>
    <n v="0"/>
    <n v="108020617"/>
    <n v="153392100"/>
    <n v="185052534"/>
    <n v="170070988"/>
    <n v="200179253"/>
    <n v="0"/>
    <n v="0"/>
    <m/>
    <n v="617848351"/>
    <s v="RS"/>
    <s v="RS"/>
    <s v="En Ejecución "/>
  </r>
  <r>
    <n v="31"/>
    <s v="A"/>
    <x v="7"/>
    <s v="RURAL"/>
    <s v="SOCIAL"/>
    <s v="LLANQUIHUE"/>
    <s v="FRUTILLAR"/>
    <n v="13"/>
    <s v="LIBRE"/>
    <s v="EJECUCION"/>
    <n v="30485141"/>
    <m/>
    <e v="#N/A"/>
    <s v="30485141EJECUCION"/>
    <s v="2289-42-LQ19"/>
    <s v="CONSTRUCCION SISTEMA DE APR SECT. LOS RADALES, COMUNA FRUTILLAR"/>
    <m/>
    <m/>
    <m/>
    <m/>
    <m/>
    <m/>
    <m/>
    <n v="229003000"/>
    <n v="0"/>
    <m/>
    <n v="157561125"/>
    <n v="13908959"/>
    <n v="143652166"/>
    <n v="0"/>
    <n v="0"/>
    <n v="0"/>
    <n v="0"/>
    <n v="0"/>
    <n v="5036628"/>
    <n v="1600000"/>
    <n v="7272331"/>
    <n v="0"/>
    <n v="0"/>
    <n v="0"/>
    <n v="0"/>
    <m/>
    <n v="71441875"/>
    <s v="RS"/>
    <s v="RS"/>
    <s v="En Ejecución "/>
  </r>
  <r>
    <n v="33"/>
    <s v="A"/>
    <x v="4"/>
    <s v="URBANO"/>
    <s v="SOCIAL"/>
    <s v="LLANQUIHUE"/>
    <s v="FRUTILLAR"/>
    <n v="1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FRUTILLAR"/>
    <n v="13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46340240"/>
    <n v="53659760"/>
    <n v="0"/>
    <n v="0"/>
    <n v="0"/>
    <n v="0"/>
    <n v="0"/>
    <n v="0"/>
    <n v="33502308"/>
    <n v="17866850"/>
    <n v="80706105"/>
    <n v="14264977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819285000"/>
    <n v="521109487"/>
    <m/>
    <n v="1608885287"/>
    <n v="1256934275"/>
    <n v="351951012"/>
    <n v="0"/>
    <n v="0"/>
    <n v="0"/>
    <n v="0"/>
    <n v="0"/>
    <n v="113057245"/>
    <n v="189616408"/>
    <n v="227597254"/>
    <n v="284043968"/>
    <n v="246159825"/>
    <n v="60385221"/>
    <n v="136074354"/>
    <m/>
    <n v="68929022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SOCIAL"/>
    <s v="LLANQUIHUE"/>
    <s v="FRUTILLAR"/>
    <n v="13"/>
    <s v="LIBRE"/>
    <s v="EJECUCION"/>
    <n v="30485139"/>
    <m/>
    <s v="KARIN DEL CARMEN BARRIENTOS WINTER"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218397000"/>
    <n v="0"/>
    <n v="218397000"/>
    <n v="0"/>
    <n v="0"/>
    <n v="0"/>
    <n v="0"/>
    <n v="0"/>
    <n v="0"/>
    <n v="0"/>
    <n v="0"/>
    <n v="0"/>
    <n v="0"/>
    <n v="0"/>
    <n v="0"/>
    <m/>
    <n v="0"/>
    <s v="RS"/>
    <s v="RS"/>
    <s v="Licitacion Cerrada (28.11.2019)"/>
  </r>
  <r>
    <n v="31"/>
    <s v="A"/>
    <x v="7"/>
    <s v="RURAL"/>
    <s v="SOCIAL"/>
    <s v="LLANQUIHUE"/>
    <s v="FRUTILLAR"/>
    <n v="13"/>
    <s v="LIBRE"/>
    <s v="EJECUCION"/>
    <n v="30485133"/>
    <m/>
    <e v="#N/A"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341863000"/>
    <n v="0"/>
    <n v="341863000"/>
    <n v="0"/>
    <n v="0"/>
    <n v="0"/>
    <n v="0"/>
    <n v="0"/>
    <n v="0"/>
    <n v="0"/>
    <n v="0"/>
    <n v="0"/>
    <n v="0"/>
    <n v="0"/>
    <n v="0"/>
    <m/>
    <n v="107709000"/>
    <s v="RS"/>
    <s v="RS"/>
    <s v="En Licitación (27.07.20)"/>
  </r>
  <r>
    <n v="31"/>
    <s v="A"/>
    <x v="2"/>
    <s v="URBANO"/>
    <s v="SOCIAL"/>
    <s v="LLANQUIHUE"/>
    <s v="FRUTILLAR"/>
    <n v="13"/>
    <s v="LIBRE"/>
    <s v="EJECUCION"/>
    <n v="30085259"/>
    <m/>
    <e v="#N/A"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759422906"/>
    <n v="0"/>
    <n v="759422906"/>
    <n v="0"/>
    <n v="0"/>
    <n v="0"/>
    <n v="0"/>
    <n v="0"/>
    <n v="0"/>
    <n v="0"/>
    <n v="0"/>
    <n v="0"/>
    <n v="0"/>
    <n v="0"/>
    <n v="0"/>
    <m/>
    <n v="5620487094"/>
    <s v="RS"/>
    <s v="RS"/>
    <s v="Licitación Desierta"/>
  </r>
  <r>
    <n v="31"/>
    <s v="A"/>
    <x v="7"/>
    <s v="RURAL"/>
    <s v="SOCIAL"/>
    <s v="LLANQUIHUE"/>
    <s v="FRUTILLAR"/>
    <n v="13"/>
    <s v="LIBRE"/>
    <s v="EJECUCION"/>
    <n v="30485115"/>
    <m/>
    <s v="KARIN DEL CARMEN BARRIENTOS WINTER"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233849472"/>
    <n v="0"/>
    <n v="233849472"/>
    <n v="0"/>
    <n v="0"/>
    <n v="0"/>
    <n v="0"/>
    <n v="0"/>
    <n v="0"/>
    <n v="0"/>
    <n v="0"/>
    <n v="0"/>
    <n v="0"/>
    <n v="0"/>
    <n v="0"/>
    <m/>
    <n v="191892528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7473621000"/>
    <n v="0"/>
    <m/>
    <n v="1553532378"/>
    <n v="0"/>
    <n v="1553532378"/>
    <n v="0"/>
    <n v="0"/>
    <n v="0"/>
    <n v="0"/>
    <n v="0"/>
    <n v="0"/>
    <n v="0"/>
    <n v="0"/>
    <n v="0"/>
    <n v="0"/>
    <n v="0"/>
    <n v="0"/>
    <m/>
    <n v="59200886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RUTILLAR"/>
    <m/>
    <m/>
    <m/>
    <m/>
    <m/>
    <m/>
    <m/>
    <n v="10292906000"/>
    <n v="521109487"/>
    <m/>
    <n v="3162417665"/>
    <n v="1256934275"/>
    <n v="1905483390"/>
    <n v="0"/>
    <n v="0"/>
    <n v="0"/>
    <n v="0"/>
    <n v="0"/>
    <n v="113057245"/>
    <n v="189616408"/>
    <n v="227597254"/>
    <n v="284043968"/>
    <n v="246159825"/>
    <n v="60385221"/>
    <n v="136074354"/>
    <m/>
    <n v="660937884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URBANO"/>
    <s v="SOCIAL"/>
    <s v="LLANQUIHUE"/>
    <s v="LLANQUIHUE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340475445"/>
    <n v="340475445"/>
    <n v="0"/>
    <m/>
    <m/>
    <m/>
    <m/>
    <m/>
    <n v="138450528"/>
    <n v="47172432"/>
    <n v="49512188"/>
    <n v="0"/>
    <n v="40577094"/>
    <n v="64763203"/>
    <n v="0"/>
    <m/>
    <n v="93150094"/>
    <s v="RS"/>
    <s v="RS"/>
    <s v="En Ejecución "/>
  </r>
  <r>
    <n v="31"/>
    <s v="A"/>
    <x v="7"/>
    <s v="RURAL"/>
    <s v="AGUA POTABLE"/>
    <s v="LLANQUIHUE"/>
    <s v="LLANQUIHUE"/>
    <n v="14"/>
    <s v="FAR"/>
    <s v="EJECUCION"/>
    <n v="40007476"/>
    <m/>
    <e v="#N/A"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55371110"/>
    <n v="19723055"/>
    <n v="35648055"/>
    <n v="0"/>
    <n v="0"/>
    <n v="0"/>
    <n v="0"/>
    <n v="0"/>
    <n v="1330000"/>
    <n v="17063055"/>
    <n v="0"/>
    <n v="1330000"/>
    <n v="0"/>
    <n v="0"/>
    <n v="0"/>
    <m/>
    <n v="329809890"/>
    <s v="RS"/>
    <s v="RS"/>
    <s v="En Ejecución "/>
  </r>
  <r>
    <n v="33"/>
    <s v="A"/>
    <x v="4"/>
    <s v="URBANO"/>
    <s v="SOCIAL"/>
    <s v="LLANQUIHUE"/>
    <s v="LLANQUIHUE"/>
    <n v="1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LLANQUIHUE"/>
    <n v="14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51446313"/>
    <n v="48553687"/>
    <n v="0"/>
    <n v="0"/>
    <n v="0"/>
    <n v="0"/>
    <n v="0"/>
    <n v="4000185"/>
    <n v="9907625"/>
    <n v="18722865"/>
    <n v="53399067"/>
    <n v="0"/>
    <n v="65416571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200168095"/>
    <n v="3081361556"/>
    <m/>
    <n v="695846555"/>
    <n v="511644813"/>
    <n v="184201742"/>
    <n v="0"/>
    <n v="0"/>
    <n v="0"/>
    <n v="0"/>
    <n v="0"/>
    <n v="143780713"/>
    <n v="74143112"/>
    <n v="68235053"/>
    <n v="54729067"/>
    <n v="40577094"/>
    <n v="130179774"/>
    <n v="0"/>
    <m/>
    <n v="42295998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URBANO"/>
    <s v="SOCIAL"/>
    <s v="LLANQUIHUE"/>
    <s v="LLANQUIHUE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LLANQUIHUE"/>
    <m/>
    <m/>
    <m/>
    <m/>
    <m/>
    <m/>
    <m/>
    <n v="4282568095"/>
    <n v="3081361556"/>
    <m/>
    <n v="706685457"/>
    <n v="511644813"/>
    <n v="195040644"/>
    <n v="0"/>
    <n v="0"/>
    <n v="0"/>
    <n v="0"/>
    <n v="0"/>
    <n v="143780713"/>
    <n v="74143112"/>
    <n v="68235053"/>
    <n v="54729067"/>
    <n v="40577094"/>
    <n v="130179774"/>
    <n v="0"/>
    <m/>
    <n v="49452108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LLANQUIHUE"/>
    <s v="LOS MUERMOS"/>
    <n v="15"/>
    <s v="LIBRE"/>
    <s v="DISEÑO"/>
    <n v="30361529"/>
    <m/>
    <s v="KARIN DEL CARMEN BARRIENTOS WINTER"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  <s v="RS"/>
    <s v="En Ejecución "/>
  </r>
  <r>
    <n v="31"/>
    <s v="A"/>
    <x v="1"/>
    <s v="RURAL"/>
    <s v="SOCIAL"/>
    <s v="LLANQUIHUE"/>
    <s v="LOS MUERMOS"/>
    <n v="15"/>
    <s v="FAR"/>
    <s v="EJECUCION"/>
    <n v="40004593"/>
    <m/>
    <s v="KARIN DEL CARMEN BARRIENTOS WINTER"/>
    <s v="40004593EJECUCION"/>
    <m/>
    <s v="CONSERVACION CAMINOS VECINALES, COMUNA LOS MUERMOS (C33)"/>
    <m/>
    <m/>
    <m/>
    <m/>
    <m/>
    <m/>
    <m/>
    <n v="583059000"/>
    <n v="352770860"/>
    <m/>
    <n v="230288140"/>
    <n v="230288070"/>
    <n v="70"/>
    <n v="0"/>
    <n v="0"/>
    <n v="0"/>
    <n v="0"/>
    <n v="0"/>
    <n v="0"/>
    <n v="0"/>
    <n v="0"/>
    <n v="42677639"/>
    <n v="43417701"/>
    <n v="74464993"/>
    <n v="69727737"/>
    <m/>
    <n v="0"/>
    <s v="RS*"/>
    <s v="C33"/>
    <s v="En Ejecución "/>
  </r>
  <r>
    <n v="31"/>
    <s v="A"/>
    <x v="7"/>
    <s v="RURAL"/>
    <s v="AGUA POTABLE"/>
    <s v="LLANQUIHUE"/>
    <s v="LOS MUERMOS"/>
    <n v="15"/>
    <s v="LIBRE"/>
    <s v="DISEÑO"/>
    <n v="30465403"/>
    <m/>
    <s v="KARIN DEL CARMEN BARRIENTOS WINTER"/>
    <s v="30465403DISEÑO"/>
    <m/>
    <s v="CONSTRUCCION SERVICIO APR SECTOR CUESTA LA VACA, C LOS MUERMOS"/>
    <m/>
    <m/>
    <m/>
    <m/>
    <m/>
    <m/>
    <m/>
    <n v="27413000"/>
    <n v="10036840"/>
    <m/>
    <n v="12555260"/>
    <n v="0"/>
    <n v="12555260"/>
    <n v="0"/>
    <n v="0"/>
    <n v="0"/>
    <n v="0"/>
    <n v="0"/>
    <n v="0"/>
    <n v="0"/>
    <n v="0"/>
    <n v="0"/>
    <n v="0"/>
    <n v="0"/>
    <n v="0"/>
    <m/>
    <n v="4820900"/>
    <s v="RS"/>
    <s v="RS"/>
    <s v="En Ejecución "/>
  </r>
  <r>
    <n v="31"/>
    <s v="A"/>
    <x v="7"/>
    <s v="RURAL"/>
    <s v="AGUA POTABLE"/>
    <s v="LLANQUIHUE"/>
    <s v="LOS MUERMOS"/>
    <n v="15"/>
    <s v="LIBRE"/>
    <s v="EJECUCION"/>
    <n v="30289475"/>
    <m/>
    <e v="#N/A"/>
    <s v="30289475EJECUCION"/>
    <s v="1522-18-LR19"/>
    <s v="CONSTRUCCION SERVICIO APR SAN CARLOS EL ÑADY"/>
    <m/>
    <m/>
    <m/>
    <m/>
    <m/>
    <m/>
    <m/>
    <n v="1114527000"/>
    <n v="0"/>
    <m/>
    <n v="873325686"/>
    <n v="784969129"/>
    <n v="88356557"/>
    <n v="0"/>
    <n v="0"/>
    <n v="0"/>
    <n v="0"/>
    <n v="0"/>
    <n v="112741228"/>
    <n v="130061989"/>
    <n v="129205773"/>
    <n v="234242369"/>
    <n v="7678985"/>
    <n v="104661331"/>
    <n v="66377454"/>
    <m/>
    <n v="241201314"/>
    <s v="RS"/>
    <s v="RS"/>
    <s v="En Ejecución "/>
  </r>
  <r>
    <n v="31"/>
    <s v="A"/>
    <x v="1"/>
    <s v="URBANO"/>
    <s v="SOCIAL"/>
    <s v="LLANQUIHUE"/>
    <s v="LOS MUERMOS"/>
    <n v="15"/>
    <s v="FAR"/>
    <s v="EJECUCION"/>
    <n v="40009545"/>
    <m/>
    <e v="#N/A"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433072215"/>
    <n v="313638230"/>
    <n v="119433985"/>
    <n v="0"/>
    <n v="0"/>
    <n v="0"/>
    <n v="0"/>
    <n v="0"/>
    <n v="0"/>
    <n v="81685603"/>
    <n v="79700957"/>
    <n v="65553297"/>
    <n v="47419115"/>
    <n v="39279258"/>
    <n v="0"/>
    <m/>
    <n v="93490785"/>
    <s v="RS*"/>
    <s v="C33"/>
    <s v="En Ejecución "/>
  </r>
  <r>
    <n v="33"/>
    <s v="A"/>
    <x v="4"/>
    <s v="URBANO"/>
    <s v="SOCIAL"/>
    <s v="LLANQUIHUE"/>
    <s v="LOS MUERMOS"/>
    <n v="1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LOS MUERMOS"/>
    <n v="15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053614"/>
    <n v="145946386"/>
    <n v="0"/>
    <n v="0"/>
    <n v="0"/>
    <n v="0"/>
    <n v="0"/>
    <n v="0"/>
    <n v="0"/>
    <n v="31046508"/>
    <n v="23007106"/>
    <n v="0"/>
    <n v="0"/>
    <n v="0"/>
    <m/>
    <n v="0"/>
    <s v="RS**"/>
    <s v="FRIL"/>
    <s v="En Ejecución "/>
  </r>
  <r>
    <n v="29"/>
    <s v="N"/>
    <x v="1"/>
    <s v="RURAL"/>
    <s v="CONECTIVIDAD"/>
    <s v="LLANQUIHUE"/>
    <s v="LOS MUERMOS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  <s v="C33"/>
    <s v="En Ejecución "/>
  </r>
  <r>
    <n v="31"/>
    <s v="A"/>
    <x v="7"/>
    <s v="RURAL"/>
    <s v="AGUA POTABLE"/>
    <s v="LLANQUIHUE"/>
    <s v="LOS MUERMOS"/>
    <n v="15"/>
    <s v="LIBRE"/>
    <s v="EJECUCION"/>
    <n v="30422722"/>
    <m/>
    <s v="KARIN DEL CARMEN BARRIENTOS WINTER"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653685000"/>
    <n v="0"/>
    <m/>
    <n v="159806159"/>
    <n v="42188593"/>
    <n v="117617566"/>
    <n v="0"/>
    <n v="0"/>
    <n v="0"/>
    <n v="0"/>
    <n v="0"/>
    <n v="40038593"/>
    <n v="2150000"/>
    <n v="0"/>
    <n v="0"/>
    <n v="0"/>
    <n v="0"/>
    <n v="0"/>
    <m/>
    <n v="493878841"/>
    <s v="RS"/>
    <s v="RS"/>
    <s v="Licitación Adjudicada (16.04.20)"/>
  </r>
  <r>
    <n v="29"/>
    <s v="N"/>
    <x v="6"/>
    <s v="URBANO"/>
    <s v="SOCIAL"/>
    <s v="LLANQUIHUE"/>
    <s v="LOS MUERMOS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92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920"/>
    <s v="RS*"/>
    <s v="C33"/>
    <s v="Licitación Desierta (06.05.20)"/>
  </r>
  <r>
    <n v="31"/>
    <s v="A"/>
    <x v="4"/>
    <s v="RURAL"/>
    <s v="SOCIAL"/>
    <s v="LLANQUIHUE"/>
    <s v="LOS MUERMOS"/>
    <n v="15"/>
    <s v="LIBRE"/>
    <s v="EJECUCION"/>
    <n v="30103323"/>
    <m/>
    <s v="KARIN DEL CARMEN BARRIENTOS WINTER"/>
    <s v="30103323EJECUCION"/>
    <m/>
    <s v="CONSTRUCCION CIERRE EX VERTEDERO MUNICIPAL LOS MUERMOS"/>
    <m/>
    <m/>
    <m/>
    <m/>
    <m/>
    <m/>
    <m/>
    <n v="207019010"/>
    <n v="99601553"/>
    <m/>
    <n v="107417457"/>
    <n v="0"/>
    <n v="107417457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701152930"/>
    <n v="468557253"/>
    <m/>
    <n v="2395286911"/>
    <n v="1687603630"/>
    <n v="707683281"/>
    <n v="0"/>
    <n v="0"/>
    <n v="0"/>
    <n v="0"/>
    <n v="0"/>
    <n v="152779821"/>
    <n v="290464592"/>
    <n v="239953238"/>
    <n v="551379405"/>
    <n v="98515801"/>
    <n v="218405582"/>
    <n v="136105191"/>
    <m/>
    <n v="83730876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1"/>
    <s v="URBANO"/>
    <s v="CONECTIVIDAD"/>
    <s v="LLANQUIHUE"/>
    <s v="LOS MUERMOS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25580000"/>
    <s v="RS"/>
    <s v="RS"/>
    <s v="Licitación Cerrada (15.06.20)"/>
  </r>
  <r>
    <n v="31"/>
    <s v="N"/>
    <x v="1"/>
    <s v="RURAL"/>
    <s v="SOCIAL"/>
    <s v="LLANQUIHUE"/>
    <s v="LOS MUERMOS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45000000"/>
    <n v="0"/>
    <n v="45000000"/>
    <n v="0"/>
    <n v="0"/>
    <n v="0"/>
    <n v="0"/>
    <n v="0"/>
    <n v="0"/>
    <n v="0"/>
    <n v="0"/>
    <n v="0"/>
    <n v="0"/>
    <n v="0"/>
    <n v="0"/>
    <m/>
    <n v="306704000"/>
    <s v="RS*"/>
    <s v="C33"/>
    <s v="Licitación Adjudicada (29.05.20)"/>
  </r>
  <r>
    <n v="31"/>
    <s v="N"/>
    <x v="4"/>
    <s v="URBANO"/>
    <s v="SOCIAL"/>
    <s v="LLANQUIHUE"/>
    <s v="LOS MUERMOS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6000000"/>
    <n v="0"/>
    <n v="6000000"/>
    <n v="0"/>
    <n v="0"/>
    <n v="0"/>
    <n v="0"/>
    <n v="0"/>
    <n v="0"/>
    <n v="0"/>
    <n v="0"/>
    <n v="0"/>
    <n v="0"/>
    <n v="0"/>
    <n v="0"/>
    <m/>
    <n v="13165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529934000"/>
    <n v="0"/>
    <m/>
    <n v="66000000"/>
    <n v="0"/>
    <n v="66000000"/>
    <n v="0"/>
    <n v="0"/>
    <n v="0"/>
    <n v="0"/>
    <n v="0"/>
    <n v="0"/>
    <n v="0"/>
    <n v="0"/>
    <n v="0"/>
    <n v="0"/>
    <n v="0"/>
    <n v="0"/>
    <m/>
    <n v="463934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LOS MUERMOS"/>
    <m/>
    <m/>
    <m/>
    <m/>
    <m/>
    <m/>
    <m/>
    <n v="4231086930"/>
    <n v="468557253"/>
    <m/>
    <n v="2461286911"/>
    <n v="1687603630"/>
    <n v="773683281"/>
    <n v="0"/>
    <n v="0"/>
    <n v="0"/>
    <n v="0"/>
    <n v="0"/>
    <n v="152779821"/>
    <n v="290464592"/>
    <n v="239953238"/>
    <n v="551379405"/>
    <n v="98515801"/>
    <n v="218405582"/>
    <n v="136105191"/>
    <m/>
    <n v="130124276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LLANQUIHUE"/>
    <s v="MAULLIN"/>
    <n v="16"/>
    <s v="FAR"/>
    <s v="EJECUCION"/>
    <n v="30117891"/>
    <m/>
    <s v="KARIN DEL CARMEN BARRIENTOS WINTER"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  <s v="RS"/>
    <s v="En Ejecución "/>
  </r>
  <r>
    <n v="31"/>
    <s v="A"/>
    <x v="1"/>
    <s v="URBANO"/>
    <s v="SOCIAL"/>
    <s v="LLANQUIHUE"/>
    <s v="MAULLIN"/>
    <n v="16"/>
    <s v="FAR"/>
    <s v="EJECUCION"/>
    <n v="30390477"/>
    <m/>
    <e v="#N/A"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31092000"/>
    <n v="18426870"/>
    <n v="12665130"/>
    <n v="0"/>
    <n v="0"/>
    <n v="0"/>
    <n v="0"/>
    <n v="0"/>
    <n v="0"/>
    <n v="0"/>
    <n v="18426870"/>
    <n v="0"/>
    <n v="0"/>
    <n v="0"/>
    <n v="0"/>
    <m/>
    <n v="0"/>
    <s v="RS"/>
    <s v="RS"/>
    <s v="En Ejecución "/>
  </r>
  <r>
    <n v="31"/>
    <s v="N"/>
    <x v="1"/>
    <s v="RURAL"/>
    <s v="CONECTIVIDAD"/>
    <s v="LLANQUIHUE"/>
    <s v="MAULLIN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7"/>
    <s v="RURAL"/>
    <s v="SOCIAL"/>
    <s v="LLANQUIHUE"/>
    <s v="MAULLIN"/>
    <n v="16"/>
    <s v="LIBRE"/>
    <s v="EJECUCION"/>
    <n v="30115466"/>
    <m/>
    <s v="KARIN DEL CARMEN BARRIENTOS WINTER"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192840721"/>
    <n v="81601279"/>
    <n v="0"/>
    <n v="0"/>
    <n v="0"/>
    <n v="0"/>
    <n v="0"/>
    <n v="52546846"/>
    <n v="46265179"/>
    <n v="40581485"/>
    <n v="0"/>
    <n v="51108782"/>
    <n v="1235000"/>
    <n v="1103429"/>
    <m/>
    <n v="0"/>
    <s v="RE"/>
    <s v="RE"/>
    <s v="En Ejecución "/>
  </r>
  <r>
    <n v="29"/>
    <s v="A"/>
    <x v="1"/>
    <s v="RURAL"/>
    <s v="CONECTIVIDAD"/>
    <s v="LLANQUIHUE"/>
    <s v="MAULLIN"/>
    <n v="16"/>
    <s v="FAR"/>
    <s v="EJECUCION"/>
    <n v="40003228"/>
    <m/>
    <e v="#N/A"/>
    <s v="40003228EJECUCION"/>
    <s v="4086-12-H220"/>
    <s v="REPOSICION DE MOTONIVELADORA MUNICIPALIDAD DE MAULLIN (C33)"/>
    <m/>
    <m/>
    <m/>
    <m/>
    <m/>
    <m/>
    <m/>
    <n v="170000000"/>
    <n v="0"/>
    <m/>
    <n v="170000000"/>
    <n v="169999830"/>
    <n v="170"/>
    <n v="0"/>
    <n v="0"/>
    <n v="0"/>
    <n v="0"/>
    <n v="0"/>
    <n v="0"/>
    <n v="0"/>
    <n v="0"/>
    <n v="0"/>
    <n v="0"/>
    <n v="169999830"/>
    <n v="0"/>
    <m/>
    <n v="0"/>
    <s v="RS*"/>
    <s v="C33"/>
    <s v="En Ejecución "/>
  </r>
  <r>
    <n v="33"/>
    <s v="A"/>
    <x v="4"/>
    <s v="URBANO"/>
    <s v="SOCIAL"/>
    <s v="LLANQUIHUE"/>
    <s v="MAULLIN"/>
    <n v="1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MAULLIN"/>
    <n v="16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939959"/>
    <n v="145060041"/>
    <n v="0"/>
    <n v="0"/>
    <n v="0"/>
    <n v="0"/>
    <n v="0"/>
    <n v="0"/>
    <n v="0"/>
    <n v="0"/>
    <n v="27514354"/>
    <n v="27425605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11843000"/>
    <n v="311373193"/>
    <m/>
    <n v="793219185"/>
    <n v="453892565"/>
    <n v="339326620"/>
    <n v="0"/>
    <n v="0"/>
    <n v="0"/>
    <n v="0"/>
    <n v="0"/>
    <n v="52546846"/>
    <n v="46265179"/>
    <n v="59008355"/>
    <n v="27514354"/>
    <n v="78534387"/>
    <n v="188920015"/>
    <n v="1103429"/>
    <m/>
    <n v="72506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x v="3"/>
    <s v="URBANO"/>
    <s v="SOCIAL"/>
    <s v="LLANQUIHUE"/>
    <s v="MAULLIN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MAULLIN"/>
    <m/>
    <m/>
    <m/>
    <m/>
    <m/>
    <m/>
    <m/>
    <n v="2014038624"/>
    <n v="311373193"/>
    <m/>
    <n v="1695414809"/>
    <n v="453892565"/>
    <n v="1241522244"/>
    <n v="0"/>
    <n v="0"/>
    <n v="0"/>
    <n v="0"/>
    <n v="0"/>
    <n v="52546846"/>
    <n v="46265179"/>
    <n v="59008355"/>
    <n v="27514354"/>
    <n v="78534387"/>
    <n v="188920015"/>
    <n v="1103429"/>
    <m/>
    <n v="72506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URBANO"/>
    <s v="SOCIAL"/>
    <s v="LLANQUIHUE"/>
    <s v="P.VARAS"/>
    <n v="17"/>
    <s v="LIBRE"/>
    <s v="EJECUCION"/>
    <n v="30064230"/>
    <s v="G"/>
    <s v="PAULINA HUIDOBRO JARAMI"/>
    <s v="30064230EJECUCION"/>
    <m/>
    <s v="REPOSICION ESTADIO EWALDO KLEIN DE PUERTO VARAS"/>
    <m/>
    <m/>
    <m/>
    <m/>
    <m/>
    <m/>
    <m/>
    <n v="2746936000"/>
    <n v="1002255904"/>
    <m/>
    <n v="953255040"/>
    <n v="74125963"/>
    <n v="879129077"/>
    <n v="0"/>
    <n v="0"/>
    <n v="0"/>
    <n v="0"/>
    <n v="0"/>
    <n v="0"/>
    <n v="0"/>
    <n v="0"/>
    <n v="2200000"/>
    <n v="2200000"/>
    <n v="67525963"/>
    <n v="2200000"/>
    <m/>
    <n v="791425056"/>
    <s v="RS"/>
    <s v="RS"/>
    <s v="En Ejecución "/>
  </r>
  <r>
    <n v="31"/>
    <s v="A"/>
    <x v="1"/>
    <s v="URBANO"/>
    <s v="CONECTIVIDAD"/>
    <s v="LLANQUIHUE"/>
    <s v="P.VARAS"/>
    <n v="17"/>
    <s v="FAR"/>
    <s v="EJECUCION"/>
    <n v="40005578"/>
    <m/>
    <s v="KARIN DEL CARMEN BARRIENTOS WINTER"/>
    <s v="40005578EJECUCION"/>
    <m/>
    <s v="* MEJORAMIENTO CALLE TERRAPLEN, PUERTO VARAS"/>
    <s v="* CERT. CORE 92 03.2020 - AUMENTA PPTO"/>
    <m/>
    <m/>
    <m/>
    <m/>
    <m/>
    <m/>
    <n v="258669418"/>
    <n v="31198653"/>
    <m/>
    <n v="76100000"/>
    <n v="1100000"/>
    <n v="75000000"/>
    <n v="0"/>
    <n v="0"/>
    <n v="0"/>
    <n v="0"/>
    <n v="0"/>
    <n v="1100000"/>
    <n v="0"/>
    <n v="0"/>
    <n v="0"/>
    <n v="0"/>
    <n v="0"/>
    <n v="0"/>
    <m/>
    <n v="151370765"/>
    <s v="RS"/>
    <s v="RS"/>
    <s v="En Ejecución "/>
  </r>
  <r>
    <n v="31"/>
    <s v="A"/>
    <x v="1"/>
    <s v="URBANO"/>
    <s v="CONECTIVIDAD"/>
    <s v="LLANQUIHUE"/>
    <s v="P.VARAS"/>
    <n v="17"/>
    <s v="FAR"/>
    <s v="EJECUCION"/>
    <n v="40001254"/>
    <m/>
    <s v="KARIN DEL CARMEN BARRIENTOS WINTER"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140045564"/>
    <n v="66985066"/>
    <n v="73060498"/>
    <n v="0"/>
    <n v="0"/>
    <n v="0"/>
    <n v="0"/>
    <n v="0"/>
    <n v="1133000"/>
    <n v="45295885"/>
    <n v="20556181"/>
    <n v="0"/>
    <n v="0"/>
    <n v="0"/>
    <n v="0"/>
    <m/>
    <n v="107166970"/>
    <s v="RS"/>
    <s v="RS"/>
    <s v="En Ejecución "/>
  </r>
  <r>
    <n v="31"/>
    <s v="A"/>
    <x v="2"/>
    <s v="RURAL"/>
    <s v="SOCIAL"/>
    <s v="LLANQUIHUE"/>
    <s v="P.VARAS"/>
    <n v="17"/>
    <s v="LIBRE"/>
    <s v="EJECUCION"/>
    <n v="30066636"/>
    <m/>
    <s v="KARIN DEL CARMEN BARRIENTOS WINTER"/>
    <s v="30066636EJECUCION"/>
    <m/>
    <s v="REPOSICION ESCUELA EPSON ENSENADA"/>
    <s v="* CERT. CORE 278 12.09.19 - APRUEBA AUMENTO PPTO"/>
    <m/>
    <m/>
    <m/>
    <m/>
    <m/>
    <m/>
    <n v="2826817000"/>
    <n v="1720257350"/>
    <m/>
    <n v="342986334"/>
    <n v="205357195"/>
    <n v="137629139"/>
    <n v="0"/>
    <n v="0"/>
    <n v="0"/>
    <n v="0"/>
    <n v="0"/>
    <n v="27380960"/>
    <n v="0"/>
    <n v="123214316"/>
    <n v="54761919"/>
    <n v="0"/>
    <n v="0"/>
    <n v="0"/>
    <m/>
    <n v="763573316"/>
    <s v="RS"/>
    <s v="RS"/>
    <s v="En Ejecución "/>
  </r>
  <r>
    <n v="29"/>
    <s v="A"/>
    <x v="3"/>
    <s v="RURAL"/>
    <s v="SOCIAL"/>
    <s v="LLANQUIHUE"/>
    <s v="P.VARAS"/>
    <n v="17"/>
    <s v="LIBRE"/>
    <s v="EJECUCION"/>
    <n v="30396974"/>
    <m/>
    <e v="#N/A"/>
    <s v="30396974EJECUCION"/>
    <m/>
    <s v="ADQUISICION LUMINARIAS LED ALUMBRADO PUBLICO, PUERTO VARAS (C33)"/>
    <m/>
    <m/>
    <m/>
    <m/>
    <m/>
    <m/>
    <m/>
    <n v="2414287000"/>
    <n v="1357741523"/>
    <m/>
    <n v="490000900"/>
    <n v="332259377"/>
    <n v="157741523"/>
    <n v="0"/>
    <n v="0"/>
    <n v="0"/>
    <n v="0"/>
    <n v="0"/>
    <n v="0"/>
    <n v="0"/>
    <n v="0"/>
    <n v="0"/>
    <n v="332259377"/>
    <n v="0"/>
    <n v="0"/>
    <m/>
    <n v="566544577"/>
    <s v="RS*"/>
    <s v="C33"/>
    <s v="En Ejecución "/>
  </r>
  <r>
    <n v="29"/>
    <s v="A"/>
    <x v="2"/>
    <s v="URBANO"/>
    <s v="SOCIAL"/>
    <s v="LLANQUIHUE"/>
    <s v="P.VARAS"/>
    <n v="17"/>
    <s v="LIBRE"/>
    <s v="EJECUCION"/>
    <n v="30436694"/>
    <m/>
    <e v="#N/A"/>
    <s v="30436694EJECUCION"/>
    <m/>
    <s v="ADQUISICION EQUIPAMIENTO ESTABLECIMIENTOS EDUCACIONALES, PTO VARAS(C33)"/>
    <m/>
    <m/>
    <m/>
    <m/>
    <m/>
    <m/>
    <m/>
    <n v="488214000"/>
    <n v="80298900"/>
    <m/>
    <n v="407915070"/>
    <n v="0"/>
    <n v="407915070"/>
    <n v="0"/>
    <n v="0"/>
    <n v="0"/>
    <n v="0"/>
    <n v="0"/>
    <n v="0"/>
    <n v="0"/>
    <n v="0"/>
    <n v="0"/>
    <n v="0"/>
    <n v="0"/>
    <n v="0"/>
    <m/>
    <n v="30"/>
    <s v="RS*"/>
    <s v="C33"/>
    <s v="En Ejecución "/>
  </r>
  <r>
    <n v="31"/>
    <s v="A"/>
    <x v="1"/>
    <s v="URBANO"/>
    <s v="CONECTIVIDAD"/>
    <s v="LLANQUIHUE"/>
    <s v="P.VARAS"/>
    <n v="17"/>
    <s v="FAR"/>
    <s v="EJECUCION"/>
    <n v="40005278"/>
    <m/>
    <e v="#N/A"/>
    <s v="40005278EJECUCION"/>
    <m/>
    <s v="CONSERVACION VIAS URBANAS PUERTO VARAS (C33)"/>
    <m/>
    <m/>
    <m/>
    <m/>
    <m/>
    <m/>
    <m/>
    <n v="980817000"/>
    <n v="21532561"/>
    <m/>
    <n v="447057333"/>
    <n v="323318119"/>
    <n v="123739214"/>
    <n v="0"/>
    <n v="0"/>
    <n v="0"/>
    <n v="0"/>
    <n v="0"/>
    <n v="0"/>
    <n v="0"/>
    <n v="0"/>
    <n v="93397323"/>
    <n v="181252621"/>
    <n v="0"/>
    <n v="48668175"/>
    <m/>
    <n v="512227106"/>
    <s v="RS*"/>
    <s v="C33"/>
    <s v="En Ejecución "/>
  </r>
  <r>
    <n v="31"/>
    <s v="A"/>
    <x v="1"/>
    <s v="URBANO"/>
    <s v="SOCIAL"/>
    <s v="LLANQUIHUE"/>
    <s v="P.VARAS"/>
    <n v="17"/>
    <s v="FAR"/>
    <s v="EJECUCION"/>
    <n v="30485313"/>
    <m/>
    <e v="#N/A"/>
    <s v="30485313EJECUCION"/>
    <s v="2852-112-LR19"/>
    <s v="CONSERVACION PLAZA DE ARMAS Y SU ENTORNO, PUERTO VARAS (C33)"/>
    <m/>
    <m/>
    <m/>
    <m/>
    <m/>
    <m/>
    <m/>
    <n v="468032000"/>
    <n v="0"/>
    <m/>
    <n v="468032000"/>
    <n v="294209030"/>
    <n v="173822970"/>
    <n v="0"/>
    <n v="0"/>
    <n v="0"/>
    <n v="0"/>
    <n v="0"/>
    <n v="83369654"/>
    <n v="96635450"/>
    <n v="76593628"/>
    <n v="37610298"/>
    <n v="0"/>
    <n v="0"/>
    <n v="0"/>
    <m/>
    <n v="0"/>
    <s v="RS*"/>
    <s v="C33"/>
    <s v="En Ejecución "/>
  </r>
  <r>
    <n v="33"/>
    <s v="A"/>
    <x v="4"/>
    <s v="URBANO"/>
    <s v="SOCIAL"/>
    <s v="LLANQUIHUE"/>
    <s v="P.VARAS"/>
    <n v="1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LLANQUIHUE"/>
    <s v="P.VARAS"/>
    <n v="17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91813611"/>
    <n v="108186389"/>
    <n v="0"/>
    <n v="0"/>
    <n v="0"/>
    <n v="0"/>
    <n v="0"/>
    <n v="1804209"/>
    <n v="0"/>
    <n v="0"/>
    <n v="37181846"/>
    <n v="0"/>
    <n v="52827556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0732014952"/>
    <n v="4214314891"/>
    <m/>
    <n v="3625392241"/>
    <n v="1389168361"/>
    <n v="2236223880"/>
    <n v="0"/>
    <n v="0"/>
    <n v="0"/>
    <n v="0"/>
    <n v="0"/>
    <n v="114787823"/>
    <n v="141931335"/>
    <n v="220364125"/>
    <n v="225151386"/>
    <n v="515711998"/>
    <n v="120353519"/>
    <n v="50868175"/>
    <m/>
    <n v="289230782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3"/>
    <s v="URBANO"/>
    <s v="SOCIAL"/>
    <s v="LLANQUIHUE"/>
    <s v="P.VARAS"/>
    <n v="17"/>
    <s v="LIBRE"/>
    <s v="EJECUCION"/>
    <n v="30204522"/>
    <m/>
    <e v="#N/A"/>
    <s v="30204522EJECUCION"/>
    <s v="2852-31-LR20"/>
    <s v="REPOSICION CUARTEL SEXTA COMPAÑIA DE BOMBEROS"/>
    <m/>
    <m/>
    <m/>
    <s v="2505 30,08,19"/>
    <n v="1169057000"/>
    <m/>
    <m/>
    <n v="1237007000"/>
    <n v="0"/>
    <m/>
    <n v="348175103"/>
    <n v="0"/>
    <n v="348175103"/>
    <n v="0"/>
    <n v="0"/>
    <n v="0"/>
    <n v="0"/>
    <n v="0"/>
    <n v="0"/>
    <n v="0"/>
    <n v="0"/>
    <n v="0"/>
    <n v="0"/>
    <n v="0"/>
    <n v="0"/>
    <m/>
    <n v="888831897"/>
    <s v="RS"/>
    <s v="RS"/>
    <s v="En Licitación (03.07.20)"/>
  </r>
  <r>
    <n v="31"/>
    <s v="N"/>
    <x v="10"/>
    <s v="RURAL"/>
    <s v="TURISMO"/>
    <s v="LLANQUIHUE"/>
    <s v="P.VARAS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m/>
    <m/>
    <m/>
    <m/>
    <m/>
    <n v="0"/>
    <n v="0"/>
    <n v="0"/>
    <n v="0"/>
    <n v="0"/>
    <m/>
    <m/>
    <m/>
    <n v="288600000"/>
    <s v="RS"/>
    <s v="RS"/>
    <s v="Convenio en Confección"/>
  </r>
  <r>
    <n v="31"/>
    <s v="N"/>
    <x v="1"/>
    <s v="URBANO"/>
    <s v="CONECTIVIDAD"/>
    <s v="LLANQUIHUE"/>
    <s v="P.VARAS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12300000"/>
    <n v="0"/>
    <n v="12300000"/>
    <n v="0"/>
    <n v="0"/>
    <n v="0"/>
    <n v="0"/>
    <n v="0"/>
    <n v="0"/>
    <n v="0"/>
    <n v="0"/>
    <n v="0"/>
    <n v="0"/>
    <n v="0"/>
    <n v="0"/>
    <m/>
    <n v="233700000"/>
    <s v="RS"/>
    <s v="RS"/>
    <s v="Licitación Cerrada (08.06.20)"/>
  </r>
  <r>
    <n v="31"/>
    <s v="N"/>
    <x v="1"/>
    <s v="URBANO"/>
    <s v="SOCIAL"/>
    <s v="LLANQUIHUE"/>
    <s v="P.VARAS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71800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589607000"/>
    <n v="0"/>
    <m/>
    <n v="460475103"/>
    <n v="0"/>
    <n v="460475103"/>
    <n v="0"/>
    <n v="0"/>
    <n v="0"/>
    <n v="0"/>
    <n v="0"/>
    <n v="0"/>
    <n v="0"/>
    <n v="0"/>
    <n v="0"/>
    <n v="0"/>
    <n v="0"/>
    <n v="0"/>
    <m/>
    <n v="212913189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.VARAS"/>
    <m/>
    <m/>
    <m/>
    <m/>
    <m/>
    <m/>
    <m/>
    <n v="13321621952"/>
    <n v="4214314891"/>
    <m/>
    <n v="4085867344"/>
    <n v="1389168361"/>
    <n v="2696698983"/>
    <n v="0"/>
    <n v="0"/>
    <n v="0"/>
    <n v="0"/>
    <n v="0"/>
    <n v="114787823"/>
    <n v="141931335"/>
    <n v="220364125"/>
    <n v="225151386"/>
    <n v="515711998"/>
    <n v="120353519"/>
    <n v="50868175"/>
    <m/>
    <n v="502143971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LLANQUIHUE"/>
    <s v="PROV.LLANQUIHUE"/>
    <n v="18"/>
    <s v="PV"/>
    <s v="EJECUCION"/>
    <n v="30342773"/>
    <s v="V"/>
    <s v="PAULINA HUIDOBRO JARAMI"/>
    <s v="30342773EJECUCION"/>
    <m/>
    <s v="MEJORAMIENTO RUTA V 69 SECTOR RALUN COCHAMO"/>
    <m/>
    <m/>
    <m/>
    <m/>
    <m/>
    <m/>
    <m/>
    <n v="7077521000"/>
    <n v="3408630569"/>
    <m/>
    <n v="1752412529"/>
    <n v="1705519135"/>
    <n v="46893394"/>
    <n v="0"/>
    <n v="0"/>
    <n v="0"/>
    <n v="0"/>
    <n v="0"/>
    <n v="77106606"/>
    <n v="44742626"/>
    <n v="100888405"/>
    <n v="284031169"/>
    <n v="367910604"/>
    <n v="327156331"/>
    <n v="503683394"/>
    <m/>
    <n v="1916477902"/>
    <s v="RE"/>
    <s v="RE"/>
    <s v="En Ejecución / Reevaluación"/>
  </r>
  <r>
    <n v="31"/>
    <s v="A"/>
    <x v="6"/>
    <s v="RURAL"/>
    <s v="SOCIAL"/>
    <s v="LLANQUIHUE"/>
    <s v="PROV.LLANQUIHUE"/>
    <n v="18"/>
    <s v="LIBRE"/>
    <s v="EJECUCION"/>
    <n v="30380331"/>
    <s v="SALUD"/>
    <s v="KARIN DEL CARMEN BARRIENTOS WINTER"/>
    <s v="30380331EJECUCION"/>
    <m/>
    <s v="CONSTRUCCION Y HABILITACION CENTRO DE DIALISIS HOSPITAL DE CALBUCO"/>
    <m/>
    <m/>
    <m/>
    <m/>
    <m/>
    <m/>
    <m/>
    <n v="1947580000"/>
    <n v="0"/>
    <m/>
    <n v="288831897"/>
    <n v="177066265"/>
    <n v="111765632"/>
    <n v="0"/>
    <n v="0"/>
    <n v="0"/>
    <n v="0"/>
    <n v="0"/>
    <n v="0"/>
    <n v="39431720"/>
    <n v="0"/>
    <n v="53722525"/>
    <n v="0"/>
    <n v="27825832"/>
    <n v="56086188"/>
    <m/>
    <n v="1658748103"/>
    <s v="RS"/>
    <s v="RS"/>
    <s v="En Ejecución "/>
  </r>
  <r>
    <n v="31"/>
    <s v="A"/>
    <x v="1"/>
    <s v="RURAL"/>
    <s v="CONECTIVIDAD"/>
    <s v="LLANQUIHUE"/>
    <s v="PROV.LLANQUIHUE"/>
    <n v="18"/>
    <s v="FAR"/>
    <s v="EJECUCION"/>
    <n v="30133755"/>
    <m/>
    <s v="GLORIA DEL CARMEN QUEZADA VELASQUEZ"/>
    <s v="30133755EJECUCION"/>
    <m/>
    <s v="CONSERVACION RED VIAL DE VARIOS CAMINOS PAVIMENTADOS AÑO 2013 (C33)"/>
    <m/>
    <m/>
    <m/>
    <m/>
    <m/>
    <m/>
    <m/>
    <n v="9774474000"/>
    <n v="4532551127"/>
    <m/>
    <n v="2895923713"/>
    <n v="2889531773"/>
    <n v="6391940"/>
    <n v="0"/>
    <n v="0"/>
    <n v="0"/>
    <n v="0"/>
    <n v="0"/>
    <n v="0"/>
    <n v="177140947"/>
    <n v="0"/>
    <n v="898024426"/>
    <n v="186853563"/>
    <n v="1252698058"/>
    <n v="374814779"/>
    <m/>
    <n v="2345999160"/>
    <s v="RS*"/>
    <s v="C33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4937168139"/>
    <n v="4772117173"/>
    <n v="165050966"/>
    <n v="0"/>
    <n v="0"/>
    <n v="0"/>
    <n v="0"/>
    <n v="0"/>
    <n v="77106606"/>
    <n v="261315293"/>
    <n v="100888405"/>
    <n v="1235778120"/>
    <n v="554764167"/>
    <n v="1607680221"/>
    <n v="934584361"/>
    <m/>
    <n v="592122516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LLANQUIHUE"/>
    <s v="PROV.LLANQUIHUE"/>
    <n v="18"/>
    <s v="LIBRE"/>
    <s v="EJECUCION"/>
    <n v="30077481"/>
    <s v="G"/>
    <e v="#N/A"/>
    <s v="30077481EJECUCION"/>
    <s v="827-22-O119"/>
    <s v="RESTAURACION IGLESIA N. SRA. DE LA CANDELARIA (MN), CARELMAPU"/>
    <s v="* CORE 358 24.10.19 - AUMENTA PPTO ($ 2.057.540.000)"/>
    <m/>
    <m/>
    <m/>
    <m/>
    <m/>
    <m/>
    <n v="2057540000"/>
    <n v="0"/>
    <m/>
    <n v="87119019"/>
    <n v="0"/>
    <n v="87119019"/>
    <n v="0"/>
    <n v="0"/>
    <n v="0"/>
    <n v="0"/>
    <n v="0"/>
    <n v="0"/>
    <n v="0"/>
    <n v="0"/>
    <n v="0"/>
    <n v="0"/>
    <n v="0"/>
    <n v="0"/>
    <m/>
    <n v="1970420981"/>
    <s v="RS"/>
    <s v="RS"/>
    <s v="Licitación Desierta"/>
  </r>
  <r>
    <n v="31"/>
    <s v="A"/>
    <x v="3"/>
    <s v="URBANO"/>
    <s v="SOCIAL"/>
    <s v="LLANQUIHUE"/>
    <s v="PROV.LLANQUIHUE"/>
    <n v="18"/>
    <s v="LIBRE"/>
    <s v="EJECUCION"/>
    <n v="30077182"/>
    <s v="G"/>
    <s v="KARIN DEL CARMEN BARRIENTOS WINTER"/>
    <s v="30077182EJECUCION"/>
    <m/>
    <s v="REPOSICION CUARTEL INVESTIGACIONES PUERTO VARAS"/>
    <m/>
    <m/>
    <m/>
    <m/>
    <m/>
    <m/>
    <m/>
    <n v="2369092000"/>
    <n v="9000000"/>
    <m/>
    <n v="103242800"/>
    <n v="0"/>
    <n v="103242800"/>
    <n v="0"/>
    <n v="0"/>
    <n v="0"/>
    <n v="0"/>
    <n v="0"/>
    <n v="0"/>
    <n v="0"/>
    <n v="0"/>
    <n v="0"/>
    <n v="0"/>
    <n v="0"/>
    <n v="0"/>
    <m/>
    <n v="2256849200"/>
    <s v="RS"/>
    <s v="RS"/>
    <s v="Convenio en Confección"/>
  </r>
  <r>
    <n v="31"/>
    <s v="N"/>
    <x v="1"/>
    <s v="URBANO"/>
    <s v="SOCIAL"/>
    <s v="LLANQUIHUE"/>
    <s v="PROV.LLANQUIHUE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  <s v="S-FICHA"/>
    <s v="En Licitación"/>
  </r>
  <r>
    <n v="31"/>
    <s v="N"/>
    <x v="1"/>
    <s v="URBANO"/>
    <s v="CONECTIVIDAD"/>
    <s v="LLANQUIHUE"/>
    <s v="PROV.LLANQUIHUE"/>
    <n v="18"/>
    <s v="FAR"/>
    <s v="EJECUCION"/>
    <n v="30127010"/>
    <s v="CIU.+HUM."/>
    <s v="PAULINA HUIDOBRO JARAMI"/>
    <s v="30127010EJECUCION"/>
    <m/>
    <s v="MEJORAMIENTO CALLE EL TENIENTE BARRIO INDUSTRIAL"/>
    <m/>
    <m/>
    <m/>
    <s v="796 19,03,20"/>
    <n v="3678096000"/>
    <m/>
    <m/>
    <n v="3678102000"/>
    <n v="0"/>
    <m/>
    <n v="116467113"/>
    <n v="0"/>
    <n v="116467113"/>
    <n v="0"/>
    <n v="0"/>
    <n v="0"/>
    <n v="0"/>
    <n v="0"/>
    <n v="0"/>
    <n v="0"/>
    <n v="0"/>
    <n v="0"/>
    <n v="0"/>
    <n v="0"/>
    <n v="0"/>
    <m/>
    <n v="3561634887"/>
    <s v="RS"/>
    <s v="RS"/>
    <s v="En Licitación"/>
  </r>
  <r>
    <n v="29"/>
    <s v="N"/>
    <x v="3"/>
    <s v="RURAL"/>
    <s v="SOCIAL"/>
    <s v="LLANQUIHUE"/>
    <s v="PROV.LLANQUIHUE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105867000"/>
    <n v="0"/>
    <n v="105867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x v="1"/>
    <s v="URBANO"/>
    <s v="CONECTIVIDAD"/>
    <s v="LLANQUIHUE"/>
    <s v="PROV.LLANQUIHUE"/>
    <n v="18"/>
    <s v="FAR"/>
    <s v="DISEÑO"/>
    <n v="30437675"/>
    <s v="CIU.+HUM."/>
    <s v="PAULINA HUIDOBRO JARAMI"/>
    <s v="30437675DISEÑO"/>
    <m/>
    <s v="CONSTRUCCION INTERTERRAZAS PUERTO MONTT, ETAPA I"/>
    <m/>
    <m/>
    <m/>
    <s v="798 19,03,20"/>
    <n v="500000000"/>
    <m/>
    <m/>
    <n v="50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250000000"/>
    <s v="RS"/>
    <s v="RS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9145944000"/>
    <n v="9000000"/>
    <m/>
    <n v="662745016"/>
    <n v="49084"/>
    <n v="662695932"/>
    <n v="0"/>
    <n v="0"/>
    <n v="0"/>
    <n v="0"/>
    <n v="0"/>
    <n v="49084"/>
    <n v="0"/>
    <n v="0"/>
    <n v="0"/>
    <n v="0"/>
    <n v="0"/>
    <n v="0"/>
    <m/>
    <n v="847419898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LES"/>
    <m/>
    <m/>
    <m/>
    <m/>
    <m/>
    <m/>
    <m/>
    <n v="27945519000"/>
    <n v="7950181696"/>
    <m/>
    <n v="5599913155"/>
    <n v="4772166257"/>
    <n v="827746898"/>
    <n v="0"/>
    <n v="0"/>
    <n v="0"/>
    <n v="0"/>
    <n v="0"/>
    <n v="77155690"/>
    <n v="261315293"/>
    <n v="100888405"/>
    <n v="1235778120"/>
    <n v="554764167"/>
    <n v="1607680221"/>
    <n v="934584361"/>
    <m/>
    <n v="1439542414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LLANQUIHUE"/>
    <m/>
    <m/>
    <m/>
    <m/>
    <m/>
    <m/>
    <m/>
    <n v="113404416519"/>
    <n v="28678511839"/>
    <m/>
    <n v="25307496695"/>
    <n v="11161729473"/>
    <n v="14145767222"/>
    <n v="0"/>
    <n v="0"/>
    <n v="0"/>
    <n v="0"/>
    <n v="0"/>
    <n v="717077288"/>
    <n v="1204348659"/>
    <n v="978734537"/>
    <n v="2578626076"/>
    <n v="1656614987"/>
    <n v="2609233375"/>
    <n v="1417094551"/>
    <m/>
    <n v="5941840798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CHILOE"/>
    <s v="ANCUD"/>
    <n v="19"/>
    <s v="LIBRE"/>
    <s v="EJECUCION"/>
    <n v="30085972"/>
    <m/>
    <s v="FRANCISCA MONTECINO  OPAZO"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7"/>
    <s v="URBANO"/>
    <s v="AGUA POTABLE"/>
    <s v="CHILOE"/>
    <s v="ANCUD"/>
    <n v="19"/>
    <s v="LIBRE"/>
    <s v="EJECUCION"/>
    <n v="30341232"/>
    <m/>
    <s v="HARRY FRANKLIN  MONSALVE FUENTES"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0"/>
    <n v="27448301"/>
    <n v="0"/>
    <n v="0"/>
    <n v="0"/>
    <n v="0"/>
    <n v="0"/>
    <n v="0"/>
    <n v="0"/>
    <n v="0"/>
    <n v="0"/>
    <n v="0"/>
    <n v="0"/>
    <n v="0"/>
    <m/>
    <n v="44657275"/>
    <s v="RS"/>
    <s v="RS"/>
    <s v="En Ejecución "/>
  </r>
  <r>
    <n v="31"/>
    <s v="A"/>
    <x v="7"/>
    <s v="URBANO"/>
    <s v="AGUA POTABLE"/>
    <s v="CHILOE"/>
    <s v="ANCUD"/>
    <n v="19"/>
    <s v="LIBRE"/>
    <s v="EJECUCION"/>
    <n v="30476333"/>
    <m/>
    <s v="HARRY FRANKLIN  MONSALVE FUENTES"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  <s v="RS"/>
    <s v="En Ejecución "/>
  </r>
  <r>
    <n v="31"/>
    <s v="A"/>
    <x v="5"/>
    <s v="URBANO"/>
    <s v="SOCIAL"/>
    <s v="CHILOE"/>
    <s v="ANCUD"/>
    <n v="19"/>
    <s v="LIBRE"/>
    <s v="EJECUCION"/>
    <n v="30486350"/>
    <m/>
    <s v="HARRY FRANKLIN  MONSALVE FUENTES"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m/>
    <m/>
    <m/>
    <m/>
    <m/>
    <n v="0"/>
    <n v="0"/>
    <n v="0"/>
    <n v="0"/>
    <n v="0"/>
    <n v="15371804"/>
    <n v="0"/>
    <m/>
    <n v="0"/>
    <s v="RS*"/>
    <s v="C33"/>
    <s v="En Ejecución "/>
  </r>
  <r>
    <n v="31"/>
    <s v="A"/>
    <x v="7"/>
    <s v="RURAL"/>
    <s v="AGUA POTABLE"/>
    <s v="CHILOE"/>
    <s v="ANCUD"/>
    <n v="19"/>
    <s v="LIBRE"/>
    <s v="EJECUCION"/>
    <n v="30109898"/>
    <m/>
    <e v="#N/A"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540394269"/>
    <n v="217345732"/>
    <n v="323048537"/>
    <n v="0"/>
    <n v="0"/>
    <n v="0"/>
    <n v="0"/>
    <n v="0"/>
    <n v="82349998"/>
    <n v="56913014"/>
    <n v="0"/>
    <n v="0"/>
    <n v="78082720"/>
    <n v="0"/>
    <n v="0"/>
    <m/>
    <n v="121211731"/>
    <s v="RS"/>
    <s v="RS"/>
    <s v="En Ejecución "/>
  </r>
  <r>
    <n v="33"/>
    <s v="A"/>
    <x v="4"/>
    <s v="URBANO"/>
    <s v="SOCIAL"/>
    <s v="CHILOE"/>
    <s v="ANCUD"/>
    <n v="1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ANCUD"/>
    <n v="19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70294738"/>
    <n v="129705262"/>
    <n v="0"/>
    <n v="0"/>
    <n v="0"/>
    <n v="0"/>
    <n v="0"/>
    <n v="0"/>
    <n v="0"/>
    <n v="0"/>
    <n v="0"/>
    <n v="70294738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576690768"/>
    <n v="2122659030"/>
    <m/>
    <n v="1288162732"/>
    <n v="704375410"/>
    <n v="583787322"/>
    <n v="0"/>
    <n v="0"/>
    <n v="0"/>
    <n v="0"/>
    <n v="0"/>
    <n v="82349998"/>
    <n v="56913014"/>
    <n v="0"/>
    <n v="21109805"/>
    <n v="150677458"/>
    <n v="175119431"/>
    <n v="218205704"/>
    <m/>
    <n v="16586900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URBANO"/>
    <s v="AGUA POTABLE"/>
    <s v="CHILOE"/>
    <s v="ANCUD"/>
    <n v="19"/>
    <s v="LIBRE"/>
    <s v="EJECUCION"/>
    <n v="40009233"/>
    <m/>
    <e v="#N/A"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44233927"/>
    <n v="0"/>
    <n v="44233927"/>
    <n v="0"/>
    <n v="0"/>
    <n v="0"/>
    <n v="0"/>
    <n v="0"/>
    <n v="0"/>
    <n v="0"/>
    <n v="0"/>
    <n v="0"/>
    <n v="0"/>
    <n v="0"/>
    <n v="0"/>
    <m/>
    <n v="614861073"/>
    <s v="RS"/>
    <s v="RS"/>
    <s v="Licitación Adjudicada"/>
  </r>
  <r>
    <n v="31"/>
    <s v="A"/>
    <x v="6"/>
    <s v="RURAL"/>
    <s v="SOCIAL"/>
    <s v="CHILOE"/>
    <s v="ANCUD"/>
    <n v="19"/>
    <s v="LIBRE"/>
    <s v="EJECUCION"/>
    <n v="30093349"/>
    <s v="SALUD"/>
    <s v="FRANCISCA MONTECINO  OPAZO"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463580000"/>
    <s v="RS"/>
    <s v="RS"/>
    <s v="En Licitación"/>
  </r>
  <r>
    <n v="31"/>
    <s v="N"/>
    <x v="7"/>
    <s v="RURAL"/>
    <s v="AGUA POTABLE"/>
    <s v="CHILOE"/>
    <s v="ANCUD"/>
    <n v="19"/>
    <s v="LIBRE"/>
    <s v="EJECUCION"/>
    <n v="30116708"/>
    <m/>
    <s v="FRANCISCA MONTECINO  OPAZO"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28332450"/>
    <n v="0"/>
    <n v="28332450"/>
    <n v="0"/>
    <n v="0"/>
    <n v="0"/>
    <n v="0"/>
    <n v="0"/>
    <n v="0"/>
    <n v="0"/>
    <n v="0"/>
    <n v="0"/>
    <n v="0"/>
    <n v="0"/>
    <n v="0"/>
    <m/>
    <n v="813921550"/>
    <s v="RS"/>
    <s v="RS"/>
    <s v="En Licitación"/>
  </r>
  <r>
    <n v="31"/>
    <s v="N"/>
    <x v="7"/>
    <s v="URBANO"/>
    <s v="ALCANTARILLADO"/>
    <s v="CHILOE"/>
    <s v="ANCUD"/>
    <n v="19"/>
    <s v="LIBRE"/>
    <s v="EJECUCION"/>
    <n v="40017416"/>
    <s v="AC. COMPL."/>
    <s v="FRANCISCA MONTECINO  OPAZO"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406672000"/>
    <n v="0"/>
    <n v="406672000"/>
    <m/>
    <m/>
    <m/>
    <m/>
    <m/>
    <n v="0"/>
    <n v="0"/>
    <n v="0"/>
    <n v="0"/>
    <n v="0"/>
    <n v="0"/>
    <n v="0"/>
    <m/>
    <n v="0"/>
    <s v="RS"/>
    <s v="RS"/>
    <s v="En Licitación"/>
  </r>
  <r>
    <n v="31"/>
    <s v="N"/>
    <x v="2"/>
    <s v="URBANO"/>
    <s v="SOCIAL"/>
    <s v="CHILOE"/>
    <s v="ANCUD"/>
    <n v="19"/>
    <s v="LIBRE"/>
    <s v="EJECUCION"/>
    <n v="40001823"/>
    <m/>
    <s v="FRANCISCA MONTECINO  OPAZO"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7500000"/>
    <n v="0"/>
    <n v="7500000"/>
    <n v="0"/>
    <n v="0"/>
    <n v="0"/>
    <n v="0"/>
    <n v="0"/>
    <n v="0"/>
    <n v="0"/>
    <n v="0"/>
    <n v="0"/>
    <n v="0"/>
    <n v="0"/>
    <n v="0"/>
    <m/>
    <n v="217728000"/>
    <s v="RS"/>
    <s v="RS"/>
    <s v="En Licitación"/>
  </r>
  <r>
    <n v="31"/>
    <s v="N"/>
    <x v="8"/>
    <s v="RURAL"/>
    <s v="ENERGIA"/>
    <s v="CHILOE"/>
    <s v="ANCUD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0"/>
    <n v="310199000"/>
    <m/>
    <m/>
    <m/>
    <m/>
    <m/>
    <n v="0"/>
    <n v="0"/>
    <n v="0"/>
    <n v="0"/>
    <n v="0"/>
    <n v="0"/>
    <n v="0"/>
    <m/>
    <n v="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007028000"/>
    <n v="0"/>
    <m/>
    <n v="896937377"/>
    <n v="0"/>
    <n v="896937377"/>
    <n v="0"/>
    <n v="0"/>
    <n v="0"/>
    <n v="0"/>
    <n v="0"/>
    <n v="0"/>
    <n v="0"/>
    <n v="0"/>
    <n v="0"/>
    <n v="0"/>
    <n v="0"/>
    <n v="0"/>
    <m/>
    <n v="211009062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ANCUD"/>
    <m/>
    <m/>
    <m/>
    <m/>
    <m/>
    <m/>
    <m/>
    <n v="6583718768"/>
    <n v="2122659030"/>
    <m/>
    <n v="2185100109"/>
    <n v="704375410"/>
    <n v="1480724699"/>
    <n v="0"/>
    <n v="0"/>
    <n v="0"/>
    <n v="0"/>
    <n v="0"/>
    <n v="82349998"/>
    <n v="56913014"/>
    <n v="0"/>
    <n v="21109805"/>
    <n v="150677458"/>
    <n v="175119431"/>
    <n v="218205704"/>
    <m/>
    <n v="227595962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CONECTIVIDAD"/>
    <s v="CHILOE"/>
    <s v="CASTRO"/>
    <n v="20"/>
    <s v="FAR"/>
    <s v="EJECUCION"/>
    <n v="30485135"/>
    <m/>
    <s v="FRANCISCA MONTECINO  OPAZO"/>
    <s v="30485135EJECUCION"/>
    <m/>
    <s v="CONSERVACION VEREDAS CASTRO ALTO, COMUNA DE CASTRO (C33)"/>
    <m/>
    <m/>
    <m/>
    <m/>
    <m/>
    <m/>
    <m/>
    <n v="457733000"/>
    <n v="0"/>
    <m/>
    <n v="444723548"/>
    <n v="435946053"/>
    <n v="8777495"/>
    <n v="0"/>
    <n v="0"/>
    <n v="0"/>
    <n v="0"/>
    <n v="0"/>
    <n v="0"/>
    <n v="0"/>
    <n v="103844241"/>
    <n v="0"/>
    <n v="0"/>
    <n v="94313272"/>
    <n v="237788540"/>
    <m/>
    <n v="13009452"/>
    <s v="RS*"/>
    <s v="C33"/>
    <s v="En Ejecución "/>
  </r>
  <r>
    <n v="31"/>
    <s v="A"/>
    <x v="7"/>
    <s v="URBANO"/>
    <s v="AGUA POTABLE"/>
    <s v="CHILOE"/>
    <s v="CASTRO"/>
    <n v="20"/>
    <s v="LIBRE"/>
    <s v="EJECUCION"/>
    <n v="30121787"/>
    <m/>
    <s v="HARRY FRANKLIN  MONSALVE FUENTES"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x v="2"/>
    <s v="URBANO"/>
    <s v="SOCIAL"/>
    <s v="CHILOE"/>
    <s v="CASTRO"/>
    <n v="20"/>
    <s v="LIBRE"/>
    <s v="DISEÑO"/>
    <n v="30076949"/>
    <m/>
    <s v="FRANCISCA MONTECINO  OPAZO"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81586005"/>
    <n v="148384968"/>
    <n v="0"/>
    <n v="0"/>
    <n v="0"/>
    <n v="0"/>
    <n v="0"/>
    <n v="0"/>
    <n v="0"/>
    <n v="46620574"/>
    <n v="0"/>
    <n v="34965431"/>
    <n v="0"/>
    <n v="0"/>
    <m/>
    <n v="102168027"/>
    <s v="RS"/>
    <s v="RS"/>
    <s v="En Ejecución "/>
  </r>
  <r>
    <n v="31"/>
    <s v="A"/>
    <x v="1"/>
    <s v="URBANO"/>
    <s v="CONECTIVIDAD"/>
    <s v="CHILOE"/>
    <s v="CASTRO"/>
    <n v="20"/>
    <s v="FAR"/>
    <s v="EJECUCION"/>
    <n v="40003369"/>
    <m/>
    <s v="FRANCISCA MONTECINO  OPAZO"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  <s v="C33"/>
    <s v="En Ejecución "/>
  </r>
  <r>
    <n v="24"/>
    <s v="N"/>
    <x v="8"/>
    <s v="RURAL"/>
    <s v="ENERGIA"/>
    <s v="CHILOE"/>
    <s v="CASTRO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50892340"/>
    <n v="0"/>
    <m/>
    <n v="50892340"/>
    <n v="50892340"/>
    <n v="0"/>
    <m/>
    <m/>
    <m/>
    <m/>
    <m/>
    <n v="0"/>
    <n v="0"/>
    <n v="0"/>
    <n v="50892340"/>
    <m/>
    <m/>
    <m/>
    <m/>
    <n v="0"/>
    <s v="RS***"/>
    <s v="SS.EE"/>
    <s v="En Ejecución "/>
  </r>
  <r>
    <n v="31"/>
    <s v="A"/>
    <x v="10"/>
    <s v="URBANO"/>
    <s v="FOMENTO PRODUCTIVO"/>
    <s v="CHILOE"/>
    <s v="CASTRO"/>
    <n v="20"/>
    <s v="LIBRE"/>
    <s v="EJECUCION"/>
    <n v="30076663"/>
    <m/>
    <e v="#N/A"/>
    <s v="30076663EJECUCION"/>
    <s v="966131-55-LR19"/>
    <s v="CONSERVACION FERIA LILLO COMUNA CASTRO (C33)"/>
    <m/>
    <m/>
    <m/>
    <m/>
    <m/>
    <m/>
    <m/>
    <n v="564532000"/>
    <n v="0"/>
    <m/>
    <n v="366700027"/>
    <n v="122263164"/>
    <n v="244436863"/>
    <n v="0"/>
    <n v="0"/>
    <n v="0"/>
    <n v="0"/>
    <n v="0"/>
    <n v="115983164"/>
    <n v="1570000"/>
    <n v="1570000"/>
    <n v="3140000"/>
    <n v="0"/>
    <n v="0"/>
    <n v="0"/>
    <m/>
    <n v="197831973"/>
    <s v="RS*"/>
    <s v="C33"/>
    <s v="En Ejecución "/>
  </r>
  <r>
    <n v="33"/>
    <s v="A"/>
    <x v="4"/>
    <s v="URBANO"/>
    <s v="SOCIAL"/>
    <s v="CHILOE"/>
    <s v="CASTRO"/>
    <n v="2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CASTRO"/>
    <n v="20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49257331"/>
    <n v="150742669"/>
    <n v="0"/>
    <n v="0"/>
    <n v="0"/>
    <n v="0"/>
    <n v="0"/>
    <n v="0"/>
    <n v="17517562"/>
    <n v="23102764"/>
    <n v="8637005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004520650"/>
    <n v="747772307"/>
    <m/>
    <n v="1679297244"/>
    <n v="1025503246"/>
    <n v="653793998"/>
    <n v="0"/>
    <n v="0"/>
    <n v="0"/>
    <n v="0"/>
    <n v="0"/>
    <n v="179755617"/>
    <n v="19087562"/>
    <n v="252239289"/>
    <n v="126481854"/>
    <n v="115837112"/>
    <n v="94313272"/>
    <n v="237788540"/>
    <m/>
    <n v="57745109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URBANO"/>
    <s v="SOCIAL"/>
    <s v="CHILOE"/>
    <s v="CASTRO"/>
    <n v="20"/>
    <s v="LIBRE"/>
    <s v="EJECUCION"/>
    <n v="20140221"/>
    <m/>
    <e v="#N/A"/>
    <s v="20140221EJECUCION"/>
    <s v="966131-80-LR19"/>
    <s v="REPOSICION POSTA DE SALUD RURAL DE LA ISLA CHELIN, CASTRO"/>
    <m/>
    <m/>
    <m/>
    <m/>
    <m/>
    <m/>
    <m/>
    <n v="600518000"/>
    <n v="0"/>
    <m/>
    <n v="200518000"/>
    <n v="0"/>
    <n v="200518000"/>
    <n v="0"/>
    <n v="0"/>
    <n v="0"/>
    <n v="0"/>
    <n v="0"/>
    <n v="0"/>
    <n v="0"/>
    <n v="0"/>
    <n v="0"/>
    <n v="0"/>
    <n v="0"/>
    <n v="0"/>
    <m/>
    <n v="400000000"/>
    <s v="RS"/>
    <s v="RS"/>
    <s v="Licitación Adjudicada"/>
  </r>
  <r>
    <n v="31"/>
    <s v="A"/>
    <x v="4"/>
    <s v="URBANO"/>
    <s v="CONECTIVIDAD"/>
    <s v="CHILOE"/>
    <s v="CASTRO"/>
    <n v="20"/>
    <s v="FAR"/>
    <s v="EJECUCION"/>
    <n v="40002877"/>
    <m/>
    <s v="HARRY FRANKLIN  MONSALVE FUENTES"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77451099"/>
    <n v="0"/>
    <n v="77451099"/>
    <n v="0"/>
    <n v="0"/>
    <n v="0"/>
    <n v="0"/>
    <n v="0"/>
    <n v="0"/>
    <n v="0"/>
    <n v="0"/>
    <n v="0"/>
    <n v="0"/>
    <n v="0"/>
    <n v="0"/>
    <m/>
    <n v="3701904901"/>
    <s v="RS"/>
    <s v="RS"/>
    <s v="En Licitación (14.07.20)"/>
  </r>
  <r>
    <n v="31"/>
    <s v="N"/>
    <x v="2"/>
    <s v="URBANO"/>
    <s v="SOCIAL"/>
    <s v="CHILOE"/>
    <s v="CASTRO"/>
    <n v="20"/>
    <s v="LIBRE"/>
    <s v="DISEÑO"/>
    <n v="40005957"/>
    <m/>
    <m/>
    <s v="40005957DISEÑO"/>
    <m/>
    <s v="* REPOSICION MUSEO MUNICIPAL Y BIBLIOTECA PUBLICA"/>
    <m/>
    <m/>
    <m/>
    <m/>
    <m/>
    <m/>
    <m/>
    <n v="139625000"/>
    <n v="0"/>
    <m/>
    <n v="5324600"/>
    <n v="0"/>
    <n v="5324600"/>
    <n v="0"/>
    <n v="0"/>
    <n v="0"/>
    <n v="0"/>
    <n v="0"/>
    <n v="0"/>
    <n v="0"/>
    <n v="0"/>
    <n v="0"/>
    <n v="0"/>
    <n v="0"/>
    <n v="0"/>
    <m/>
    <n v="134300400"/>
    <s v="RS"/>
    <s v="RS"/>
    <s v="Convenio en Confección"/>
  </r>
  <r>
    <n v="29"/>
    <s v="N"/>
    <x v="4"/>
    <s v="URBANO"/>
    <s v="SOCIAL"/>
    <s v="CHILOE"/>
    <s v="CASTRO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233710000"/>
    <n v="0"/>
    <n v="233710000"/>
    <n v="0"/>
    <n v="0"/>
    <n v="0"/>
    <n v="0"/>
    <n v="0"/>
    <n v="0"/>
    <n v="0"/>
    <n v="0"/>
    <n v="0"/>
    <n v="0"/>
    <n v="0"/>
    <n v="0"/>
    <m/>
    <n v="417815000"/>
    <s v="RS*"/>
    <s v="C33"/>
    <s v="Convenio en Tramite"/>
  </r>
  <r>
    <n v="31"/>
    <s v="N"/>
    <x v="1"/>
    <s v="URBANO"/>
    <s v="CONECTIVIDAD"/>
    <s v="CHILOE"/>
    <s v="CASTRO"/>
    <n v="22"/>
    <s v="FAR"/>
    <s v="EJECUCION"/>
    <n v="40014732"/>
    <m/>
    <m/>
    <s v="40014732EJECUCION"/>
    <m/>
    <s v="CONSERVACION CAMINOS RURALES Y URBANOS SECTOR TEN TEN Y LA CHACRAN (C33)"/>
    <m/>
    <m/>
    <m/>
    <m/>
    <m/>
    <m/>
    <m/>
    <n v="158000000"/>
    <n v="0"/>
    <m/>
    <n v="7900000"/>
    <n v="0"/>
    <n v="7900000"/>
    <n v="0"/>
    <n v="0"/>
    <n v="0"/>
    <n v="0"/>
    <n v="0"/>
    <n v="0"/>
    <n v="0"/>
    <n v="0"/>
    <n v="0"/>
    <n v="0"/>
    <n v="0"/>
    <n v="0"/>
    <m/>
    <n v="15010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5329024000"/>
    <n v="0"/>
    <m/>
    <n v="524903699"/>
    <n v="0"/>
    <n v="524903699"/>
    <n v="0"/>
    <n v="0"/>
    <n v="0"/>
    <n v="0"/>
    <n v="0"/>
    <n v="0"/>
    <n v="0"/>
    <n v="0"/>
    <n v="0"/>
    <n v="0"/>
    <n v="0"/>
    <n v="0"/>
    <m/>
    <n v="480412030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ASTRO"/>
    <m/>
    <m/>
    <m/>
    <m/>
    <m/>
    <m/>
    <m/>
    <n v="8333544650"/>
    <n v="747772307"/>
    <m/>
    <n v="2204200943"/>
    <n v="1025503246"/>
    <n v="1178697697"/>
    <n v="0"/>
    <n v="0"/>
    <n v="0"/>
    <n v="0"/>
    <n v="0"/>
    <n v="179755617"/>
    <n v="19087562"/>
    <n v="252239289"/>
    <n v="126481854"/>
    <n v="115837112"/>
    <n v="94313272"/>
    <n v="237788540"/>
    <m/>
    <n v="53815714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x v="7"/>
    <s v="RURAL"/>
    <s v="AGUA POTABLE"/>
    <s v="CHILOE"/>
    <s v="CHONCHI"/>
    <n v="21"/>
    <s v="PMB"/>
    <s v="EJECUCION"/>
    <n v="30091901"/>
    <m/>
    <s v="HARRY FRANKLIN  MONSALVE FUENTES"/>
    <s v="30091901EJECUCION"/>
    <m/>
    <s v="* MEJORAMIENTO Y AMPLIACION  APR DE HUILLINCO"/>
    <s v="* CERT. CORE 45 07.02.20 - ACTUALIZA COSTO"/>
    <m/>
    <m/>
    <m/>
    <m/>
    <m/>
    <m/>
    <n v="597480684"/>
    <n v="421356397"/>
    <m/>
    <n v="133443603"/>
    <n v="78611350"/>
    <n v="54832253"/>
    <n v="0"/>
    <n v="0"/>
    <n v="0"/>
    <n v="0"/>
    <n v="0"/>
    <n v="0"/>
    <n v="29372549"/>
    <n v="0"/>
    <n v="0"/>
    <n v="0"/>
    <n v="0"/>
    <n v="49238801"/>
    <m/>
    <n v="42680684"/>
    <s v="RS"/>
    <s v="RS"/>
    <s v="En Ejecución "/>
  </r>
  <r>
    <n v="31"/>
    <s v="A"/>
    <x v="3"/>
    <s v="RURAL"/>
    <s v="SOCIAL"/>
    <s v="CHILOE"/>
    <s v="CHONCHI"/>
    <n v="21"/>
    <s v="LIBRE"/>
    <s v="EJECUCION"/>
    <n v="30126506"/>
    <m/>
    <s v="HARRY FRANKLIN  MONSALVE FUENTES"/>
    <s v="30126506EJECUCION"/>
    <m/>
    <s v="CONSTRUCCION CUARTEL 2° COMPAÑIA BOMBEROS DE LA COMUNA DE CHONCHI"/>
    <m/>
    <m/>
    <m/>
    <m/>
    <m/>
    <m/>
    <m/>
    <n v="644396000"/>
    <n v="126246486"/>
    <m/>
    <n v="313832800"/>
    <n v="131269737"/>
    <n v="182563063"/>
    <n v="0"/>
    <n v="0"/>
    <n v="0"/>
    <n v="0"/>
    <n v="0"/>
    <n v="0"/>
    <n v="0"/>
    <n v="1800000"/>
    <n v="3600000"/>
    <n v="1800000"/>
    <n v="86045461"/>
    <n v="38024276"/>
    <m/>
    <n v="204316714"/>
    <s v="RS"/>
    <s v="RS"/>
    <s v="En Ejecución "/>
  </r>
  <r>
    <n v="29"/>
    <s v="A"/>
    <x v="4"/>
    <s v="RURAL"/>
    <s v="SOCIAL"/>
    <s v="CHILOE"/>
    <s v="CHONCHI"/>
    <n v="21"/>
    <s v="LIBRE"/>
    <s v="EJECUCION"/>
    <n v="30208122"/>
    <m/>
    <s v="FRANCISCA MONTECINO  OPAZO"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  <s v="C33"/>
    <s v="En Ejecución "/>
  </r>
  <r>
    <n v="22"/>
    <s v="A"/>
    <x v="1"/>
    <s v="RURAL"/>
    <s v="SOCIAL"/>
    <s v="CHILOE"/>
    <s v="CHONCHI"/>
    <n v="21"/>
    <s v="LIBRE"/>
    <s v="EJECUCION"/>
    <n v="30126522"/>
    <m/>
    <s v="FRANCISCA MONTECINO  OPAZO"/>
    <s v="30126522EJECUCION"/>
    <m/>
    <s v="ACTUALIZACION PLAN REGULADOR COMUNA DE CHONCHI (C33)"/>
    <m/>
    <m/>
    <m/>
    <m/>
    <m/>
    <m/>
    <m/>
    <n v="120000000"/>
    <n v="60000000"/>
    <m/>
    <n v="60000000"/>
    <n v="50000000"/>
    <n v="10000000"/>
    <n v="0"/>
    <n v="0"/>
    <n v="0"/>
    <n v="0"/>
    <n v="0"/>
    <n v="25000000"/>
    <n v="0"/>
    <n v="0"/>
    <n v="0"/>
    <n v="0"/>
    <n v="25000000"/>
    <n v="0"/>
    <m/>
    <n v="0"/>
    <s v="RS*"/>
    <s v="C33"/>
    <s v="En Ejecución "/>
  </r>
  <r>
    <n v="31"/>
    <s v="A"/>
    <x v="2"/>
    <s v="RURAL"/>
    <s v="SOCIAL"/>
    <s v="CHILOE"/>
    <s v="CHONCHI"/>
    <n v="21"/>
    <s v="LIBRE"/>
    <s v="DISEÑO"/>
    <n v="20157700"/>
    <m/>
    <s v="HARRY FRANKLIN  MONSALVE FUENTES"/>
    <s v="20157700DISEÑO"/>
    <m/>
    <s v="REPOSICION ESCUELA RURAL DE QUITRIPULLI"/>
    <m/>
    <m/>
    <m/>
    <m/>
    <m/>
    <m/>
    <m/>
    <n v="62758000"/>
    <n v="38544070"/>
    <m/>
    <n v="24213930"/>
    <n v="23855381"/>
    <n v="358549"/>
    <n v="0"/>
    <n v="0"/>
    <n v="0"/>
    <n v="0"/>
    <n v="0"/>
    <n v="0"/>
    <n v="0"/>
    <n v="0"/>
    <n v="0"/>
    <n v="0"/>
    <n v="0"/>
    <n v="23855381"/>
    <m/>
    <n v="0"/>
    <s v="RS"/>
    <s v="RS"/>
    <s v="En Ejecución "/>
  </r>
  <r>
    <n v="31"/>
    <s v="A"/>
    <x v="7"/>
    <s v="RURAL"/>
    <s v="AGUA POTABLE"/>
    <s v="CHILOE"/>
    <s v="CHONCHI"/>
    <n v="21"/>
    <s v="LIBRE"/>
    <s v="EJECUCION"/>
    <n v="30466394"/>
    <m/>
    <s v="FRANCISCA MONTECINO  OPAZO"/>
    <s v="30466394EJECUCION"/>
    <m/>
    <s v="CONSTRUCCION SISTEMA APR DE TARAHUIN, CHONCHI"/>
    <m/>
    <m/>
    <m/>
    <m/>
    <m/>
    <m/>
    <m/>
    <n v="483702000"/>
    <n v="233771289"/>
    <m/>
    <n v="249930711"/>
    <n v="125751201"/>
    <n v="124179510"/>
    <n v="0"/>
    <n v="0"/>
    <n v="0"/>
    <n v="0"/>
    <n v="0"/>
    <n v="23775593"/>
    <n v="0"/>
    <n v="15423454"/>
    <n v="18147894"/>
    <n v="36791677"/>
    <n v="14320197"/>
    <n v="17292386"/>
    <m/>
    <n v="0"/>
    <s v="RS"/>
    <s v="RS"/>
    <s v="En Ejecución "/>
  </r>
  <r>
    <n v="31"/>
    <s v="A"/>
    <x v="2"/>
    <s v="RURAL"/>
    <s v="SOCIAL"/>
    <s v="CHILOE"/>
    <s v="CHONCHI"/>
    <n v="21"/>
    <s v="LIBRE"/>
    <s v="DISEÑO"/>
    <n v="30126487"/>
    <m/>
    <e v="#N/A"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  <s v="RS"/>
    <s v="En Ejecución "/>
  </r>
  <r>
    <n v="31"/>
    <s v="A"/>
    <x v="6"/>
    <s v="RURAL"/>
    <s v="SOCIAL"/>
    <s v="CHILOE"/>
    <s v="CHONCHI"/>
    <n v="21"/>
    <s v="LIBRE"/>
    <s v="EJECUCION"/>
    <n v="30476688"/>
    <s v="SALUD"/>
    <s v="HARRY FRANKLIN  MONSALVE FUENTES"/>
    <s v="30476688EJECUCION"/>
    <s v="4318-34-LR19"/>
    <s v="REPOSICION POSTA SALUD RURAL CUCAO, COMUNA CHONCHI"/>
    <m/>
    <m/>
    <m/>
    <m/>
    <m/>
    <m/>
    <m/>
    <n v="543264000"/>
    <n v="0"/>
    <m/>
    <n v="243264000"/>
    <n v="45952294"/>
    <n v="197311706"/>
    <n v="0"/>
    <n v="0"/>
    <n v="0"/>
    <n v="0"/>
    <n v="0"/>
    <n v="0"/>
    <n v="0"/>
    <n v="1944444"/>
    <n v="23894501"/>
    <n v="16224461"/>
    <n v="3888888"/>
    <n v="0"/>
    <m/>
    <n v="300000000"/>
    <s v="RS"/>
    <s v="RS"/>
    <s v="En Ejecución "/>
  </r>
  <r>
    <n v="31"/>
    <s v="A"/>
    <x v="5"/>
    <s v="RURAL"/>
    <s v="SOCIAL"/>
    <s v="CHILOE"/>
    <s v="CHONCHI"/>
    <n v="21"/>
    <s v="LIBRE"/>
    <s v="DISEÑO"/>
    <n v="30484959"/>
    <m/>
    <e v="#N/A"/>
    <s v="30484959DISEÑO"/>
    <s v="4318-41-LP19"/>
    <s v="CONSTRUCCION CENTRO DEPORTIVO MUNICIPAL COMUNA DE CHONCHI"/>
    <m/>
    <m/>
    <m/>
    <m/>
    <m/>
    <m/>
    <m/>
    <n v="75000000"/>
    <n v="0"/>
    <m/>
    <n v="75000000"/>
    <n v="30600000"/>
    <n v="44400000"/>
    <n v="0"/>
    <n v="0"/>
    <n v="0"/>
    <n v="0"/>
    <n v="0"/>
    <n v="0"/>
    <n v="0"/>
    <n v="20400000"/>
    <n v="0"/>
    <n v="10200000"/>
    <n v="0"/>
    <n v="0"/>
    <m/>
    <n v="0"/>
    <s v="RS"/>
    <s v="RS"/>
    <s v="En Ejecución "/>
  </r>
  <r>
    <n v="31"/>
    <s v="A"/>
    <x v="1"/>
    <s v="RURAL"/>
    <s v="CONECTIVIDAD"/>
    <s v="CHILOE"/>
    <s v="CHONCHI"/>
    <n v="21"/>
    <s v="FAR"/>
    <s v="EJECUCION"/>
    <n v="40006762"/>
    <m/>
    <e v="#N/A"/>
    <s v="40006762EJECUCION"/>
    <s v="4318-44-LR19"/>
    <s v="CONSERVACION CAMINOS NO ENROLADOS COMUNA DE CHONCHI (C33)"/>
    <m/>
    <m/>
    <m/>
    <m/>
    <m/>
    <m/>
    <m/>
    <n v="588576000"/>
    <n v="0"/>
    <m/>
    <n v="390235378"/>
    <n v="390235378"/>
    <n v="0"/>
    <n v="0"/>
    <n v="0"/>
    <n v="0"/>
    <n v="0"/>
    <n v="0"/>
    <n v="83980522"/>
    <n v="103983204"/>
    <n v="143762495"/>
    <n v="4000000"/>
    <n v="54509157"/>
    <n v="0"/>
    <n v="0"/>
    <m/>
    <n v="198340622"/>
    <s v="RS*"/>
    <s v="C33"/>
    <s v="En Ejecución "/>
  </r>
  <r>
    <n v="33"/>
    <s v="A"/>
    <x v="4"/>
    <s v="URBANO"/>
    <s v="SOCIAL"/>
    <s v="CHILOE"/>
    <s v="CHONCHI"/>
    <n v="2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CHONCHI"/>
    <n v="21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146804052"/>
    <n v="53195948"/>
    <n v="0"/>
    <n v="0"/>
    <n v="0"/>
    <n v="0"/>
    <n v="0"/>
    <n v="9323445"/>
    <n v="27148180"/>
    <n v="0"/>
    <n v="25999195"/>
    <n v="0"/>
    <n v="84333232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3523030684"/>
    <n v="879918242"/>
    <m/>
    <n v="1897774422"/>
    <n v="1104462393"/>
    <n v="793312029"/>
    <n v="0"/>
    <n v="0"/>
    <n v="0"/>
    <n v="0"/>
    <n v="0"/>
    <n v="142079560"/>
    <n v="160503933"/>
    <n v="183330393"/>
    <n v="99353590"/>
    <n v="131381295"/>
    <n v="213587778"/>
    <n v="174225844"/>
    <m/>
    <n v="74533802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x v="4"/>
    <s v="URBANO"/>
    <s v="SOCIAL"/>
    <s v="CHILOE"/>
    <s v="CHONCHI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HONCHI"/>
    <m/>
    <m/>
    <m/>
    <m/>
    <m/>
    <m/>
    <m/>
    <n v="3773030684"/>
    <n v="879918242"/>
    <m/>
    <n v="2124388605"/>
    <n v="1104462393"/>
    <n v="1019926212"/>
    <n v="0"/>
    <n v="0"/>
    <n v="0"/>
    <n v="0"/>
    <n v="0"/>
    <n v="142079560"/>
    <n v="160503933"/>
    <n v="183330393"/>
    <n v="99353590"/>
    <n v="131381295"/>
    <n v="213587778"/>
    <n v="174225844"/>
    <m/>
    <n v="76872383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CURACO DE VÉLEZ"/>
    <n v="22"/>
    <s v="LIBRE"/>
    <s v="DISEÑO"/>
    <n v="30095333"/>
    <m/>
    <s v="FRANCISCA MONTECINO  OPAZO"/>
    <s v="30095333DISEÑO"/>
    <m/>
    <s v="REPOSICION ESTADIO MUNICIPAL CURACO DE VELEZ"/>
    <m/>
    <m/>
    <m/>
    <m/>
    <m/>
    <m/>
    <m/>
    <n v="178850000"/>
    <n v="155316500"/>
    <m/>
    <n v="21658500"/>
    <n v="0"/>
    <n v="21658500"/>
    <n v="0"/>
    <n v="0"/>
    <n v="0"/>
    <n v="0"/>
    <n v="0"/>
    <n v="0"/>
    <n v="0"/>
    <n v="0"/>
    <n v="0"/>
    <n v="0"/>
    <n v="0"/>
    <n v="0"/>
    <m/>
    <n v="1875000"/>
    <s v="RS"/>
    <s v="RS"/>
    <s v="En Ejecución "/>
  </r>
  <r>
    <n v="31"/>
    <s v="A"/>
    <x v="6"/>
    <s v="RURAL"/>
    <s v="SOCIAL"/>
    <s v="CHILOE"/>
    <s v="CURACO DE VÉLEZ"/>
    <n v="22"/>
    <s v="LIBRE"/>
    <s v="EJECUCION"/>
    <n v="30135738"/>
    <s v="SALUD"/>
    <s v="HARRY FRANKLIN  MONSALVE FUENTES"/>
    <s v="30135738EJECUCION"/>
    <m/>
    <s v="REPOSICION POSTA DE SALUD HUYAR ALTO"/>
    <m/>
    <m/>
    <m/>
    <m/>
    <m/>
    <m/>
    <m/>
    <n v="575525000"/>
    <n v="537497538"/>
    <m/>
    <n v="38027462"/>
    <n v="23471430"/>
    <n v="14556032"/>
    <n v="0"/>
    <n v="0"/>
    <n v="0"/>
    <n v="0"/>
    <n v="0"/>
    <n v="0"/>
    <n v="23471430"/>
    <n v="0"/>
    <n v="0"/>
    <n v="0"/>
    <n v="0"/>
    <n v="0"/>
    <m/>
    <n v="0"/>
    <s v="RS"/>
    <s v="RS"/>
    <s v="En Ejecución "/>
  </r>
  <r>
    <n v="31"/>
    <s v="A"/>
    <x v="6"/>
    <s v="RURAL"/>
    <s v="SOCIAL"/>
    <s v="CHILOE"/>
    <s v="CURACO DE VÉLEZ"/>
    <n v="22"/>
    <s v="LIBRE"/>
    <s v="EJECUCION"/>
    <n v="30135739"/>
    <s v="SALUD"/>
    <e v="#N/A"/>
    <s v="30135739EJECUCION"/>
    <m/>
    <s v="REPOSICION POSTA DE SALUD DE PALQUI"/>
    <m/>
    <m/>
    <m/>
    <m/>
    <m/>
    <m/>
    <m/>
    <n v="571440000"/>
    <n v="42821820"/>
    <m/>
    <n v="371440000"/>
    <n v="351263065"/>
    <n v="20176935"/>
    <n v="0"/>
    <n v="0"/>
    <n v="0"/>
    <n v="0"/>
    <n v="0"/>
    <n v="64602977"/>
    <n v="40186025"/>
    <n v="110687671"/>
    <n v="1903000"/>
    <n v="49224958"/>
    <n v="84658434"/>
    <n v="0"/>
    <m/>
    <n v="157178180"/>
    <s v="RS"/>
    <s v="RS"/>
    <s v="En Ejecución "/>
  </r>
  <r>
    <n v="33"/>
    <s v="A"/>
    <x v="4"/>
    <s v="URBANO"/>
    <s v="SOCIAL"/>
    <s v="CHILOE"/>
    <s v="CURACO DE VÉLEZ"/>
    <n v="2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CURACO DE VÉLEZ"/>
    <n v="22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07103667"/>
    <n v="92896333"/>
    <n v="0"/>
    <n v="0"/>
    <n v="0"/>
    <n v="0"/>
    <n v="0"/>
    <n v="8476830"/>
    <n v="24420645"/>
    <n v="2115172"/>
    <n v="24308361"/>
    <n v="47782659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625815000"/>
    <n v="735635858"/>
    <m/>
    <n v="731125962"/>
    <n v="481838162"/>
    <n v="249287800"/>
    <n v="0"/>
    <n v="0"/>
    <n v="0"/>
    <n v="0"/>
    <n v="0"/>
    <n v="73079807"/>
    <n v="88078100"/>
    <n v="112802843"/>
    <n v="26211361"/>
    <n v="97007617"/>
    <n v="84658434"/>
    <n v="0"/>
    <m/>
    <n v="1590531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x v="1"/>
    <s v="RURAL"/>
    <s v="CONECTIVIDAD"/>
    <s v="CHILOE"/>
    <s v="CURACO DE VÉLEZ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.VELEZ"/>
    <m/>
    <m/>
    <m/>
    <m/>
    <m/>
    <m/>
    <m/>
    <n v="1712315000"/>
    <n v="735635858"/>
    <m/>
    <n v="817625962"/>
    <n v="481838162"/>
    <n v="335787800"/>
    <n v="0"/>
    <n v="0"/>
    <n v="0"/>
    <n v="0"/>
    <n v="0"/>
    <n v="73079807"/>
    <n v="88078100"/>
    <n v="112802843"/>
    <n v="26211361"/>
    <n v="97007617"/>
    <n v="84658434"/>
    <n v="0"/>
    <m/>
    <n v="15905318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LCANTARILLADO"/>
    <s v="CHILOE"/>
    <s v="DALCAHUE"/>
    <n v="23"/>
    <s v="LIBRE"/>
    <s v="EJECUCION"/>
    <n v="30395727"/>
    <m/>
    <s v="FRANCISCA MONTECINO  OPAZO"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  <s v="RS"/>
    <s v="En Ejecución "/>
  </r>
  <r>
    <n v="31"/>
    <s v="A"/>
    <x v="5"/>
    <s v="RURAL"/>
    <s v="SOCIAL"/>
    <s v="CHILOE"/>
    <s v="DALCAHUE"/>
    <n v="23"/>
    <s v="LIBRE"/>
    <s v="EJECUCION"/>
    <n v="30134014"/>
    <m/>
    <s v="HARRY FRANKLIN  MONSALVE FUENTES"/>
    <s v="30134014EJECUCION"/>
    <m/>
    <s v="CONSTRUCCION GIMNASIO TENAUN"/>
    <m/>
    <m/>
    <m/>
    <m/>
    <m/>
    <m/>
    <m/>
    <n v="368365000"/>
    <n v="63846643"/>
    <m/>
    <n v="23739456"/>
    <n v="0"/>
    <n v="23739456"/>
    <n v="0"/>
    <n v="0"/>
    <n v="0"/>
    <n v="0"/>
    <n v="0"/>
    <n v="0"/>
    <n v="0"/>
    <n v="0"/>
    <n v="0"/>
    <n v="0"/>
    <n v="0"/>
    <n v="0"/>
    <m/>
    <n v="280778901"/>
    <s v="RS"/>
    <s v="RS"/>
    <s v="En Ejecución "/>
  </r>
  <r>
    <n v="31"/>
    <s v="A"/>
    <x v="4"/>
    <s v="URBANO"/>
    <s v="SOCIAL"/>
    <s v="CHILOE"/>
    <s v="DALCAHUE"/>
    <n v="23"/>
    <s v="LIBRE"/>
    <s v="DISEÑO"/>
    <n v="30129912"/>
    <m/>
    <s v="HARRY FRANKLIN  MONSALVE FUENTES"/>
    <s v="30129912DISEÑO"/>
    <m/>
    <s v="CONSTRUCCION CENTRO CIVICO DE DALCAHUE"/>
    <m/>
    <m/>
    <m/>
    <m/>
    <m/>
    <m/>
    <m/>
    <n v="96890200"/>
    <n v="58512850"/>
    <m/>
    <n v="38377350"/>
    <n v="0"/>
    <n v="3837735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1"/>
    <s v="A"/>
    <x v="7"/>
    <s v="RURAL"/>
    <s v="ALCANTARILLADO"/>
    <s v="CHILOE"/>
    <s v="DALCAHUE"/>
    <n v="23"/>
    <s v="LIBRE"/>
    <s v="EJECUCION"/>
    <n v="30485152"/>
    <m/>
    <s v="HARRY FRANKLIN  MONSALVE FUENTES"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18873114"/>
    <n v="170940708"/>
    <n v="47932406"/>
    <n v="0"/>
    <n v="0"/>
    <n v="0"/>
    <n v="0"/>
    <n v="0"/>
    <n v="22019054"/>
    <n v="1550000"/>
    <n v="33840093"/>
    <n v="48788029"/>
    <n v="1550000"/>
    <n v="25843859"/>
    <n v="37349673"/>
    <m/>
    <n v="18668319"/>
    <s v="RS"/>
    <s v="RS"/>
    <s v="En Ejecución "/>
  </r>
  <r>
    <n v="33"/>
    <s v="A"/>
    <x v="4"/>
    <s v="URBANO"/>
    <s v="SOCIAL"/>
    <s v="CHILOE"/>
    <s v="DALCAHUE"/>
    <n v="2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DALCAHUE"/>
    <n v="23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56931211"/>
    <n v="43068789"/>
    <n v="0"/>
    <n v="0"/>
    <n v="0"/>
    <n v="0"/>
    <n v="0"/>
    <n v="0"/>
    <n v="156931211"/>
    <n v="0"/>
    <n v="0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689195384"/>
    <n v="722327363"/>
    <m/>
    <n v="667420801"/>
    <n v="405934629"/>
    <n v="261486172"/>
    <n v="0"/>
    <n v="0"/>
    <n v="0"/>
    <n v="0"/>
    <n v="0"/>
    <n v="22019054"/>
    <n v="158481211"/>
    <n v="33840093"/>
    <n v="62353831"/>
    <n v="1550000"/>
    <n v="46733862"/>
    <n v="80956578"/>
    <m/>
    <n v="29944722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CHILOE"/>
    <s v="DALCAHUE"/>
    <n v="23"/>
    <s v="PIR"/>
    <s v="EJECUCION"/>
    <n v="40004659"/>
    <m/>
    <s v="FRANCISCA MONTECINO  OPAZO"/>
    <s v="40004659EJECUCION"/>
    <s v="3520-5-LR20"/>
    <s v="CONSTRUCCION SISTEMA APR SECTOR BUTALCURA"/>
    <m/>
    <m/>
    <m/>
    <s v="2698 23,09,19"/>
    <n v="317511000"/>
    <m/>
    <m/>
    <n v="320000000"/>
    <n v="0"/>
    <m/>
    <n v="148204315"/>
    <n v="0"/>
    <n v="148204315"/>
    <n v="0"/>
    <n v="0"/>
    <n v="0"/>
    <n v="0"/>
    <n v="0"/>
    <n v="0"/>
    <n v="0"/>
    <n v="0"/>
    <n v="0"/>
    <n v="0"/>
    <n v="0"/>
    <n v="0"/>
    <m/>
    <n v="171795685"/>
    <s v="RS"/>
    <s v="RS"/>
    <s v="Licitación Adjudicada"/>
  </r>
  <r>
    <n v="31"/>
    <s v="N"/>
    <x v="5"/>
    <s v="RURAL"/>
    <s v="SOCIAL"/>
    <s v="CHILOE"/>
    <s v="DALCAHUE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1049950"/>
    <n v="0"/>
    <n v="1049950"/>
    <n v="0"/>
    <n v="0"/>
    <n v="0"/>
    <n v="0"/>
    <n v="0"/>
    <n v="0"/>
    <n v="0"/>
    <n v="0"/>
    <n v="0"/>
    <n v="0"/>
    <n v="0"/>
    <n v="0"/>
    <m/>
    <n v="19949050"/>
    <s v="RS"/>
    <s v="RS"/>
    <s v="Licitación Adjudicada"/>
  </r>
  <r>
    <n v="31"/>
    <s v="N"/>
    <x v="2"/>
    <s v="RURAL"/>
    <s v="SOCIAL"/>
    <s v="CHILOE"/>
    <s v="DALCAHUE"/>
    <n v="23"/>
    <s v="FIE"/>
    <s v="EJECUCION"/>
    <n v="30134013"/>
    <m/>
    <s v="HARRY FRANKLIN  MONSALVE FUENTES"/>
    <s v="30134013EJECUCION"/>
    <s v="3520-15-LR20"/>
    <s v="REPOSICION ESCUELA TEHUACO - QUETALCO COMUNA DE DALCAHUE"/>
    <m/>
    <m/>
    <m/>
    <m/>
    <m/>
    <m/>
    <m/>
    <n v="758577000"/>
    <n v="0"/>
    <m/>
    <n v="112518688"/>
    <n v="0"/>
    <n v="112518688"/>
    <n v="0"/>
    <n v="0"/>
    <n v="0"/>
    <n v="0"/>
    <n v="0"/>
    <n v="0"/>
    <n v="0"/>
    <n v="0"/>
    <n v="0"/>
    <n v="0"/>
    <n v="0"/>
    <n v="0"/>
    <m/>
    <n v="646058312"/>
    <s v="RS"/>
    <s v="RS"/>
    <s v="Licitacion Cerrada (05.06.20)"/>
  </r>
  <r>
    <n v="31"/>
    <s v="N"/>
    <x v="2"/>
    <s v="URBANO"/>
    <s v="SOCIAL"/>
    <s v="CHILOE"/>
    <s v="DALCAHUE"/>
    <n v="23"/>
    <s v="FIE"/>
    <s v="EJECUCION"/>
    <n v="30419547"/>
    <m/>
    <s v="FRANCISCA MONTECINO  OPAZO"/>
    <s v="30419547EJECUCION"/>
    <m/>
    <s v="MEJORAMIENTO INTEGRAL ESCUELA BASICA DE DALCAHUE"/>
    <m/>
    <m/>
    <m/>
    <m/>
    <m/>
    <m/>
    <m/>
    <n v="239685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139685000"/>
    <s v="RS"/>
    <s v="RS"/>
    <s v="En Licitación"/>
  </r>
  <r>
    <n v="31"/>
    <s v="N"/>
    <x v="1"/>
    <s v="URBANO"/>
    <s v="CONECTIVIDAD"/>
    <s v="CHILOE"/>
    <s v="DALCAHUE"/>
    <n v="23"/>
    <s v="FAR"/>
    <s v="EJECUCION"/>
    <n v="40013905"/>
    <m/>
    <m/>
    <s v="40013905EJECUCION"/>
    <m/>
    <s v="PAVIMENTACION DIVERSOS SECTORES"/>
    <m/>
    <m/>
    <m/>
    <m/>
    <m/>
    <m/>
    <m/>
    <n v="450000000"/>
    <n v="0"/>
    <m/>
    <n v="22500000"/>
    <n v="0"/>
    <n v="22500000"/>
    <n v="0"/>
    <n v="0"/>
    <n v="0"/>
    <n v="0"/>
    <n v="0"/>
    <n v="0"/>
    <n v="0"/>
    <n v="0"/>
    <n v="0"/>
    <n v="0"/>
    <n v="0"/>
    <n v="0"/>
    <m/>
    <n v="4275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789261000"/>
    <n v="0"/>
    <m/>
    <n v="384272953"/>
    <n v="0"/>
    <n v="384272953"/>
    <n v="0"/>
    <n v="0"/>
    <n v="0"/>
    <n v="0"/>
    <n v="0"/>
    <n v="0"/>
    <n v="0"/>
    <n v="0"/>
    <n v="0"/>
    <n v="0"/>
    <n v="0"/>
    <n v="0"/>
    <m/>
    <n v="140498804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DALCAHUE"/>
    <m/>
    <m/>
    <m/>
    <m/>
    <m/>
    <m/>
    <m/>
    <n v="3478456384"/>
    <n v="722327363"/>
    <m/>
    <n v="1051693754"/>
    <n v="405934629"/>
    <n v="645759125"/>
    <n v="0"/>
    <n v="0"/>
    <n v="0"/>
    <n v="0"/>
    <n v="0"/>
    <n v="22019054"/>
    <n v="158481211"/>
    <n v="33840093"/>
    <n v="62353831"/>
    <n v="1550000"/>
    <n v="46733862"/>
    <n v="80956578"/>
    <m/>
    <n v="1704435267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SOCIAL"/>
    <s v="CHILOE"/>
    <s v="PUQUELDON"/>
    <n v="24"/>
    <s v="LIBRE"/>
    <s v="EJECUCION"/>
    <n v="30466153"/>
    <m/>
    <e v="#N/A"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  <s v="C33"/>
    <s v="Terminada"/>
  </r>
  <r>
    <n v="31"/>
    <s v="A"/>
    <x v="6"/>
    <s v="RURAL"/>
    <s v="SOCIAL"/>
    <s v="CHILOE"/>
    <s v="PUQUELDON"/>
    <n v="24"/>
    <s v="LIBRE"/>
    <s v="EJECUCION"/>
    <n v="30042613"/>
    <s v="SALUD"/>
    <e v="#N/A"/>
    <s v="30042613EJECUCION"/>
    <m/>
    <s v="NORMALIZACION CONSULTORIO RURAL PUQUELDON"/>
    <m/>
    <m/>
    <m/>
    <m/>
    <m/>
    <m/>
    <m/>
    <n v="3472101337"/>
    <n v="2618173447"/>
    <m/>
    <n v="828009198"/>
    <n v="0"/>
    <n v="828009198"/>
    <n v="0"/>
    <n v="0"/>
    <n v="0"/>
    <n v="0"/>
    <n v="0"/>
    <n v="0"/>
    <n v="0"/>
    <n v="0"/>
    <n v="0"/>
    <n v="0"/>
    <n v="0"/>
    <n v="0"/>
    <m/>
    <n v="25918692"/>
    <s v="RS"/>
    <s v="RS"/>
    <s v="En Ejecución "/>
  </r>
  <r>
    <n v="31"/>
    <s v="A"/>
    <x v="1"/>
    <s v="RURAL"/>
    <s v="CONECTIVIDAD"/>
    <s v="CHILOE"/>
    <s v="PUQUELDON"/>
    <n v="24"/>
    <s v="FAR"/>
    <s v="EJECUCION"/>
    <n v="40006078"/>
    <m/>
    <e v="#N/A"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486769170"/>
    <n v="1600000"/>
    <n v="485169170"/>
    <n v="0"/>
    <n v="0"/>
    <n v="0"/>
    <n v="0"/>
    <n v="0"/>
    <n v="1600000"/>
    <n v="0"/>
    <n v="0"/>
    <n v="0"/>
    <n v="0"/>
    <n v="0"/>
    <n v="0"/>
    <m/>
    <n v="180061830"/>
    <s v="RS*"/>
    <s v="C33"/>
    <s v="En Ejecución "/>
  </r>
  <r>
    <n v="33"/>
    <s v="A"/>
    <x v="4"/>
    <s v="URBANO"/>
    <s v="SOCIAL"/>
    <s v="CHILOE"/>
    <s v="PUQUELDON"/>
    <n v="2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PUQUELDON"/>
    <n v="24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72712983"/>
    <n v="127287017"/>
    <n v="0"/>
    <n v="0"/>
    <n v="0"/>
    <n v="0"/>
    <n v="0"/>
    <n v="0"/>
    <n v="11809721"/>
    <n v="0"/>
    <n v="60903262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UQUELDON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URBANO"/>
    <s v="SOCIAL"/>
    <s v="CHILOE"/>
    <s v="QUEILEN"/>
    <n v="25"/>
    <s v="FAR"/>
    <s v="EJECUCION"/>
    <n v="40004579"/>
    <m/>
    <e v="#N/A"/>
    <s v="40004579EJECUCION"/>
    <m/>
    <s v="ADQUISICION CAMIONETAS PARA DIVERSAS OFICINAS MUNICIPALES (C33)"/>
    <m/>
    <m/>
    <m/>
    <m/>
    <m/>
    <m/>
    <m/>
    <n v="93784000"/>
    <n v="0"/>
    <m/>
    <n v="93784000"/>
    <n v="76472052"/>
    <n v="17311948"/>
    <n v="0"/>
    <n v="0"/>
    <n v="0"/>
    <n v="0"/>
    <n v="0"/>
    <n v="0"/>
    <n v="76472052"/>
    <n v="0"/>
    <n v="0"/>
    <n v="0"/>
    <n v="0"/>
    <n v="0"/>
    <m/>
    <n v="0"/>
    <s v="RS*"/>
    <s v="C33"/>
    <s v="En Ejecución "/>
  </r>
  <r>
    <n v="31"/>
    <s v="A"/>
    <x v="2"/>
    <s v="RURAL"/>
    <s v="SOCIAL"/>
    <s v="CHILOE"/>
    <s v="QUEILEN"/>
    <n v="25"/>
    <s v="LIBRE"/>
    <s v="EJECUCION"/>
    <n v="30343540"/>
    <m/>
    <s v="FRANCISCA MONTECINO  OPAZO"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5"/>
    <s v="RURAL"/>
    <s v="SOCIAL"/>
    <s v="CHILOE"/>
    <s v="QUEILEN"/>
    <n v="25"/>
    <s v="LIBRE"/>
    <s v="EJECUCION"/>
    <n v="30480757"/>
    <m/>
    <s v="FRANCISCA MONTECINO  OPAZO"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  <s v="C33"/>
    <s v="En Ejecución "/>
  </r>
  <r>
    <n v="31"/>
    <s v="A"/>
    <x v="6"/>
    <s v="RURAL"/>
    <s v="SOCIAL"/>
    <s v="CHILOE"/>
    <s v="QUEILEN"/>
    <n v="25"/>
    <s v="LIBRE"/>
    <s v="EJECUCION"/>
    <n v="30078798"/>
    <s v="SALUD"/>
    <s v="HARRY FRANKLIN  MONSALVE FUENTES"/>
    <s v="30078798EJECUCION"/>
    <m/>
    <s v="REPOSICION POSTA DE SALUD RURAL DE PIO PIO, COMUNA DE QUEILEN"/>
    <m/>
    <m/>
    <m/>
    <s v="979 27,04,20"/>
    <n v="23622000"/>
    <m/>
    <m/>
    <n v="487098000"/>
    <n v="140554528"/>
    <m/>
    <n v="310545507"/>
    <n v="310545507"/>
    <n v="0"/>
    <n v="0"/>
    <n v="0"/>
    <n v="0"/>
    <n v="0"/>
    <n v="0"/>
    <n v="0"/>
    <n v="22612490"/>
    <n v="41650296"/>
    <n v="0"/>
    <n v="48715866"/>
    <n v="48756690"/>
    <n v="148810165"/>
    <m/>
    <n v="35997965"/>
    <s v="RS"/>
    <s v="RS"/>
    <s v="En Ejecución "/>
  </r>
  <r>
    <n v="33"/>
    <s v="A"/>
    <x v="4"/>
    <s v="URBANO"/>
    <s v="SOCIAL"/>
    <s v="CHILOE"/>
    <s v="QUEILEN"/>
    <n v="2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QUEILEN"/>
    <n v="25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1137653"/>
    <n v="188862347"/>
    <n v="0"/>
    <n v="0"/>
    <n v="0"/>
    <n v="0"/>
    <n v="0"/>
    <n v="0"/>
    <n v="0"/>
    <n v="0"/>
    <n v="11137653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362187239"/>
    <n v="1498326510"/>
    <m/>
    <n v="827862764"/>
    <n v="472916222"/>
    <n v="354946542"/>
    <n v="0"/>
    <n v="0"/>
    <n v="0"/>
    <n v="0"/>
    <n v="0"/>
    <n v="0"/>
    <n v="99084542"/>
    <n v="41650296"/>
    <n v="26588006"/>
    <n v="48715866"/>
    <n v="78002145"/>
    <n v="178875367"/>
    <m/>
    <n v="3599796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5"/>
    <s v="URBANO"/>
    <s v="SOCIAL"/>
    <s v="CHILOE"/>
    <s v="QUEILEN"/>
    <n v="25"/>
    <s v="LIBRE"/>
    <s v="EJECUCION"/>
    <n v="40002386"/>
    <m/>
    <m/>
    <s v="40002386EJECUCION"/>
    <m/>
    <s v="MEJORAMIENTO INTEGRAL ESTADIO MUNICIPAL DE QUEILEN"/>
    <m/>
    <m/>
    <m/>
    <m/>
    <m/>
    <m/>
    <m/>
    <n v="1159931000"/>
    <n v="0"/>
    <m/>
    <n v="118306731"/>
    <n v="0"/>
    <n v="118306731"/>
    <n v="0"/>
    <n v="0"/>
    <n v="0"/>
    <n v="0"/>
    <n v="0"/>
    <n v="0"/>
    <n v="0"/>
    <n v="0"/>
    <n v="0"/>
    <n v="0"/>
    <n v="0"/>
    <n v="0"/>
    <m/>
    <n v="1041624269"/>
    <s v="RS"/>
    <s v="RS"/>
    <s v="Convenio en Confección"/>
  </r>
  <r>
    <n v="31"/>
    <s v="N"/>
    <x v="8"/>
    <s v="RURAL"/>
    <s v="ENERGIA"/>
    <s v="CHILOE"/>
    <s v="QUEILEN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0"/>
    <n v="238672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398603000"/>
    <n v="0"/>
    <m/>
    <n v="356978731"/>
    <n v="0"/>
    <n v="356978731"/>
    <n v="0"/>
    <n v="0"/>
    <n v="0"/>
    <n v="0"/>
    <n v="0"/>
    <n v="0"/>
    <n v="0"/>
    <n v="0"/>
    <n v="0"/>
    <n v="0"/>
    <n v="0"/>
    <n v="0"/>
    <m/>
    <n v="1041624269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ILEN"/>
    <m/>
    <m/>
    <m/>
    <m/>
    <m/>
    <m/>
    <m/>
    <n v="3760790239"/>
    <n v="1498326510"/>
    <m/>
    <n v="1184841495"/>
    <n v="472916222"/>
    <n v="711925273"/>
    <n v="0"/>
    <n v="0"/>
    <n v="0"/>
    <n v="0"/>
    <n v="0"/>
    <n v="0"/>
    <n v="99084542"/>
    <n v="41650296"/>
    <n v="26588006"/>
    <n v="48715866"/>
    <n v="78002145"/>
    <n v="178875367"/>
    <m/>
    <n v="107762223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URBANO"/>
    <s v="SOCIAL"/>
    <s v="CHILOE"/>
    <s v="QUELLON"/>
    <n v="26"/>
    <s v="LIBRE"/>
    <s v="DISEÑO"/>
    <n v="30069919"/>
    <m/>
    <s v="FRANCISCA MONTECINO  OPAZO"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  <s v="RS"/>
    <s v="En Ejecución "/>
  </r>
  <r>
    <n v="31"/>
    <s v="A"/>
    <x v="2"/>
    <s v="URBANO"/>
    <s v="SOCIAL"/>
    <s v="CHILOE"/>
    <s v="QUELLON"/>
    <n v="26"/>
    <s v="FIE"/>
    <s v="EJECUCION"/>
    <n v="30472589"/>
    <m/>
    <s v="HARRY FRANKLIN  MONSALVE FUENTES"/>
    <s v="30472589EJECUCION"/>
    <m/>
    <s v="REPOSICION ESCUELA RURAL DE COINCO"/>
    <m/>
    <m/>
    <m/>
    <m/>
    <m/>
    <m/>
    <m/>
    <n v="2531139000"/>
    <n v="427545288"/>
    <m/>
    <n v="1129372835.3333359"/>
    <n v="1129372835"/>
    <n v="0.33333587646484375"/>
    <n v="0"/>
    <n v="0"/>
    <n v="0"/>
    <n v="0"/>
    <n v="0"/>
    <n v="6665180"/>
    <n v="500691339"/>
    <n v="3332590"/>
    <n v="3332590"/>
    <n v="469859360"/>
    <n v="0"/>
    <n v="145491776"/>
    <m/>
    <n v="974220876.66666412"/>
    <s v="RS"/>
    <s v="RS"/>
    <s v="En Ejecución "/>
  </r>
  <r>
    <n v="31"/>
    <s v="A"/>
    <x v="2"/>
    <s v="URBANO"/>
    <s v="SOCIAL"/>
    <s v="CHILOE"/>
    <s v="QUELLON"/>
    <n v="26"/>
    <s v="LIBRE"/>
    <s v="EJECUCION"/>
    <n v="30135630"/>
    <m/>
    <s v="HARRY FRANKLIN  MONSALVE FUENTES"/>
    <s v="30135630EJECUCION"/>
    <m/>
    <s v="REPOSICION ESCUELA RURAL DE COMPU, COMUNA DE QUELLON"/>
    <m/>
    <m/>
    <m/>
    <m/>
    <m/>
    <m/>
    <m/>
    <n v="1452474000"/>
    <n v="551464"/>
    <m/>
    <n v="548507814"/>
    <n v="0"/>
    <n v="548507814"/>
    <n v="0"/>
    <n v="0"/>
    <n v="0"/>
    <n v="0"/>
    <n v="0"/>
    <n v="0"/>
    <n v="0"/>
    <n v="0"/>
    <n v="0"/>
    <n v="0"/>
    <n v="0"/>
    <n v="0"/>
    <m/>
    <n v="903414722"/>
    <s v="RS"/>
    <s v="RS"/>
    <s v="En Ejecución "/>
  </r>
  <r>
    <n v="24"/>
    <s v="N"/>
    <x v="8"/>
    <s v="RURAL"/>
    <s v="ENERGIA"/>
    <s v="CHILOE"/>
    <s v="QUELLON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47929519"/>
    <n v="0"/>
    <m/>
    <n v="47929519"/>
    <n v="47929519"/>
    <n v="0"/>
    <m/>
    <m/>
    <m/>
    <m/>
    <m/>
    <n v="0"/>
    <n v="0"/>
    <n v="0"/>
    <n v="47929519"/>
    <m/>
    <m/>
    <m/>
    <m/>
    <n v="0"/>
    <s v="RS***"/>
    <s v="SS.EE"/>
    <s v="En Ejecución "/>
  </r>
  <r>
    <n v="24"/>
    <s v="N"/>
    <x v="8"/>
    <s v="RURAL"/>
    <s v="ENERGIA"/>
    <s v="CHILOE"/>
    <s v="QUELLON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42444276"/>
    <n v="0"/>
    <m/>
    <n v="42444276"/>
    <n v="42444276"/>
    <n v="0"/>
    <m/>
    <m/>
    <m/>
    <m/>
    <m/>
    <n v="0"/>
    <n v="0"/>
    <n v="0"/>
    <n v="42444276"/>
    <m/>
    <m/>
    <m/>
    <m/>
    <n v="0"/>
    <s v="RS***"/>
    <s v="SS.EE"/>
    <s v="En Ejecución "/>
  </r>
  <r>
    <n v="24"/>
    <s v="N"/>
    <x v="8"/>
    <s v="RURAL"/>
    <s v="ENERGIA"/>
    <s v="CHILOE"/>
    <s v="QUELLON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40768995"/>
    <n v="0"/>
    <m/>
    <n v="40768995"/>
    <n v="40768995"/>
    <n v="0"/>
    <m/>
    <m/>
    <m/>
    <m/>
    <m/>
    <n v="0"/>
    <n v="0"/>
    <n v="0"/>
    <n v="40768995"/>
    <m/>
    <m/>
    <m/>
    <m/>
    <n v="0"/>
    <s v="RS***"/>
    <s v="SS.EE"/>
    <s v="En Ejecución "/>
  </r>
  <r>
    <n v="31"/>
    <s v="A"/>
    <x v="5"/>
    <s v="URBANO"/>
    <s v="SOCIAL"/>
    <s v="CHILOE"/>
    <s v="QUELLON"/>
    <n v="26"/>
    <s v="LIBRE"/>
    <s v="EJECUCION"/>
    <n v="30125850"/>
    <m/>
    <e v="#N/A"/>
    <s v="30125850EJECUCION"/>
    <s v="2928-30-B219"/>
    <s v="CONSTRUCCION MULTICANCHA CERRADA FRANCISCO COLOANE COMUNA DE QUELLON"/>
    <m/>
    <m/>
    <m/>
    <m/>
    <m/>
    <m/>
    <m/>
    <n v="302702000"/>
    <n v="0"/>
    <m/>
    <n v="174301700"/>
    <n v="137454633"/>
    <n v="36847067"/>
    <n v="0"/>
    <n v="0"/>
    <n v="0"/>
    <n v="0"/>
    <n v="0"/>
    <n v="34180296"/>
    <n v="26546037"/>
    <n v="26669016"/>
    <n v="50059284"/>
    <n v="0"/>
    <n v="0"/>
    <n v="0"/>
    <m/>
    <n v="128400300"/>
    <s v="RS"/>
    <s v="RS"/>
    <s v="En Ejecución "/>
  </r>
  <r>
    <n v="33"/>
    <s v="A"/>
    <x v="4"/>
    <s v="URBANO"/>
    <s v="SOCIAL"/>
    <s v="CHILOE"/>
    <s v="QUELLON"/>
    <n v="2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QUELLON"/>
    <n v="26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50370754"/>
    <n v="49629246"/>
    <n v="0"/>
    <n v="0"/>
    <n v="0"/>
    <n v="0"/>
    <n v="0"/>
    <n v="15485307"/>
    <n v="22304633"/>
    <n v="26684765"/>
    <n v="41194280"/>
    <n v="44701769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4751831470"/>
    <n v="455595696"/>
    <m/>
    <n v="2290199875.3333359"/>
    <n v="1555215748"/>
    <n v="734984127.33333588"/>
    <n v="0"/>
    <n v="0"/>
    <n v="0"/>
    <n v="0"/>
    <n v="0"/>
    <n v="56330783"/>
    <n v="549542009"/>
    <n v="56686371"/>
    <n v="232603680"/>
    <n v="514561129"/>
    <n v="0"/>
    <n v="145491776"/>
    <m/>
    <n v="1877635598.666664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7"/>
    <s v="RURAL"/>
    <s v="AGUA POTABLE"/>
    <s v="CHILOE"/>
    <s v="QUELLON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1618750"/>
    <n v="0"/>
    <n v="21618750"/>
    <n v="0"/>
    <n v="0"/>
    <n v="0"/>
    <n v="0"/>
    <n v="0"/>
    <n v="0"/>
    <n v="0"/>
    <n v="0"/>
    <n v="0"/>
    <n v="0"/>
    <n v="0"/>
    <n v="0"/>
    <m/>
    <n v="7206250"/>
    <s v="RS"/>
    <s v="RS"/>
    <s v="Licitación Cerrada (12.06.20)"/>
  </r>
  <r>
    <n v="31"/>
    <s v="N"/>
    <x v="7"/>
    <s v="URBANO"/>
    <s v="AGUA POTABLE"/>
    <s v="CHILOE"/>
    <s v="QUELLON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18559100"/>
    <n v="0"/>
    <n v="18559100"/>
    <n v="0"/>
    <n v="0"/>
    <n v="0"/>
    <n v="0"/>
    <n v="0"/>
    <n v="0"/>
    <n v="0"/>
    <n v="0"/>
    <n v="0"/>
    <n v="0"/>
    <n v="0"/>
    <n v="0"/>
    <m/>
    <n v="489742900"/>
    <s v="RS"/>
    <s v="RS"/>
    <s v="Convenio en Confección"/>
  </r>
  <r>
    <n v="31"/>
    <s v="N"/>
    <x v="7"/>
    <s v="RURAL"/>
    <s v="AGUA POTABLE"/>
    <s v="CHILOE"/>
    <s v="QUELLON"/>
    <n v="26"/>
    <s v="LIBRE"/>
    <s v="DISEÑO"/>
    <n v="40000178"/>
    <m/>
    <m/>
    <s v="40000178DISEÑO"/>
    <m/>
    <s v="CONSTRUCCION SISTEMA APR SECTORES CHAILDAD-CHANCO-YATEHUE, QUELLON"/>
    <m/>
    <m/>
    <m/>
    <m/>
    <m/>
    <m/>
    <m/>
    <n v="46350000"/>
    <n v="0"/>
    <m/>
    <n v="2317500"/>
    <n v="0"/>
    <n v="2317500"/>
    <n v="0"/>
    <n v="0"/>
    <n v="0"/>
    <n v="0"/>
    <n v="0"/>
    <n v="0"/>
    <n v="0"/>
    <n v="0"/>
    <n v="0"/>
    <n v="0"/>
    <n v="0"/>
    <n v="0"/>
    <m/>
    <n v="44032500"/>
    <s v="RS"/>
    <s v="RS"/>
    <s v="Convenio en Tramite"/>
  </r>
  <r>
    <n v="29"/>
    <s v="N"/>
    <x v="4"/>
    <s v="URBANO"/>
    <s v="SOCIAL"/>
    <s v="CHILOE"/>
    <s v="QUELLON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194565000"/>
    <n v="0"/>
    <n v="194565000"/>
    <n v="0"/>
    <n v="0"/>
    <n v="0"/>
    <n v="0"/>
    <n v="0"/>
    <n v="0"/>
    <n v="0"/>
    <n v="0"/>
    <n v="0"/>
    <n v="0"/>
    <n v="0"/>
    <n v="0"/>
    <m/>
    <n v="38913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167172000"/>
    <n v="0"/>
    <m/>
    <n v="237060350"/>
    <n v="0"/>
    <n v="237060350"/>
    <n v="0"/>
    <n v="0"/>
    <n v="0"/>
    <n v="0"/>
    <n v="0"/>
    <n v="0"/>
    <n v="0"/>
    <n v="0"/>
    <n v="0"/>
    <n v="0"/>
    <n v="0"/>
    <n v="0"/>
    <m/>
    <n v="93011165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LLON"/>
    <m/>
    <m/>
    <m/>
    <m/>
    <m/>
    <m/>
    <m/>
    <n v="5919003470"/>
    <n v="455595696"/>
    <m/>
    <n v="2527260225.3333359"/>
    <n v="1555215748"/>
    <n v="972044477.33333588"/>
    <n v="0"/>
    <n v="0"/>
    <n v="0"/>
    <n v="0"/>
    <n v="0"/>
    <n v="56330783"/>
    <n v="549542009"/>
    <n v="56686371"/>
    <n v="232603680"/>
    <n v="514561129"/>
    <n v="0"/>
    <n v="145491776"/>
    <m/>
    <n v="2936147548.666664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QUEMCHI"/>
    <n v="27"/>
    <s v="LIBRE"/>
    <s v="EJECUCION"/>
    <n v="30133125"/>
    <m/>
    <e v="#N/A"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  <s v="S-FICHA"/>
    <s v="Terminada"/>
  </r>
  <r>
    <n v="31"/>
    <s v="A"/>
    <x v="2"/>
    <s v="RURAL"/>
    <s v="SOCIAL"/>
    <s v="CHILOE"/>
    <s v="QUEMCHI"/>
    <n v="27"/>
    <s v="LIBRE"/>
    <s v="EJECUCION"/>
    <n v="30185572"/>
    <m/>
    <s v="HARRY FRANKLIN  MONSALVE FUENTES"/>
    <s v="30185572EJECUCION"/>
    <m/>
    <s v="REPOSICION ESCUELA BASICA LLIUCO "/>
    <s v="* CERT. CORE 360 24.10.19 AUMENTO PPTO"/>
    <m/>
    <m/>
    <m/>
    <m/>
    <m/>
    <m/>
    <n v="253257867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-11253160"/>
    <s v="RS"/>
    <s v="RS"/>
    <s v="En Ejecución "/>
  </r>
  <r>
    <n v="31"/>
    <s v="A"/>
    <x v="6"/>
    <s v="RURAL"/>
    <s v="SOCIAL"/>
    <s v="CHILOE"/>
    <s v="QUEMCHI"/>
    <n v="27"/>
    <s v="LIBRE"/>
    <s v="EJECUCION"/>
    <n v="30071585"/>
    <s v="SALUD"/>
    <s v="HARRY FRANKLIN  MONSALVE FUENTES"/>
    <s v="30071585EJECUCION"/>
    <m/>
    <s v="REPOSICION POSTA DE SALUD ISLA TAC"/>
    <m/>
    <m/>
    <m/>
    <m/>
    <m/>
    <m/>
    <m/>
    <n v="511435000"/>
    <n v="462800000"/>
    <m/>
    <n v="48635000"/>
    <n v="7200000"/>
    <n v="41435000"/>
    <n v="0"/>
    <n v="0"/>
    <n v="0"/>
    <n v="0"/>
    <n v="0"/>
    <n v="0"/>
    <n v="0"/>
    <n v="0"/>
    <n v="1800000"/>
    <n v="1800000"/>
    <n v="1800000"/>
    <n v="1800000"/>
    <m/>
    <n v="0"/>
    <s v="RS"/>
    <s v="RS"/>
    <s v="En Ejecución "/>
  </r>
  <r>
    <n v="24"/>
    <s v="N"/>
    <x v="8"/>
    <s v="RURAL"/>
    <s v="ENERGIA"/>
    <s v="CHILOE"/>
    <s v="QUEMCHI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30902754"/>
    <n v="0"/>
    <m/>
    <n v="30902754"/>
    <n v="30902754"/>
    <n v="0"/>
    <m/>
    <m/>
    <m/>
    <m/>
    <m/>
    <n v="0"/>
    <n v="0"/>
    <n v="0"/>
    <n v="30902754"/>
    <m/>
    <m/>
    <m/>
    <m/>
    <n v="0"/>
    <s v="RS***"/>
    <s v="SS.EE"/>
    <s v="En Ejecución "/>
  </r>
  <r>
    <n v="33"/>
    <s v="A"/>
    <x v="4"/>
    <s v="URBANO"/>
    <s v="SOCIAL"/>
    <s v="CHILOE"/>
    <s v="QUEMCHI"/>
    <n v="2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CHILOE"/>
    <s v="QUEMCHI"/>
    <n v="27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73907590"/>
    <n v="26092410"/>
    <n v="0"/>
    <n v="0"/>
    <n v="0"/>
    <n v="0"/>
    <n v="0"/>
    <n v="0"/>
    <n v="42994468"/>
    <n v="0"/>
    <n v="37282583"/>
    <n v="0"/>
    <n v="93630539"/>
    <n v="0"/>
    <m/>
    <n v="0"/>
    <s v="RS**"/>
    <s v="FRIL"/>
    <s v="En Ejecución "/>
  </r>
  <r>
    <n v="31"/>
    <s v="A"/>
    <x v="1"/>
    <s v="RURAL"/>
    <s v="CONECTIVIDAD"/>
    <s v="CHILOE"/>
    <s v="QUEMCHI"/>
    <n v="27"/>
    <s v="LIBRE"/>
    <s v="LIBRE"/>
    <n v="30430173"/>
    <m/>
    <s v="FRANCISCA MONTECINO  OPAZO"/>
    <s v="30430173LIBRE"/>
    <m/>
    <s v="CONSERVACION CAMINOS ISLA BUTACHAUQUES (C33)"/>
    <m/>
    <m/>
    <m/>
    <m/>
    <m/>
    <m/>
    <m/>
    <n v="547411000"/>
    <n v="253005532"/>
    <m/>
    <n v="125777486"/>
    <n v="0"/>
    <n v="125777486"/>
    <n v="0"/>
    <n v="0"/>
    <n v="0"/>
    <n v="0"/>
    <n v="0"/>
    <n v="0"/>
    <n v="0"/>
    <n v="0"/>
    <n v="0"/>
    <n v="0"/>
    <n v="0"/>
    <n v="0"/>
    <m/>
    <n v="168627982"/>
    <s v="RS*"/>
    <s v="C33"/>
    <s v="En Ejecución "/>
  </r>
  <r>
    <n v="31"/>
    <s v="A"/>
    <x v="1"/>
    <s v="RURAL"/>
    <s v="CONECTIVIDAD"/>
    <s v="CHILOE"/>
    <s v="QUEMCHI"/>
    <n v="27"/>
    <s v="FAR"/>
    <s v="EJECUCION"/>
    <n v="30396026"/>
    <m/>
    <s v="FRANCISCA MONTECINO  OPAZO"/>
    <s v="30396026EJECUCION"/>
    <m/>
    <s v="CONSERVACION CAMINOS RURALES SECTOR SUR (C33)"/>
    <m/>
    <m/>
    <m/>
    <m/>
    <m/>
    <m/>
    <m/>
    <n v="477979805"/>
    <n v="358482829"/>
    <m/>
    <n v="20000000"/>
    <n v="0"/>
    <n v="20000000"/>
    <n v="0"/>
    <n v="0"/>
    <n v="0"/>
    <n v="0"/>
    <n v="0"/>
    <n v="0"/>
    <n v="0"/>
    <n v="0"/>
    <n v="0"/>
    <n v="0"/>
    <n v="0"/>
    <n v="0"/>
    <m/>
    <n v="99496976"/>
    <s v="RS*"/>
    <s v="C33"/>
    <s v="En Liquidación"/>
  </r>
  <r>
    <n v="31"/>
    <s v="N"/>
    <x v="8"/>
    <s v="RURAL"/>
    <s v="SOCIAL"/>
    <s v="CHILOE"/>
    <s v="QUEMCHI"/>
    <n v="27"/>
    <s v="ENERGIZACION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n v="31"/>
    <s v="A"/>
    <x v="1"/>
    <s v="RURAL"/>
    <s v="CONECTIVIDAD"/>
    <s v="CHILOE"/>
    <s v="QUEMCHI"/>
    <n v="27"/>
    <s v="PIR"/>
    <s v="EJECUCION"/>
    <n v="40005537"/>
    <m/>
    <s v="HARRY FRANKLIN  MONSALVE FUENTES"/>
    <s v="40005537EJECUCION"/>
    <s v="4195-125-LR19"/>
    <s v="CONSERVACION CAMINOS ISLA MECHUQUE (C33)"/>
    <m/>
    <m/>
    <m/>
    <m/>
    <m/>
    <m/>
    <m/>
    <n v="499000000"/>
    <n v="0"/>
    <m/>
    <n v="412719428"/>
    <n v="392779775"/>
    <n v="19939653"/>
    <n v="0"/>
    <n v="0"/>
    <n v="0"/>
    <n v="0"/>
    <n v="0"/>
    <n v="77078235"/>
    <n v="65891194"/>
    <n v="249810346"/>
    <n v="0"/>
    <n v="0"/>
    <n v="0"/>
    <n v="0"/>
    <m/>
    <n v="86280572"/>
    <s v="RS*"/>
    <s v="C33"/>
    <s v="En Ejecución "/>
  </r>
  <r>
    <n v="29"/>
    <s v="N"/>
    <x v="1"/>
    <s v="RURAL"/>
    <s v="CONECTIVIDAD"/>
    <s v="CHILOE"/>
    <s v="QUEMCHI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x v="4"/>
    <s v="RURAL"/>
    <s v="SOCIAL"/>
    <s v="CHILOE"/>
    <s v="QUEMCHI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n v="29"/>
    <s v="N"/>
    <x v="4"/>
    <s v="RURAL"/>
    <s v="SOCIAL"/>
    <s v="CHILOE"/>
    <s v="QUEMCHI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  <s v="T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6704011006"/>
    <n v="5161415680"/>
    <m/>
    <n v="1199442956"/>
    <n v="866198407"/>
    <n v="333244549"/>
    <n v="0"/>
    <n v="0"/>
    <n v="0"/>
    <n v="0"/>
    <n v="0"/>
    <n v="136210395"/>
    <n v="118253646"/>
    <n v="249810346"/>
    <n v="69985337"/>
    <n v="21051318"/>
    <n v="97180539"/>
    <n v="173706826"/>
    <m/>
    <n v="34315237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x v="6"/>
    <s v="RURAL"/>
    <s v="SOCIAL"/>
    <s v="CHILOE"/>
    <s v="QUEMCHI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25024700"/>
    <n v="0"/>
    <n v="25024700"/>
    <n v="0"/>
    <n v="0"/>
    <n v="0"/>
    <n v="0"/>
    <n v="0"/>
    <n v="0"/>
    <n v="0"/>
    <n v="0"/>
    <n v="0"/>
    <n v="0"/>
    <n v="0"/>
    <n v="0"/>
    <m/>
    <n v="475469300"/>
    <s v="RS"/>
    <s v="RS"/>
    <s v="Convenio en Confección"/>
  </r>
  <r>
    <n v="29"/>
    <s v="N"/>
    <x v="4"/>
    <s v="URBANO"/>
    <s v="SOCIAL"/>
    <s v="CHILOE"/>
    <s v="QUEMCHI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16000000"/>
    <n v="0"/>
    <n v="16000000"/>
    <n v="0"/>
    <n v="0"/>
    <n v="0"/>
    <n v="0"/>
    <n v="0"/>
    <n v="0"/>
    <n v="0"/>
    <n v="0"/>
    <n v="0"/>
    <n v="0"/>
    <n v="0"/>
    <n v="0"/>
    <m/>
    <n v="275193000"/>
    <s v="RS*"/>
    <s v="C33"/>
    <s v="Res. En Toma de Razon CGR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791687000"/>
    <n v="0"/>
    <m/>
    <n v="41024700"/>
    <n v="0"/>
    <n v="41024700"/>
    <n v="0"/>
    <n v="0"/>
    <n v="0"/>
    <n v="0"/>
    <n v="0"/>
    <n v="0"/>
    <n v="0"/>
    <n v="0"/>
    <n v="0"/>
    <n v="0"/>
    <n v="0"/>
    <n v="0"/>
    <m/>
    <n v="7506623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EMCHI"/>
    <m/>
    <m/>
    <m/>
    <m/>
    <m/>
    <m/>
    <m/>
    <n v="7495698006"/>
    <n v="5161415680"/>
    <m/>
    <n v="1240467656"/>
    <n v="866198407"/>
    <n v="374269249"/>
    <n v="0"/>
    <n v="0"/>
    <n v="0"/>
    <n v="0"/>
    <n v="0"/>
    <n v="136210395"/>
    <n v="118253646"/>
    <n v="249810346"/>
    <n v="69985337"/>
    <n v="21051318"/>
    <n v="97180539"/>
    <n v="173706826"/>
    <m/>
    <n v="109381467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x v="4"/>
    <s v="URBANO"/>
    <s v="SOCIAL"/>
    <s v="CHILOE"/>
    <s v="QUINCHAO"/>
    <n v="28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24"/>
    <s v="N"/>
    <x v="8"/>
    <s v="RURAL"/>
    <s v="ENERGIA"/>
    <s v="CHILOE"/>
    <s v="QUINCHAO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46663393"/>
    <n v="0"/>
    <m/>
    <n v="46663393"/>
    <n v="46663393"/>
    <n v="0"/>
    <m/>
    <m/>
    <m/>
    <m/>
    <m/>
    <n v="0"/>
    <n v="0"/>
    <n v="0"/>
    <n v="46663393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50103316"/>
    <n v="0"/>
    <m/>
    <n v="50103316"/>
    <n v="50103316"/>
    <n v="0"/>
    <m/>
    <m/>
    <m/>
    <m/>
    <m/>
    <n v="0"/>
    <n v="0"/>
    <n v="0"/>
    <n v="5010331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36539607"/>
    <n v="0"/>
    <m/>
    <n v="36539607"/>
    <n v="36539607"/>
    <n v="0"/>
    <m/>
    <m/>
    <m/>
    <m/>
    <m/>
    <n v="0"/>
    <n v="0"/>
    <n v="0"/>
    <n v="36539607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61906970"/>
    <n v="0"/>
    <m/>
    <n v="61906970"/>
    <n v="61906970"/>
    <n v="0"/>
    <m/>
    <m/>
    <m/>
    <m/>
    <m/>
    <n v="0"/>
    <n v="0"/>
    <n v="0"/>
    <n v="61906970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24887236"/>
    <n v="0"/>
    <m/>
    <n v="24887236"/>
    <n v="24887236"/>
    <n v="0"/>
    <m/>
    <m/>
    <m/>
    <m/>
    <m/>
    <n v="0"/>
    <n v="0"/>
    <n v="0"/>
    <n v="2488723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38986366"/>
    <n v="0"/>
    <m/>
    <n v="38986366"/>
    <n v="38986366"/>
    <n v="0"/>
    <m/>
    <m/>
    <m/>
    <m/>
    <m/>
    <n v="0"/>
    <n v="0"/>
    <n v="0"/>
    <n v="38986366"/>
    <m/>
    <m/>
    <m/>
    <m/>
    <n v="0"/>
    <s v="RS***"/>
    <s v="SS.EE"/>
    <s v="En Ejecución "/>
  </r>
  <r>
    <n v="24"/>
    <s v="N"/>
    <x v="8"/>
    <s v="RURAL"/>
    <s v="ENERGIA"/>
    <s v="CHILOE"/>
    <s v="QUINCHAO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69316181"/>
    <n v="0"/>
    <m/>
    <n v="69316181"/>
    <n v="69316181"/>
    <n v="0"/>
    <m/>
    <m/>
    <m/>
    <m/>
    <m/>
    <n v="0"/>
    <n v="0"/>
    <n v="0"/>
    <n v="69316181"/>
    <m/>
    <m/>
    <m/>
    <m/>
    <n v="0"/>
    <s v="RS***"/>
    <s v="SS.EE"/>
    <s v="En Ejecución "/>
  </r>
  <r>
    <n v="31"/>
    <s v="N"/>
    <x v="6"/>
    <s v="RURAL"/>
    <s v="SOCIAL"/>
    <s v="CHILOE"/>
    <s v="QUINCHAO"/>
    <n v="28"/>
    <s v="LIBRE"/>
    <s v="EJECUCION"/>
    <n v="40013068"/>
    <s v="SALUD"/>
    <s v="HARRY FRANKLIN  MONSALVE FUENTES"/>
    <s v="40013068EJECUCION"/>
    <s v="507428-29-LR20"/>
    <s v="* REPOSICION POSTA DE SALUD RURAL VILLA CHAULINEC"/>
    <s v="* CERT. CORE 423 12.19 - AUMENTA PPTO FNDR 2020 / * CERT. CORE 97 03.2020 - ACTUALIZA PPTO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  <s v="RS"/>
    <s v="En Ejecución "/>
  </r>
  <r>
    <n v="33"/>
    <s v="A"/>
    <x v="4"/>
    <s v="URBANO"/>
    <s v="SOCIAL"/>
    <s v="CHILOE"/>
    <s v="QUINCHAO"/>
    <n v="28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3052903"/>
    <n v="186947097"/>
    <n v="0"/>
    <n v="0"/>
    <n v="0"/>
    <n v="0"/>
    <n v="0"/>
    <n v="0"/>
    <n v="0"/>
    <n v="0"/>
    <n v="13052903"/>
    <n v="0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245745069"/>
    <n v="0"/>
    <m/>
    <n v="749403069"/>
    <n v="342185972"/>
    <n v="407217097"/>
    <n v="0"/>
    <n v="0"/>
    <n v="0"/>
    <n v="0"/>
    <n v="0"/>
    <n v="730000"/>
    <n v="0"/>
    <n v="0"/>
    <n v="341455972"/>
    <n v="0"/>
    <n v="0"/>
    <n v="0"/>
    <m/>
    <n v="49634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URBANO"/>
    <s v="SOCIAL"/>
    <s v="CHILOE"/>
    <s v="QUINCHAO"/>
    <n v="28"/>
    <s v="LIBRE"/>
    <s v="EJECUCION"/>
    <n v="40008054"/>
    <m/>
    <e v="#N/A"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367393000"/>
    <n v="0"/>
    <n v="367393000"/>
    <n v="0"/>
    <n v="0"/>
    <n v="0"/>
    <n v="0"/>
    <n v="0"/>
    <n v="0"/>
    <n v="0"/>
    <n v="0"/>
    <n v="0"/>
    <n v="0"/>
    <n v="0"/>
    <n v="0"/>
    <m/>
    <n v="0"/>
    <s v="RS*"/>
    <s v="C33"/>
    <s v="Licitación Desierta"/>
  </r>
  <r>
    <n v="31"/>
    <s v="N"/>
    <x v="1"/>
    <s v="RURAL"/>
    <s v="SOCIAL"/>
    <s v="CHILOE"/>
    <s v="QUINCHAO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57750000"/>
    <n v="0"/>
    <n v="57750000"/>
    <n v="0"/>
    <n v="0"/>
    <n v="0"/>
    <n v="0"/>
    <n v="0"/>
    <n v="0"/>
    <n v="0"/>
    <n v="0"/>
    <n v="0"/>
    <n v="0"/>
    <n v="0"/>
    <n v="0"/>
    <m/>
    <n v="9725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522393000"/>
    <n v="0"/>
    <m/>
    <n v="425143000"/>
    <n v="0"/>
    <n v="425143000"/>
    <n v="0"/>
    <n v="0"/>
    <n v="0"/>
    <n v="0"/>
    <n v="0"/>
    <n v="0"/>
    <n v="0"/>
    <n v="0"/>
    <n v="0"/>
    <n v="0"/>
    <n v="0"/>
    <n v="0"/>
    <m/>
    <n v="9725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QUINCHAO"/>
    <m/>
    <m/>
    <m/>
    <m/>
    <m/>
    <m/>
    <m/>
    <n v="1768138069"/>
    <n v="0"/>
    <m/>
    <n v="1174546069"/>
    <n v="342185972"/>
    <n v="832360097"/>
    <n v="0"/>
    <n v="0"/>
    <n v="0"/>
    <n v="0"/>
    <n v="0"/>
    <n v="730000"/>
    <n v="0"/>
    <n v="0"/>
    <n v="341455972"/>
    <n v="0"/>
    <n v="0"/>
    <n v="0"/>
    <m/>
    <n v="593592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5"/>
    <s v="RURAL"/>
    <s v="SOCIAL"/>
    <s v="CHILOE"/>
    <s v="PROV. CHILOE"/>
    <n v="29"/>
    <s v="LIBRE"/>
    <s v="EJECUCION"/>
    <n v="30381175"/>
    <s v="G"/>
    <s v="FRANCISCA MONTECINO  OPAZO"/>
    <s v="30381175EJECUCION"/>
    <m/>
    <s v="CONSTRUCCION COMPLEJO DEPORTIVO CANCHA RAYADA"/>
    <m/>
    <m/>
    <m/>
    <m/>
    <m/>
    <m/>
    <m/>
    <n v="1528367000"/>
    <n v="14300000"/>
    <m/>
    <n v="671631232"/>
    <n v="410631349"/>
    <n v="260999883"/>
    <n v="0"/>
    <n v="0"/>
    <n v="0"/>
    <n v="0"/>
    <n v="0"/>
    <n v="45446317"/>
    <n v="45817668"/>
    <n v="24957958"/>
    <n v="27417645"/>
    <n v="45829560"/>
    <n v="72569248"/>
    <n v="148592953"/>
    <m/>
    <n v="842435768"/>
    <s v="RS"/>
    <s v="RS"/>
    <s v="En Ejecución "/>
  </r>
  <r>
    <n v="31"/>
    <s v="A"/>
    <x v="6"/>
    <s v="RURAL"/>
    <s v="SOCIAL"/>
    <s v="CHILOE"/>
    <s v="PROV. CHILOE"/>
    <n v="29"/>
    <s v="LIBRE"/>
    <s v="EJECUCION"/>
    <n v="30083335"/>
    <s v="SALUD"/>
    <e v="#N/A"/>
    <s v="30083335EJECUCION"/>
    <m/>
    <s v="NORMALIZACION HOSPITAL DE QUELLON, PROVINCIA DE CHILOE"/>
    <m/>
    <m/>
    <m/>
    <m/>
    <m/>
    <m/>
    <m/>
    <n v="2016128000"/>
    <n v="82700000"/>
    <m/>
    <n v="261646057"/>
    <n v="0"/>
    <n v="261646057"/>
    <n v="0"/>
    <n v="0"/>
    <n v="0"/>
    <n v="0"/>
    <n v="0"/>
    <n v="0"/>
    <n v="0"/>
    <n v="0"/>
    <n v="0"/>
    <n v="0"/>
    <n v="0"/>
    <n v="0"/>
    <m/>
    <n v="1671781943"/>
    <s v="RS"/>
    <s v="RS"/>
    <s v="En Ejecución "/>
  </r>
  <r>
    <n v="31"/>
    <s v="A"/>
    <x v="2"/>
    <s v="RURAL"/>
    <s v="SOCIAL"/>
    <s v="CHILOE"/>
    <s v="PROV. CHILOE"/>
    <n v="29"/>
    <s v="FAR"/>
    <s v="EJECUCION"/>
    <n v="30135059"/>
    <s v="G"/>
    <s v="FRANCISCA MONTECINO  OPAZO"/>
    <s v="30135059EJECUCION"/>
    <m/>
    <s v="CONSTRUCCION SEDE UNIVERSITARIA PARA LA PROVINCIA DE CHILOE"/>
    <m/>
    <m/>
    <m/>
    <m/>
    <m/>
    <m/>
    <m/>
    <n v="6569829292"/>
    <n v="4873756899"/>
    <m/>
    <n v="1126678665"/>
    <n v="1126678665"/>
    <n v="0"/>
    <n v="0"/>
    <n v="0"/>
    <n v="0"/>
    <n v="0"/>
    <n v="0"/>
    <n v="0"/>
    <n v="0"/>
    <n v="2905983"/>
    <n v="2352414"/>
    <n v="2629199"/>
    <n v="643170742"/>
    <n v="475620327"/>
    <m/>
    <n v="569393728"/>
    <s v="RS"/>
    <s v="RS"/>
    <s v="En Ejecución "/>
  </r>
  <r>
    <n v="31"/>
    <s v="A"/>
    <x v="1"/>
    <s v="RURAL"/>
    <s v="CONECTIVIDAD"/>
    <s v="CHILOE"/>
    <s v="PROV. CHILOE"/>
    <n v="29"/>
    <s v="FAR"/>
    <s v="EJECUCION"/>
    <n v="30453827"/>
    <m/>
    <e v="#N/A"/>
    <s v="30453827EJECUCION"/>
    <m/>
    <s v="CONSERVACION CAMINOS VECINALES POR GLOSA , ETAPA I PROVINCIA DE CHILOE (C33)"/>
    <m/>
    <m/>
    <m/>
    <m/>
    <m/>
    <m/>
    <m/>
    <n v="1298249800"/>
    <n v="418964479"/>
    <m/>
    <n v="573414698"/>
    <n v="374267567"/>
    <n v="199147131"/>
    <n v="0"/>
    <n v="0"/>
    <n v="0"/>
    <n v="0"/>
    <n v="0"/>
    <n v="0"/>
    <n v="0"/>
    <n v="0"/>
    <n v="0"/>
    <n v="131459259"/>
    <n v="52058476"/>
    <n v="190749832"/>
    <m/>
    <n v="305870623"/>
    <s v="RS*"/>
    <s v="C33"/>
    <s v="En Ejecución "/>
  </r>
  <r>
    <n v="29"/>
    <s v="N"/>
    <x v="6"/>
    <s v="URBANO"/>
    <s v="SOCIAL"/>
    <s v="CHILOE"/>
    <s v="PROV. CHILOE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m/>
    <m/>
    <m/>
    <m/>
    <m/>
    <n v="165886000"/>
    <n v="0"/>
    <n v="0"/>
    <n v="0"/>
    <m/>
    <m/>
    <m/>
    <m/>
    <n v="0"/>
    <s v="RS*"/>
    <s v="C33"/>
    <s v="Terminada"/>
  </r>
  <r>
    <n v="31"/>
    <s v="N"/>
    <x v="6"/>
    <s v="RURAL"/>
    <s v="SOCIAL"/>
    <s v="CHILOE"/>
    <s v="PROV. CHILOE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  <s v="T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756918608"/>
    <n v="5568179894"/>
    <m/>
    <n v="2799256652"/>
    <n v="2077463581"/>
    <n v="721793071"/>
    <n v="0"/>
    <n v="0"/>
    <n v="0"/>
    <n v="0"/>
    <n v="0"/>
    <n v="211332317"/>
    <n v="45817668"/>
    <n v="27863941"/>
    <n v="29770059"/>
    <n v="179918018"/>
    <n v="767798466"/>
    <n v="814963112"/>
    <m/>
    <n v="338948206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CHILOE"/>
    <s v="PROV. CHILOE"/>
    <n v="29"/>
    <s v="LIBRE"/>
    <s v="EJECUCION"/>
    <n v="30083300"/>
    <s v="SALUD"/>
    <s v="HARRY FRANKLIN  MONSALVE FUENTES"/>
    <s v="30083300EJECUCION"/>
    <s v="1896-3-O120"/>
    <s v="NORMALIZACION HOSPITAL DE ANCUD"/>
    <m/>
    <m/>
    <m/>
    <m/>
    <m/>
    <m/>
    <m/>
    <n v="4454843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3831198301"/>
    <s v="RS"/>
    <s v="RS"/>
    <s v="En Licitación (15.07.20)"/>
  </r>
  <r>
    <n v="29"/>
    <s v="N"/>
    <x v="6"/>
    <s v="URBANO"/>
    <s v="SOCIAL"/>
    <s v="CHILOE"/>
    <s v="PROV. CHILOE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m/>
    <m/>
    <m/>
    <m/>
    <m/>
    <n v="0"/>
    <n v="0"/>
    <n v="0"/>
    <n v="0"/>
    <m/>
    <m/>
    <m/>
    <m/>
    <n v="487104000"/>
    <s v="RS*"/>
    <s v="C33"/>
    <s v="En Licita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4941947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431830230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 PROVINCIALES"/>
    <m/>
    <m/>
    <m/>
    <m/>
    <m/>
    <m/>
    <m/>
    <n v="16698865608"/>
    <n v="5568179894"/>
    <m/>
    <n v="3422901351"/>
    <n v="2077463581"/>
    <n v="1345437770"/>
    <n v="0"/>
    <n v="0"/>
    <n v="0"/>
    <n v="0"/>
    <n v="0"/>
    <n v="211332317"/>
    <n v="45817668"/>
    <n v="27863941"/>
    <n v="29770059"/>
    <n v="179918018"/>
    <n v="767798466"/>
    <n v="814963112"/>
    <m/>
    <n v="7707784363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CHILOE"/>
    <m/>
    <m/>
    <m/>
    <m/>
    <m/>
    <m/>
    <m/>
    <n v="64335175440"/>
    <n v="20510004027"/>
    <m/>
    <n v="19920486762.333336"/>
    <n v="9483088978"/>
    <n v="10437397784.333336"/>
    <n v="0"/>
    <n v="0"/>
    <n v="0"/>
    <n v="0"/>
    <n v="0"/>
    <n v="905487531"/>
    <n v="1307571406"/>
    <n v="958223572"/>
    <n v="1096816757"/>
    <n v="1260699813"/>
    <n v="1557393927"/>
    <n v="2396895972"/>
    <m/>
    <n v="23904684650.66666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x v="8"/>
    <s v="RURAL"/>
    <s v="ENERGIA"/>
    <s v="PALENA"/>
    <s v="CHAITEN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422170000"/>
    <n v="0"/>
    <m/>
    <n v="422170000"/>
    <n v="90430146"/>
    <n v="331739854"/>
    <n v="0"/>
    <n v="0"/>
    <n v="0"/>
    <n v="0"/>
    <n v="0"/>
    <n v="0"/>
    <n v="33955636"/>
    <n v="32645953"/>
    <n v="0"/>
    <n v="0"/>
    <n v="22052099"/>
    <n v="1776458"/>
    <m/>
    <n v="0"/>
    <s v="RS***"/>
    <s v="SS.EE"/>
    <s v="En Ejecución "/>
  </r>
  <r>
    <n v="24"/>
    <s v="N"/>
    <x v="8"/>
    <s v="RURAL"/>
    <s v="ENERGIA"/>
    <s v="PALENA"/>
    <s v="CHAITEN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03882152"/>
    <n v="0"/>
    <m/>
    <n v="103882152"/>
    <n v="103882152"/>
    <n v="0"/>
    <m/>
    <m/>
    <m/>
    <m/>
    <m/>
    <n v="0"/>
    <n v="0"/>
    <n v="0"/>
    <n v="103882152"/>
    <m/>
    <m/>
    <m/>
    <m/>
    <n v="0"/>
    <s v="RS***"/>
    <s v="SS.EE"/>
    <s v="En Ejecución "/>
  </r>
  <r>
    <n v="31"/>
    <s v="A"/>
    <x v="4"/>
    <s v="URBANO"/>
    <s v="SOCIAL"/>
    <s v="PALENA"/>
    <s v="CHAITEN"/>
    <n v="30"/>
    <s v="LIBRE"/>
    <s v="DISEÑO"/>
    <n v="30103541"/>
    <s v="V"/>
    <e v="#N/A"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  <s v="RS"/>
    <s v="En Ejecución "/>
  </r>
  <r>
    <n v="33"/>
    <s v="A"/>
    <x v="4"/>
    <s v="URBANO"/>
    <s v="SOCIAL"/>
    <s v="PALENA"/>
    <s v="CHAITEN"/>
    <n v="3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PALENA"/>
    <s v="CHAITEN"/>
    <n v="30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57023311"/>
    <n v="42976689"/>
    <n v="0"/>
    <n v="0"/>
    <n v="0"/>
    <n v="0"/>
    <n v="0"/>
    <n v="0"/>
    <n v="0"/>
    <n v="35106063"/>
    <n v="12610419"/>
    <n v="58504051"/>
    <n v="50802778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963859152"/>
    <n v="7407000"/>
    <m/>
    <n v="933632152"/>
    <n v="416235609"/>
    <n v="517396543"/>
    <n v="0"/>
    <n v="0"/>
    <n v="0"/>
    <n v="0"/>
    <n v="0"/>
    <n v="0"/>
    <n v="57555636"/>
    <n v="91352016"/>
    <n v="116492571"/>
    <n v="58504051"/>
    <n v="90554877"/>
    <n v="1776458"/>
    <m/>
    <n v="2282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URBANO"/>
    <s v="SALUD"/>
    <s v="PALENA"/>
    <s v="CHAITEN"/>
    <n v="30"/>
    <s v="PV"/>
    <s v="EJECUCION"/>
    <n v="30060589"/>
    <s v="SALUD"/>
    <e v="#N/A"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974545692"/>
    <n v="0"/>
    <n v="974545692"/>
    <n v="0"/>
    <n v="0"/>
    <n v="0"/>
    <n v="0"/>
    <n v="0"/>
    <n v="0"/>
    <n v="0"/>
    <n v="0"/>
    <n v="0"/>
    <n v="0"/>
    <n v="0"/>
    <n v="0"/>
    <m/>
    <n v="13971247308"/>
    <s v="RS"/>
    <s v="RS"/>
    <s v="En Licitación (20.07.20)"/>
  </r>
  <r>
    <n v="29"/>
    <s v="N"/>
    <x v="4"/>
    <s v="RURAL"/>
    <s v="SOCIAL"/>
    <s v="PALENA"/>
    <s v="CHAITEN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35285000"/>
    <n v="0"/>
    <n v="435285000"/>
    <n v="0"/>
    <n v="0"/>
    <n v="0"/>
    <n v="0"/>
    <n v="0"/>
    <n v="0"/>
    <n v="0"/>
    <n v="0"/>
    <n v="0"/>
    <n v="0"/>
    <n v="0"/>
    <n v="0"/>
    <m/>
    <n v="0"/>
    <s v="RS*"/>
    <s v="C33"/>
    <s v="En Licitación (22.06.20)"/>
  </r>
  <r>
    <n v="31"/>
    <s v="A"/>
    <x v="1"/>
    <s v="URBANO"/>
    <s v="CONECTIVIDAD"/>
    <s v="PALENA"/>
    <s v="CHAITEN"/>
    <n v="30"/>
    <s v="LIBRE"/>
    <s v="PREFACTIBILIDAD"/>
    <n v="30186523"/>
    <s v="V"/>
    <e v="#N/A"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165137773"/>
    <n v="0"/>
    <n v="165137773"/>
    <n v="0"/>
    <n v="0"/>
    <n v="0"/>
    <n v="0"/>
    <n v="0"/>
    <n v="0"/>
    <n v="0"/>
    <n v="0"/>
    <n v="0"/>
    <n v="0"/>
    <n v="0"/>
    <n v="0"/>
    <m/>
    <n v="326264227"/>
    <s v="RS"/>
    <s v="RS"/>
    <s v="Licitación Desierta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5872480000"/>
    <n v="0"/>
    <m/>
    <n v="1574968465"/>
    <n v="0"/>
    <n v="1574968465"/>
    <n v="0"/>
    <n v="0"/>
    <n v="0"/>
    <n v="0"/>
    <n v="0"/>
    <n v="0"/>
    <n v="0"/>
    <n v="0"/>
    <n v="0"/>
    <n v="0"/>
    <n v="0"/>
    <n v="0"/>
    <m/>
    <n v="142975115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CHAITEN"/>
    <m/>
    <m/>
    <m/>
    <m/>
    <m/>
    <m/>
    <m/>
    <n v="16836339152"/>
    <n v="7407000"/>
    <m/>
    <n v="2508600617"/>
    <n v="416235609"/>
    <n v="2092365008"/>
    <n v="0"/>
    <n v="0"/>
    <n v="0"/>
    <n v="0"/>
    <n v="0"/>
    <n v="0"/>
    <n v="57555636"/>
    <n v="91352016"/>
    <n v="116492571"/>
    <n v="58504051"/>
    <n v="90554877"/>
    <n v="1776458"/>
    <m/>
    <n v="143203315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2"/>
    <s v="RURAL"/>
    <s v="SOCIAL"/>
    <s v="PALENA"/>
    <s v="FUTALEUFU"/>
    <n v="31"/>
    <s v="PV"/>
    <s v="EJECUCION"/>
    <n v="30072372"/>
    <s v="V"/>
    <s v="Fabricio Carra Paredes"/>
    <s v="30072372EJECUCION"/>
    <m/>
    <s v="AMPLIACION ESCUELA BASICA  FUTALEUFU PARA EDUCACION MEDIA"/>
    <m/>
    <m/>
    <m/>
    <m/>
    <m/>
    <m/>
    <m/>
    <n v="3944224378"/>
    <n v="3810001601"/>
    <m/>
    <n v="95507000"/>
    <n v="0"/>
    <n v="95507000"/>
    <n v="0"/>
    <n v="0"/>
    <n v="0"/>
    <n v="0"/>
    <n v="0"/>
    <n v="0"/>
    <n v="0"/>
    <n v="0"/>
    <n v="0"/>
    <n v="0"/>
    <n v="0"/>
    <n v="0"/>
    <m/>
    <n v="38715777"/>
    <s v="RS"/>
    <s v="RS"/>
    <s v="En Ejecución "/>
  </r>
  <r>
    <n v="31"/>
    <s v="A"/>
    <x v="1"/>
    <s v="RURAL"/>
    <s v="CONECTIVIDAD"/>
    <s v="PALENA"/>
    <s v="FUTALEUFU"/>
    <n v="31"/>
    <s v="PV"/>
    <s v="EJECUCION"/>
    <n v="30102779"/>
    <s v="V"/>
    <s v="Fabricio Carra Paredes"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164240796"/>
    <n v="16983173"/>
    <n v="147257623"/>
    <n v="0"/>
    <n v="0"/>
    <n v="0"/>
    <n v="0"/>
    <n v="0"/>
    <n v="0"/>
    <n v="0"/>
    <n v="0"/>
    <n v="0"/>
    <n v="0"/>
    <n v="0"/>
    <n v="16983173"/>
    <m/>
    <n v="0"/>
    <s v="RS"/>
    <s v="RS"/>
    <s v="En Ejecución "/>
  </r>
  <r>
    <n v="31"/>
    <s v="A"/>
    <x v="5"/>
    <s v="RURAL"/>
    <s v="SOCIAL"/>
    <s v="PALENA"/>
    <s v="FUTALEUFU"/>
    <n v="31"/>
    <s v="PV"/>
    <s v="EJECUCION"/>
    <n v="30086361"/>
    <s v="V"/>
    <s v="Fabricio Carra Paredes"/>
    <s v="30086361EJECUCION"/>
    <m/>
    <s v="REPOSICION GIMNASIO MUNICIPAL DE FUTALEUFU"/>
    <m/>
    <m/>
    <m/>
    <m/>
    <m/>
    <m/>
    <m/>
    <n v="3900581000"/>
    <n v="3137883323"/>
    <m/>
    <n v="454656000"/>
    <n v="299734525"/>
    <n v="154921475"/>
    <n v="0"/>
    <n v="0"/>
    <n v="0"/>
    <n v="0"/>
    <n v="0"/>
    <n v="0"/>
    <n v="0"/>
    <n v="0"/>
    <n v="295509359"/>
    <n v="0"/>
    <n v="2112583"/>
    <n v="2112583"/>
    <m/>
    <n v="308041677"/>
    <s v="RS"/>
    <s v="RS"/>
    <s v="En Ejecución "/>
  </r>
  <r>
    <n v="31"/>
    <s v="A"/>
    <x v="1"/>
    <s v="RURAL"/>
    <s v="SOCIAL"/>
    <s v="PALENA"/>
    <s v="FUTALEUFU"/>
    <n v="31"/>
    <s v="LIBRE"/>
    <s v="DISEÑO"/>
    <n v="30352430"/>
    <s v="V"/>
    <s v="Fabricio Carra Paredes"/>
    <s v="30352430DISEÑO"/>
    <m/>
    <s v="CONSTRUCCION PARQUE MUNICIPAL DE FUTALEUFU"/>
    <m/>
    <m/>
    <m/>
    <m/>
    <m/>
    <m/>
    <m/>
    <n v="118160000"/>
    <n v="48000000"/>
    <m/>
    <n v="70160000"/>
    <n v="26000000"/>
    <n v="44160000"/>
    <n v="0"/>
    <n v="0"/>
    <n v="0"/>
    <n v="0"/>
    <n v="0"/>
    <n v="0"/>
    <n v="0"/>
    <n v="0"/>
    <n v="26000000"/>
    <n v="0"/>
    <n v="0"/>
    <n v="0"/>
    <m/>
    <n v="0"/>
    <s v="RS"/>
    <s v="RS"/>
    <s v="En Ejecución "/>
  </r>
  <r>
    <n v="33"/>
    <s v="A"/>
    <x v="4"/>
    <s v="URBANO"/>
    <s v="SOCIAL"/>
    <s v="PALENA"/>
    <s v="FUTALEUFU"/>
    <n v="3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PALENA"/>
    <s v="FUTALEUFU"/>
    <n v="31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88878654"/>
    <n v="111121346"/>
    <n v="0"/>
    <n v="0"/>
    <n v="0"/>
    <n v="0"/>
    <n v="0"/>
    <n v="0"/>
    <n v="7460516"/>
    <n v="0"/>
    <n v="29074441"/>
    <n v="52343697"/>
    <n v="0"/>
    <n v="0"/>
    <m/>
    <n v="0"/>
    <s v="RS**"/>
    <s v="FRIL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8966380378"/>
    <n v="7535059128"/>
    <m/>
    <n v="1084563796"/>
    <n v="431596352"/>
    <n v="652967444"/>
    <n v="0"/>
    <n v="0"/>
    <n v="0"/>
    <n v="0"/>
    <n v="0"/>
    <n v="0"/>
    <n v="7460516"/>
    <n v="0"/>
    <n v="350583800"/>
    <n v="52343697"/>
    <n v="2112583"/>
    <n v="19095756"/>
    <m/>
    <n v="34675745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x v="4"/>
    <s v="RURAL"/>
    <s v="SOCIAL"/>
    <s v="PALENA"/>
    <s v="FUTALEUFU"/>
    <n v="31"/>
    <s v="LIBRE"/>
    <s v="EJECUCION"/>
    <n v="30341678"/>
    <s v="V"/>
    <e v="#N/A"/>
    <s v="30341678EJECUCION"/>
    <m/>
    <s v="ANALISIS ESTUDIO PLAN REGULADOR COMUNAL DE FUTALEUFU (C33)"/>
    <m/>
    <m/>
    <m/>
    <s v="1022 04,05,20"/>
    <n v="120000000"/>
    <m/>
    <m/>
    <n v="126058000"/>
    <n v="0"/>
    <m/>
    <n v="126058000"/>
    <n v="0"/>
    <n v="126058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n v="29"/>
    <s v="A"/>
    <x v="3"/>
    <s v="URBANO"/>
    <s v="SOCIAL"/>
    <s v="PALENA"/>
    <s v="FUTALEUFU"/>
    <n v="31"/>
    <s v="FAR"/>
    <s v="EJECUCION"/>
    <n v="40006627"/>
    <m/>
    <e v="#N/A"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285806507"/>
    <n v="15658020"/>
    <n v="270148487"/>
    <n v="0"/>
    <n v="0"/>
    <n v="0"/>
    <n v="0"/>
    <n v="0"/>
    <n v="0"/>
    <n v="15658020"/>
    <n v="0"/>
    <n v="0"/>
    <n v="0"/>
    <n v="0"/>
    <n v="0"/>
    <m/>
    <n v="0"/>
    <s v="RS*"/>
    <s v="C33"/>
    <s v="Licitación Adjudicada (23.01.20)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411864507"/>
    <n v="0"/>
    <m/>
    <n v="411864507"/>
    <n v="15658020"/>
    <n v="396206487"/>
    <n v="0"/>
    <n v="0"/>
    <n v="0"/>
    <n v="0"/>
    <n v="0"/>
    <n v="0"/>
    <n v="15658020"/>
    <n v="0"/>
    <n v="0"/>
    <n v="0"/>
    <n v="0"/>
    <n v="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FUTALEUFU"/>
    <m/>
    <m/>
    <m/>
    <m/>
    <m/>
    <m/>
    <m/>
    <n v="9378244885"/>
    <n v="7535059128"/>
    <m/>
    <n v="1496428303"/>
    <n v="447254372"/>
    <n v="1049173931"/>
    <n v="0"/>
    <n v="0"/>
    <n v="0"/>
    <n v="0"/>
    <n v="0"/>
    <n v="0"/>
    <n v="23118536"/>
    <n v="0"/>
    <n v="350583800"/>
    <n v="52343697"/>
    <n v="2112583"/>
    <n v="19095756"/>
    <m/>
    <n v="346757454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6"/>
    <s v="RURAL"/>
    <s v="SOCIAL"/>
    <s v="PALENA"/>
    <s v="HUALAIHUE"/>
    <n v="32"/>
    <s v="PV"/>
    <s v="EJECUCION"/>
    <n v="30311722"/>
    <s v="SALUD"/>
    <s v="Fabricio Carra Paredes"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260868687"/>
    <n v="222705009"/>
    <n v="0"/>
    <n v="0"/>
    <n v="0"/>
    <n v="0"/>
    <n v="0"/>
    <n v="110119883"/>
    <n v="0"/>
    <n v="50599291"/>
    <n v="36014549"/>
    <n v="55602939"/>
    <n v="8532025"/>
    <n v="0"/>
    <m/>
    <n v="0"/>
    <s v="RS"/>
    <s v="RS"/>
    <s v="En Ejecución "/>
  </r>
  <r>
    <n v="31"/>
    <s v="A"/>
    <x v="2"/>
    <s v="RURAL"/>
    <s v="SOCIAL"/>
    <s v="PALENA"/>
    <s v="HUALAIHUE"/>
    <n v="32"/>
    <s v="LIBRE"/>
    <s v="EJECUCION"/>
    <n v="30277425"/>
    <s v="V"/>
    <s v="Fabricio Carra Paredes"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  <s v="C33"/>
    <s v="En Ejecución "/>
  </r>
  <r>
    <n v="31"/>
    <s v="A"/>
    <x v="1"/>
    <s v="RURAL"/>
    <s v="CONECTIVIDAD"/>
    <s v="PALENA"/>
    <s v="HUALAIHUE"/>
    <n v="32"/>
    <s v="FAR"/>
    <s v="EJECUCION"/>
    <n v="30471092"/>
    <m/>
    <e v="#N/A"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2551048"/>
    <n v="292551048"/>
    <n v="0"/>
    <n v="0"/>
    <n v="0"/>
    <n v="0"/>
    <n v="0"/>
    <n v="0"/>
    <n v="0"/>
    <n v="224567831"/>
    <n v="0"/>
    <n v="0"/>
    <n v="0"/>
    <n v="67983217"/>
    <n v="0"/>
    <m/>
    <n v="12326952"/>
    <s v="RS*"/>
    <s v="C33"/>
    <s v="En Ejecución "/>
  </r>
  <r>
    <n v="33"/>
    <s v="A"/>
    <x v="4"/>
    <s v="URBANO"/>
    <s v="SOCIAL"/>
    <s v="PALENA"/>
    <s v="HUALAIHUE"/>
    <n v="3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PALENA"/>
    <s v="HUALAIHUE"/>
    <n v="32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60906939"/>
    <n v="39093061"/>
    <n v="0"/>
    <n v="0"/>
    <n v="0"/>
    <n v="0"/>
    <n v="0"/>
    <n v="4685187"/>
    <n v="33276208"/>
    <n v="0"/>
    <n v="69112102"/>
    <n v="0"/>
    <n v="53833442"/>
    <n v="0"/>
    <m/>
    <n v="0"/>
    <s v="RS**"/>
    <s v="FRIL"/>
    <s v="En Ejecución "/>
  </r>
  <r>
    <n v="31"/>
    <s v="A"/>
    <x v="6"/>
    <s v="RURAL"/>
    <s v="SOCIAL"/>
    <s v="PALENA"/>
    <s v="HUALAIHUE"/>
    <n v="32"/>
    <s v="LIBRE"/>
    <s v="EJECUCION"/>
    <n v="30455973"/>
    <m/>
    <e v="#N/A"/>
    <s v="30455973EJECUCION"/>
    <m/>
    <s v="CONSTRUCCION 2 CASAS PARA PROFESIONALES CECOSF HUALAIHUE"/>
    <m/>
    <m/>
    <m/>
    <m/>
    <m/>
    <m/>
    <m/>
    <n v="90272885"/>
    <n v="73838905"/>
    <m/>
    <n v="16433980"/>
    <n v="0"/>
    <n v="16433980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563614885"/>
    <n v="444757438"/>
    <m/>
    <n v="1099802147"/>
    <n v="714326674"/>
    <n v="385475473"/>
    <n v="0"/>
    <n v="0"/>
    <n v="0"/>
    <n v="0"/>
    <n v="0"/>
    <n v="114805070"/>
    <n v="257844039"/>
    <n v="50599291"/>
    <n v="105126651"/>
    <n v="55602939"/>
    <n v="130348684"/>
    <n v="0"/>
    <m/>
    <n v="190553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7"/>
    <s v="RURAL"/>
    <s v="AGUA POTABLE"/>
    <s v="PALENA"/>
    <s v="HUALAIHUE"/>
    <n v="32"/>
    <s v="LIBRE"/>
    <s v="DISEÑO"/>
    <n v="30338024"/>
    <s v="V"/>
    <s v="Fabricio Carra Paredes"/>
    <s v="30338024DISEÑO"/>
    <s v="2904-34-LE19"/>
    <s v="CONSTRUCCION SISTEMA AGUA POTABLE PUNTILLA PICHICOL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  <s v="RS"/>
    <s v="Licitación Adjudicada (02.03.20)"/>
  </r>
  <r>
    <n v="31"/>
    <s v="A"/>
    <x v="7"/>
    <s v="RURAL"/>
    <s v="AGUA POTABLE"/>
    <s v="PALENA"/>
    <s v="HUALAIHUE"/>
    <n v="32"/>
    <s v="LIBRE"/>
    <s v="DISEÑO"/>
    <n v="30338523"/>
    <s v="V"/>
    <e v="#N/A"/>
    <s v="30338523DISEÑO"/>
    <s v="2904-35-LE19"/>
    <s v="CONSTRUCCION SISTEMA AGUA POTABLE CHOLG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  <s v="RS"/>
    <s v="Licitación Adjudicada (02.03.20)"/>
  </r>
  <r>
    <n v="31"/>
    <s v="A"/>
    <x v="7"/>
    <s v="RURAL"/>
    <s v="AGUA POTABLE"/>
    <s v="PALENA"/>
    <s v="HUALAIHUE"/>
    <n v="32"/>
    <s v="LIBRE"/>
    <s v="EJECUCION"/>
    <n v="30065600"/>
    <s v="V"/>
    <e v="#N/A"/>
    <s v="30065600EJECUCION"/>
    <s v="2904-35-LE19"/>
    <s v="CONSTRUCCION SISTEMA AGUA POTABLE EL MANZANO"/>
    <m/>
    <m/>
    <m/>
    <m/>
    <m/>
    <m/>
    <m/>
    <n v="418598000"/>
    <n v="0"/>
    <m/>
    <n v="184316689"/>
    <n v="0"/>
    <n v="184316689"/>
    <n v="0"/>
    <n v="0"/>
    <n v="0"/>
    <n v="0"/>
    <n v="0"/>
    <n v="0"/>
    <n v="0"/>
    <n v="0"/>
    <n v="0"/>
    <n v="0"/>
    <n v="0"/>
    <n v="0"/>
    <m/>
    <n v="234281311"/>
    <s v="RS"/>
    <s v="RS"/>
    <s v="En Ejecución"/>
  </r>
  <r>
    <n v="29"/>
    <s v="A"/>
    <x v="3"/>
    <s v="RURAL"/>
    <s v="SOCIAL"/>
    <s v="PALENA"/>
    <s v="HUALAIHUE"/>
    <n v="32"/>
    <s v="LIBRE"/>
    <s v="EJECUCION"/>
    <n v="30480167"/>
    <m/>
    <e v="#N/A"/>
    <s v="30480167EJECUCION"/>
    <m/>
    <s v="ADQUISICION LANCHA POLICIAL TENENCIA HORNOPIREN, COMUNA HUALAIHUE(C33)"/>
    <m/>
    <m/>
    <m/>
    <m/>
    <m/>
    <m/>
    <m/>
    <n v="237746000"/>
    <n v="0"/>
    <m/>
    <n v="71860000"/>
    <n v="0"/>
    <n v="71860000"/>
    <n v="0"/>
    <n v="0"/>
    <n v="0"/>
    <n v="0"/>
    <n v="0"/>
    <n v="0"/>
    <n v="0"/>
    <n v="0"/>
    <n v="0"/>
    <n v="0"/>
    <n v="0"/>
    <n v="0"/>
    <m/>
    <n v="165886000"/>
    <s v="RS*"/>
    <s v="C33"/>
    <s v="Convenio en Tramite"/>
  </r>
  <r>
    <n v="29"/>
    <s v="A"/>
    <x v="1"/>
    <s v="RURAL"/>
    <s v="CONECTIVIDAD"/>
    <s v="PALENA"/>
    <s v="HUALAIHUE"/>
    <n v="32"/>
    <s v="FAR"/>
    <s v="EJECUCION"/>
    <n v="30471865"/>
    <m/>
    <e v="#N/A"/>
    <s v="30471865EJECUCION"/>
    <m/>
    <s v="ADQUISICION SISTEMA DE ILUMINACION PAD. RIO NEGRO HORNOPIREN(C33)"/>
    <m/>
    <m/>
    <m/>
    <m/>
    <m/>
    <m/>
    <m/>
    <n v="101104000"/>
    <n v="0"/>
    <m/>
    <n v="101104000"/>
    <n v="0"/>
    <n v="101104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29"/>
    <s v="A"/>
    <x v="1"/>
    <s v="RURAL"/>
    <s v="CONECTIVIDAD"/>
    <s v="PALENA"/>
    <s v="HUALAIHUE"/>
    <n v="32"/>
    <s v="FAR"/>
    <s v="EJECUCION"/>
    <n v="30361477"/>
    <m/>
    <e v="#N/A"/>
    <s v="30361477EJECUCION"/>
    <m/>
    <s v="ADQUISICION Y REPOSICION VEHICULOS Y MAQUINARIA CAMINOS VECINALES (C33)"/>
    <m/>
    <m/>
    <m/>
    <m/>
    <m/>
    <m/>
    <m/>
    <n v="397041000"/>
    <n v="0"/>
    <m/>
    <n v="397041000"/>
    <n v="0"/>
    <n v="397041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N"/>
    <x v="8"/>
    <s v="RURAL"/>
    <s v="SOCIAL"/>
    <s v="PALENA"/>
    <s v="HUALAIHUE"/>
    <n v="32"/>
    <s v="ENERGIZACION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462000000"/>
    <n v="0"/>
    <n v="462000000"/>
    <n v="0"/>
    <n v="0"/>
    <n v="0"/>
    <n v="0"/>
    <n v="0"/>
    <n v="0"/>
    <n v="0"/>
    <n v="0"/>
    <n v="0"/>
    <n v="0"/>
    <n v="0"/>
    <n v="0"/>
    <m/>
    <n v="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684461000"/>
    <n v="0"/>
    <m/>
    <n v="1274293689"/>
    <n v="0"/>
    <n v="1274293689"/>
    <n v="0"/>
    <n v="0"/>
    <n v="0"/>
    <n v="0"/>
    <n v="0"/>
    <n v="0"/>
    <n v="0"/>
    <n v="0"/>
    <n v="0"/>
    <n v="0"/>
    <n v="0"/>
    <n v="0"/>
    <m/>
    <n v="41016731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HUALAIHUE"/>
    <m/>
    <m/>
    <m/>
    <m/>
    <m/>
    <m/>
    <m/>
    <n v="3248075885"/>
    <n v="444757438"/>
    <m/>
    <n v="2374095836"/>
    <n v="714326674"/>
    <n v="1659769162"/>
    <n v="0"/>
    <n v="0"/>
    <n v="0"/>
    <n v="0"/>
    <n v="0"/>
    <n v="114805070"/>
    <n v="257844039"/>
    <n v="50599291"/>
    <n v="105126651"/>
    <n v="55602939"/>
    <n v="130348684"/>
    <n v="0"/>
    <m/>
    <n v="42922261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4"/>
    <s v="RURAL"/>
    <s v="SOCIAL"/>
    <s v="PALENA"/>
    <s v="PALENA"/>
    <n v="33"/>
    <s v="LIBRE"/>
    <s v="DISEÑO"/>
    <n v="30116040"/>
    <s v="V"/>
    <e v="#N/A"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  <s v="RS"/>
    <s v="En Ejecución "/>
  </r>
  <r>
    <n v="33"/>
    <s v="A"/>
    <x v="4"/>
    <s v="URBANO"/>
    <s v="SOCIAL"/>
    <s v="PALENA"/>
    <s v="PALENA"/>
    <n v="3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FRIL"/>
    <s v="En Ejecución "/>
  </r>
  <r>
    <n v="33"/>
    <s v="A"/>
    <x v="4"/>
    <s v="URBANO"/>
    <s v="SOCIAL"/>
    <s v="PALENA"/>
    <s v="PALENA"/>
    <n v="33"/>
    <s v="FRIL"/>
    <s v="EJECUCION"/>
    <s v="FRIL"/>
    <m/>
    <m/>
    <s v="FRILEJECUCION"/>
    <m/>
    <s v="FONDO REGIONAL DE INICIATIVAS LOCAL - ANEXO PAGINA 12"/>
    <m/>
    <m/>
    <m/>
    <m/>
    <m/>
    <m/>
    <m/>
    <n v="200000000"/>
    <n v="0"/>
    <m/>
    <n v="200000000"/>
    <n v="62992534"/>
    <n v="137007466"/>
    <n v="0"/>
    <n v="0"/>
    <n v="0"/>
    <n v="0"/>
    <n v="0"/>
    <n v="0"/>
    <n v="5357276"/>
    <n v="0"/>
    <n v="3380268"/>
    <n v="54254990"/>
    <n v="0"/>
    <n v="0"/>
    <m/>
    <n v="0"/>
    <s v="RS**"/>
    <s v="FRIL"/>
    <s v="En Ejecución "/>
  </r>
  <r>
    <n v="31"/>
    <s v="A"/>
    <x v="3"/>
    <s v="RURAL"/>
    <s v="SOCIAL"/>
    <s v="PALENA"/>
    <s v="PALENA"/>
    <n v="33"/>
    <s v="PV"/>
    <s v="EJECUCION"/>
    <n v="30115295"/>
    <s v="V"/>
    <e v="#N/A"/>
    <s v="30115295EJECUCION"/>
    <m/>
    <s v="REPOSICION Y AMPLIACION CUARTEL 1° COMPAÑIA DE BOMBEROS DE PALENA"/>
    <m/>
    <m/>
    <m/>
    <m/>
    <m/>
    <m/>
    <m/>
    <n v="788374000"/>
    <n v="622243006"/>
    <m/>
    <n v="166130994"/>
    <n v="0"/>
    <n v="166130994"/>
    <n v="0"/>
    <n v="0"/>
    <n v="0"/>
    <n v="0"/>
    <n v="0"/>
    <n v="0"/>
    <n v="0"/>
    <n v="0"/>
    <n v="0"/>
    <n v="0"/>
    <n v="0"/>
    <n v="0"/>
    <m/>
    <n v="0"/>
    <s v="RS"/>
    <s v="RS"/>
    <s v="En Liquidación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132372000"/>
    <n v="657416086"/>
    <m/>
    <n v="474955914"/>
    <n v="62992534"/>
    <n v="411963380"/>
    <n v="0"/>
    <n v="0"/>
    <n v="0"/>
    <n v="0"/>
    <n v="0"/>
    <n v="0"/>
    <n v="5357276"/>
    <n v="0"/>
    <n v="3380268"/>
    <n v="54254990"/>
    <n v="0"/>
    <n v="0"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x v="1"/>
    <s v="RURAL"/>
    <s v="SOCIAL"/>
    <s v="PALENA"/>
    <s v="PALENA"/>
    <n v="33"/>
    <s v="LIBRE"/>
    <s v="EJECUCION"/>
    <n v="30474713"/>
    <m/>
    <e v="#N/A"/>
    <s v="30474713EJECUCION"/>
    <s v="2929-102-LQ19"/>
    <s v="ACTUALIZACION PLAN REGULADOR COMUNA DE PALENA (C33)"/>
    <m/>
    <m/>
    <m/>
    <m/>
    <m/>
    <m/>
    <m/>
    <n v="130000000"/>
    <n v="0"/>
    <m/>
    <n v="115000000"/>
    <n v="0"/>
    <n v="115000000"/>
    <n v="0"/>
    <n v="0"/>
    <n v="0"/>
    <n v="0"/>
    <n v="0"/>
    <n v="0"/>
    <n v="0"/>
    <n v="0"/>
    <n v="0"/>
    <n v="0"/>
    <n v="0"/>
    <n v="0"/>
    <m/>
    <n v="15000000"/>
    <s v="RS*"/>
    <s v="C33"/>
    <s v="Licitación Desierta"/>
  </r>
  <r>
    <n v="31"/>
    <s v="A"/>
    <x v="1"/>
    <s v="RURAL"/>
    <s v="CONECTIVIDAD"/>
    <s v="PALENA"/>
    <s v="PALENA"/>
    <n v="33"/>
    <s v="FAR"/>
    <s v="EJECUCION"/>
    <n v="30487244"/>
    <m/>
    <e v="#N/A"/>
    <s v="30487244EJECUCION"/>
    <s v="2929-119-LP19"/>
    <s v="CONSERVACION VEREDAS CALLES DE PALENA (C33)"/>
    <m/>
    <m/>
    <m/>
    <s v="4097 15,11,19"/>
    <n v="68104000"/>
    <m/>
    <m/>
    <n v="68106000"/>
    <n v="0"/>
    <m/>
    <n v="68106000"/>
    <n v="0"/>
    <n v="68106000"/>
    <n v="0"/>
    <n v="0"/>
    <n v="0"/>
    <n v="0"/>
    <n v="0"/>
    <n v="0"/>
    <n v="0"/>
    <n v="0"/>
    <n v="0"/>
    <n v="0"/>
    <n v="0"/>
    <n v="0"/>
    <m/>
    <n v="0"/>
    <s v="RS*"/>
    <s v="C33"/>
    <s v="Licitación Adjudicada"/>
  </r>
  <r>
    <n v="31"/>
    <s v="A"/>
    <x v="1"/>
    <s v="RURAL"/>
    <s v="SOCIAL"/>
    <s v="PALENA"/>
    <s v="PALENA"/>
    <n v="33"/>
    <s v="FAR"/>
    <s v="EJECUCION"/>
    <n v="30135233"/>
    <m/>
    <e v="#N/A"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4814115"/>
    <n v="0"/>
    <n v="494814115"/>
    <n v="0"/>
    <n v="0"/>
    <n v="0"/>
    <n v="0"/>
    <n v="0"/>
    <n v="0"/>
    <n v="0"/>
    <n v="0"/>
    <n v="0"/>
    <n v="0"/>
    <n v="0"/>
    <n v="0"/>
    <m/>
    <n v="1938467885"/>
    <s v="RS"/>
    <s v="RS"/>
    <s v="Licitación Adjudicada"/>
  </r>
  <r>
    <n v="31"/>
    <s v="N"/>
    <x v="1"/>
    <s v="RURAL"/>
    <s v="SOCIAL"/>
    <s v="PALENA"/>
    <s v="PAL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  <s v="RS"/>
    <s v="Convenio en Confección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3445388000"/>
    <n v="0"/>
    <m/>
    <n v="677920115"/>
    <n v="0"/>
    <n v="677920115"/>
    <n v="0"/>
    <n v="0"/>
    <n v="0"/>
    <n v="0"/>
    <n v="0"/>
    <n v="0"/>
    <n v="0"/>
    <n v="0"/>
    <n v="0"/>
    <n v="0"/>
    <n v="0"/>
    <n v="0"/>
    <m/>
    <n v="276746788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COMUNA DE  PALENA"/>
    <m/>
    <m/>
    <m/>
    <m/>
    <m/>
    <m/>
    <m/>
    <n v="4577760000"/>
    <n v="657416086"/>
    <m/>
    <n v="1152876029"/>
    <n v="62992534"/>
    <n v="1089883495"/>
    <n v="0"/>
    <n v="0"/>
    <n v="0"/>
    <n v="0"/>
    <n v="0"/>
    <n v="0"/>
    <n v="5357276"/>
    <n v="0"/>
    <n v="3380268"/>
    <n v="54254990"/>
    <n v="0"/>
    <n v="0"/>
    <m/>
    <n v="276746788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x v="1"/>
    <s v="RURAL"/>
    <s v="CONECTIVIDAD"/>
    <s v="PALENA"/>
    <s v="PROV. PALENA"/>
    <n v="34"/>
    <s v="PV"/>
    <s v="EJECUCION"/>
    <n v="30342673"/>
    <s v="V"/>
    <s v="Fabricio Carra Paredes"/>
    <s v="30342673EJECUCION"/>
    <m/>
    <s v="CONSTRUCION CAMINO RUTA  W 807 SECTOR PUENTE NEGRO PTE. AQUELLAS"/>
    <m/>
    <m/>
    <m/>
    <m/>
    <m/>
    <m/>
    <m/>
    <n v="9788091000"/>
    <n v="131704474"/>
    <m/>
    <n v="139652045"/>
    <n v="1580902"/>
    <n v="138071143"/>
    <n v="0"/>
    <n v="0"/>
    <n v="0"/>
    <n v="0"/>
    <n v="0"/>
    <n v="1491328"/>
    <n v="0"/>
    <n v="0"/>
    <n v="0"/>
    <n v="0"/>
    <n v="89574"/>
    <n v="0"/>
    <m/>
    <n v="9516734481"/>
    <s v="RS"/>
    <s v="RS"/>
    <s v="En Ejecución "/>
  </r>
  <r>
    <n v="31"/>
    <s v="A"/>
    <x v="1"/>
    <s v="RURAL"/>
    <s v="CONECTIVIDAD"/>
    <s v="PALENA"/>
    <s v="PROV. PALENA"/>
    <n v="34"/>
    <s v="PV"/>
    <s v="EJECUCION"/>
    <n v="30342679"/>
    <s v="V"/>
    <s v="Fabricio Carra Paredes"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3996901413"/>
    <n v="82943000"/>
    <n v="0"/>
    <n v="0"/>
    <n v="0"/>
    <n v="0"/>
    <n v="0"/>
    <n v="0"/>
    <n v="996348803"/>
    <n v="305238896"/>
    <n v="659311844"/>
    <n v="1004277006"/>
    <n v="869201596"/>
    <n v="162523268"/>
    <m/>
    <n v="208240728"/>
    <s v="RS*"/>
    <s v="C33"/>
    <s v="En Ejecución "/>
  </r>
  <r>
    <n v="29"/>
    <s v="N"/>
    <x v="6"/>
    <s v="URBANO"/>
    <s v="SALUD"/>
    <s v="PALENA"/>
    <s v="PROV. PALENA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m/>
    <m/>
    <m/>
    <m/>
    <m/>
    <n v="0"/>
    <n v="6378765"/>
    <n v="0"/>
    <n v="0"/>
    <n v="0"/>
    <m/>
    <m/>
    <m/>
    <n v="48318134"/>
    <s v="RS*"/>
    <s v="C33"/>
    <s v="En Ejecución "/>
  </r>
  <r>
    <n v="31"/>
    <s v="A"/>
    <x v="1"/>
    <s v="RURAL"/>
    <s v="CONECTIVIDAD"/>
    <s v="PALENA"/>
    <s v="PROV. PALENA"/>
    <n v="34"/>
    <s v="PV"/>
    <s v="EJECUCION"/>
    <n v="30371674"/>
    <s v="V"/>
    <s v="Fabricio Carra Paredes"/>
    <s v="30371674EJECUCION"/>
    <m/>
    <s v="REPOSICION TERMINAL PORTUARIO DE CHAITEN"/>
    <m/>
    <m/>
    <m/>
    <m/>
    <m/>
    <m/>
    <m/>
    <n v="2400000000"/>
    <n v="557673192"/>
    <m/>
    <n v="717057000"/>
    <n v="419806542"/>
    <n v="297250458"/>
    <n v="0"/>
    <n v="0"/>
    <n v="0"/>
    <n v="0"/>
    <n v="0"/>
    <n v="0"/>
    <n v="0"/>
    <n v="0"/>
    <n v="0"/>
    <n v="0"/>
    <n v="0"/>
    <n v="419806542"/>
    <m/>
    <n v="1125269808"/>
    <s v="RS"/>
    <s v="RS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17684436000"/>
    <n v="1842940626"/>
    <m/>
    <n v="4942932223"/>
    <n v="4424667622"/>
    <n v="518264601"/>
    <n v="0"/>
    <n v="0"/>
    <n v="0"/>
    <n v="0"/>
    <n v="0"/>
    <n v="1491328"/>
    <n v="1002727568"/>
    <n v="305238896"/>
    <n v="659311844"/>
    <n v="1004277006"/>
    <n v="869291170"/>
    <n v="582329810"/>
    <m/>
    <n v="1089856315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4"/>
    <s v="RURAL"/>
    <s v="SOCIAL"/>
    <s v="PALENA"/>
    <s v="PROV. PALENA"/>
    <n v="34"/>
    <s v="LIBRE"/>
    <s v="EJECUCION"/>
    <n v="30398377"/>
    <m/>
    <e v="#N/A"/>
    <s v="30398377EJECUCION"/>
    <m/>
    <s v="ADQUISICION EQUIPOS GPS BIENES NACIONALES PALENA (C33)"/>
    <m/>
    <m/>
    <m/>
    <m/>
    <m/>
    <m/>
    <m/>
    <n v="33689000"/>
    <n v="0"/>
    <m/>
    <n v="33689000"/>
    <n v="0"/>
    <n v="33689000"/>
    <n v="0"/>
    <n v="0"/>
    <n v="0"/>
    <n v="0"/>
    <n v="0"/>
    <n v="0"/>
    <n v="0"/>
    <n v="0"/>
    <n v="0"/>
    <n v="0"/>
    <n v="0"/>
    <n v="0"/>
    <m/>
    <n v="0"/>
    <s v="RS*"/>
    <s v="C33"/>
    <s v="Convenio en Tramite"/>
  </r>
  <r>
    <n v="31"/>
    <s v="A"/>
    <x v="1"/>
    <s v="RURAL"/>
    <s v="CONECTIVIDAD"/>
    <s v="PALENA"/>
    <s v="PROV. PALENA"/>
    <n v="34"/>
    <s v="PV"/>
    <s v="EJECUCION"/>
    <n v="30384677"/>
    <s v="V"/>
    <e v="#N/A"/>
    <s v="30384677EJECUCION"/>
    <m/>
    <s v="MEJORAMIENTO RUTA 235-CH SECTOR V. S. LUCIA-P. RAMIREZ, PROV. PALENA"/>
    <m/>
    <m/>
    <m/>
    <m/>
    <m/>
    <m/>
    <m/>
    <n v="25923943000"/>
    <n v="0"/>
    <m/>
    <n v="914406005"/>
    <n v="0"/>
    <n v="914406005"/>
    <n v="0"/>
    <n v="0"/>
    <n v="0"/>
    <n v="0"/>
    <n v="0"/>
    <n v="0"/>
    <n v="0"/>
    <n v="0"/>
    <n v="0"/>
    <n v="0"/>
    <n v="0"/>
    <n v="0"/>
    <m/>
    <n v="25009536995"/>
    <s v="RS"/>
    <s v="RS"/>
    <s v="Convenio en Confección"/>
  </r>
  <r>
    <n v="31"/>
    <s v="A"/>
    <x v="1"/>
    <s v="RURAL"/>
    <s v="CONECTIVIDAD"/>
    <s v="PALENA"/>
    <s v="PROV. PALENA"/>
    <n v="34"/>
    <s v="FAR"/>
    <s v="EJECUCION"/>
    <n v="30468388"/>
    <m/>
    <s v="Fabricio Carra Paredes"/>
    <s v="30468388EJECUCION"/>
    <m/>
    <s v="AMPLIACION AREA DE MOVIMIENTO PEQUEÑO AERODROMO ALTO PALENA"/>
    <m/>
    <m/>
    <m/>
    <m/>
    <m/>
    <m/>
    <m/>
    <n v="425541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5541000"/>
    <s v="RS"/>
    <s v="RS"/>
    <s v="Convenio en Tramite"/>
  </r>
  <r>
    <n v="31"/>
    <s v="A"/>
    <x v="1"/>
    <s v="URBANO"/>
    <s v="CONECTIVIDAD"/>
    <s v="PALENA"/>
    <s v="PROV. PALENA"/>
    <n v="34"/>
    <s v="FAR"/>
    <s v="EJECUCION"/>
    <n v="30458729"/>
    <m/>
    <s v="Fabricio Carra Paredes"/>
    <s v="30458729EJECUCION"/>
    <m/>
    <s v="MEJORAMIENTO AREA DE MOVIMIENTO PEQUEÑO AERODROMO AYACARA"/>
    <m/>
    <m/>
    <m/>
    <m/>
    <m/>
    <m/>
    <m/>
    <n v="742950000"/>
    <n v="0"/>
    <m/>
    <n v="742950000"/>
    <n v="0"/>
    <n v="742950000"/>
    <n v="0"/>
    <n v="0"/>
    <n v="0"/>
    <n v="0"/>
    <n v="0"/>
    <n v="0"/>
    <n v="0"/>
    <n v="0"/>
    <n v="0"/>
    <n v="0"/>
    <n v="0"/>
    <n v="0"/>
    <m/>
    <n v="0"/>
    <s v="RS"/>
    <s v="RS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7126123000"/>
    <n v="0"/>
    <m/>
    <n v="1941045005"/>
    <n v="0"/>
    <n v="1941045005"/>
    <n v="0"/>
    <n v="0"/>
    <n v="0"/>
    <n v="0"/>
    <n v="0"/>
    <n v="0"/>
    <n v="0"/>
    <n v="0"/>
    <n v="0"/>
    <n v="0"/>
    <n v="0"/>
    <n v="0"/>
    <m/>
    <n v="2518507799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 PROVINCIALES"/>
    <m/>
    <m/>
    <m/>
    <m/>
    <m/>
    <m/>
    <m/>
    <n v="44810559000"/>
    <n v="1842940626"/>
    <m/>
    <n v="6883977228"/>
    <n v="4424667622"/>
    <n v="2459309606"/>
    <n v="0"/>
    <n v="0"/>
    <n v="0"/>
    <n v="0"/>
    <n v="0"/>
    <n v="1491328"/>
    <n v="1002727568"/>
    <n v="305238896"/>
    <n v="659311844"/>
    <n v="1004277006"/>
    <n v="869291170"/>
    <n v="582329810"/>
    <m/>
    <n v="36083641146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OVINCIA DE PALENA"/>
    <m/>
    <m/>
    <m/>
    <m/>
    <m/>
    <m/>
    <m/>
    <n v="78850978922"/>
    <n v="10487580278"/>
    <m/>
    <n v="14415978013"/>
    <n v="6065476811"/>
    <n v="8350501202"/>
    <n v="0"/>
    <n v="0"/>
    <n v="0"/>
    <n v="0"/>
    <n v="0"/>
    <n v="116296398"/>
    <n v="1346603055"/>
    <n v="447190203"/>
    <n v="1234895134"/>
    <n v="1224982683"/>
    <n v="1092307314"/>
    <n v="603202024"/>
    <m/>
    <n v="53947420631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x v="3"/>
    <s v="URBANO"/>
    <s v="SOCIAL"/>
    <s v="REGIONAL"/>
    <s v="REGIONAL"/>
    <n v="35"/>
    <s v="LIBRE"/>
    <s v="EJECUCION"/>
    <n v="30137152"/>
    <m/>
    <s v="PAULINA HUIDOBRO JARAMI"/>
    <s v="30137152EJECUCION"/>
    <m/>
    <s v="EQUIPAMIENTO DE RESCATE Y REPOSICION VEHICULOS PARA GOPE(C33)"/>
    <m/>
    <m/>
    <m/>
    <m/>
    <m/>
    <m/>
    <m/>
    <n v="247558000"/>
    <n v="223324087"/>
    <m/>
    <n v="24233913"/>
    <n v="0"/>
    <n v="24233913"/>
    <n v="0"/>
    <n v="0"/>
    <n v="0"/>
    <n v="0"/>
    <n v="0"/>
    <n v="0"/>
    <n v="0"/>
    <n v="0"/>
    <n v="0"/>
    <n v="0"/>
    <n v="0"/>
    <n v="0"/>
    <m/>
    <n v="0"/>
    <s v="RS*"/>
    <s v="C33"/>
    <s v="En Ejecución "/>
  </r>
  <r>
    <n v="29"/>
    <s v="A"/>
    <x v="9"/>
    <s v="URBANO"/>
    <s v="MEDIO AMBIENTE"/>
    <s v="REGIONAL"/>
    <s v="REGIONAL"/>
    <n v="35"/>
    <s v="LIBRE"/>
    <s v="EJECUCION"/>
    <n v="40016016"/>
    <m/>
    <e v="#N/A"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  <s v="C33"/>
    <s v="En Ejecución "/>
  </r>
  <r>
    <n v="29"/>
    <s v="A"/>
    <x v="6"/>
    <s v="URBANO"/>
    <s v="SOCIAL"/>
    <s v="REGIONAL"/>
    <s v="REGIONAL"/>
    <n v="35"/>
    <s v="LIBRE"/>
    <s v="EJECUCION"/>
    <n v="30488894"/>
    <m/>
    <s v="KARIN DEL CARMEN BARRIENTOS WINTER"/>
    <s v="30488894EJECUCION"/>
    <m/>
    <s v="ADQUISICION EQUIPOS Y EQUIPAMIENTO PARA HABILITACION PABELLON CMA (C33)"/>
    <m/>
    <m/>
    <m/>
    <m/>
    <m/>
    <m/>
    <m/>
    <n v="1055427000"/>
    <n v="353735369"/>
    <m/>
    <n v="544127399"/>
    <n v="14320520"/>
    <n v="529806879"/>
    <n v="0"/>
    <n v="0"/>
    <n v="0"/>
    <n v="0"/>
    <n v="0"/>
    <n v="0"/>
    <n v="0"/>
    <n v="0"/>
    <n v="0"/>
    <n v="11005120"/>
    <n v="3315400"/>
    <n v="0"/>
    <m/>
    <n v="157564232"/>
    <s v="RS*"/>
    <s v="C33"/>
    <s v="En Ejecución "/>
  </r>
  <r>
    <n v="31"/>
    <s v="A"/>
    <x v="6"/>
    <s v="URBANO"/>
    <s v="SOCIAL"/>
    <s v="REGIONAL"/>
    <s v="REGIONAL"/>
    <n v="35"/>
    <s v="LIBRE"/>
    <s v="EJECUCION"/>
    <n v="30364305"/>
    <m/>
    <s v="PAULINA HUIDOBRO JARAMI"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  <s v="RS"/>
    <s v="En Ejecución "/>
  </r>
  <r>
    <n v="31"/>
    <s v="A"/>
    <x v="4"/>
    <s v="URBANO"/>
    <s v="SOCIAL"/>
    <s v="REGIONAL"/>
    <s v="REGIONAL"/>
    <n v="35"/>
    <s v="LIBRE"/>
    <s v="EJECUCION"/>
    <n v="30460140"/>
    <m/>
    <s v="PAULINA HUIDOBRO JARAMI"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  <s v="C33"/>
    <s v="En Ejecución "/>
  </r>
  <r>
    <n v="33"/>
    <s v="N"/>
    <x v="1"/>
    <s v="URBANO"/>
    <s v="CONECTIVIDAD"/>
    <s v="REGIONAL"/>
    <s v="REGIONAL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519167000"/>
    <n v="0"/>
    <m/>
    <n v="2519167000"/>
    <n v="588242000"/>
    <n v="1930925000"/>
    <n v="0"/>
    <n v="0"/>
    <n v="0"/>
    <n v="0"/>
    <n v="0"/>
    <n v="0"/>
    <n v="164200000"/>
    <n v="123800000"/>
    <n v="299500000"/>
    <n v="0"/>
    <n v="742000"/>
    <n v="0"/>
    <m/>
    <n v="0"/>
    <s v="RS"/>
    <s v="FAR"/>
    <s v="En Ejecución "/>
  </r>
  <r>
    <n v="33"/>
    <s v="N"/>
    <x v="4"/>
    <s v="URBANO"/>
    <s v="SOCIAL"/>
    <s v="REGIONAL"/>
    <s v="REGIONAL"/>
    <n v="35"/>
    <s v="FRIL"/>
    <s v="EJECUCION"/>
    <s v="FRIL"/>
    <m/>
    <m/>
    <s v="FRILEJECUCION"/>
    <m/>
    <s v="FONDO REGIONAL DE INICIATIVAS LOCAL"/>
    <m/>
    <m/>
    <m/>
    <m/>
    <m/>
    <m/>
    <m/>
    <n v="1740827000"/>
    <n v="0"/>
    <m/>
    <n v="1731354938"/>
    <n v="0"/>
    <n v="1731354938"/>
    <m/>
    <m/>
    <m/>
    <m/>
    <m/>
    <n v="0"/>
    <m/>
    <n v="0"/>
    <n v="0"/>
    <n v="0"/>
    <n v="0"/>
    <n v="0"/>
    <m/>
    <n v="9472062"/>
    <s v="RS**"/>
    <s v="FRIL"/>
    <s v="En Ejecución "/>
  </r>
  <r>
    <n v="24"/>
    <s v="N"/>
    <x v="8"/>
    <s v="RURAL"/>
    <s v="SOCIAL"/>
    <s v="REGIONAL"/>
    <s v="REGIONAL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2574984000"/>
    <n v="0"/>
    <m/>
    <n v="1929760895"/>
    <n v="0"/>
    <n v="1929760895"/>
    <n v="0"/>
    <n v="0"/>
    <n v="0"/>
    <n v="0"/>
    <n v="0"/>
    <n v="0"/>
    <n v="0"/>
    <n v="0"/>
    <n v="0"/>
    <n v="0"/>
    <n v="0"/>
    <n v="0"/>
    <m/>
    <n v="645223105"/>
    <s v="RS***"/>
    <s v="SS.EE"/>
    <s v="En Ejecución "/>
  </r>
  <r>
    <n v="24"/>
    <s v="N"/>
    <x v="8"/>
    <s v="RURAL"/>
    <s v="SOCIAL"/>
    <s v="REGIONAL"/>
    <s v="REGIONAL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665771000"/>
    <n v="0"/>
    <n v="665771000"/>
    <n v="0"/>
    <n v="0"/>
    <n v="0"/>
    <n v="0"/>
    <n v="0"/>
    <n v="0"/>
    <n v="0"/>
    <n v="0"/>
    <n v="0"/>
    <n v="0"/>
    <n v="0"/>
    <n v="0"/>
    <m/>
    <n v="0"/>
    <s v="RS***"/>
    <s v="SS.EE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0"/>
    <n v="0"/>
    <n v="0"/>
    <n v="0"/>
    <n v="0"/>
    <n v="0"/>
    <n v="0"/>
    <n v="0"/>
    <n v="0"/>
    <n v="0"/>
    <n v="0"/>
    <n v="0"/>
    <n v="0"/>
    <n v="0"/>
    <n v="0"/>
    <m/>
    <n v="815487000"/>
    <s v="RS***"/>
    <n v="0.06"/>
    <s v="En Ejecución "/>
  </r>
  <r>
    <n v="24"/>
    <s v="N"/>
    <x v="4"/>
    <s v="RURAL"/>
    <s v="SOCIAL"/>
    <s v="REGIONAL"/>
    <s v="REGIONAL"/>
    <n v="35"/>
    <s v="LIBRE"/>
    <s v="EJECUCION"/>
    <s v="S/C"/>
    <m/>
    <m/>
    <s v="S/CEJECUCION"/>
    <m/>
    <s v="APLICACION NUMERAL 2.1 GLOSA COMUN PARA GOBIERNOS REGIONALES"/>
    <m/>
    <m/>
    <m/>
    <m/>
    <m/>
    <m/>
    <m/>
    <n v="3962058000"/>
    <n v="0"/>
    <m/>
    <n v="4676274000"/>
    <n v="1271325"/>
    <n v="4675002675"/>
    <n v="0"/>
    <n v="0"/>
    <n v="0"/>
    <n v="0"/>
    <n v="0"/>
    <n v="0"/>
    <n v="0"/>
    <n v="0"/>
    <n v="0"/>
    <n v="0"/>
    <n v="1271325"/>
    <n v="0"/>
    <m/>
    <n v="-714216000"/>
    <s v="RS***"/>
    <n v="0.06"/>
    <s v="En Ejecución 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1468641268"/>
    <n v="5914276781"/>
    <m/>
    <n v="14201571305"/>
    <n v="2683181697"/>
    <n v="11518389608"/>
    <n v="0"/>
    <n v="0"/>
    <n v="0"/>
    <n v="0"/>
    <n v="0"/>
    <n v="126029924"/>
    <n v="288108393"/>
    <n v="563582234"/>
    <n v="501918326"/>
    <n v="309085677"/>
    <n v="436574018"/>
    <n v="457883125"/>
    <m/>
    <n v="135279318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x v="4"/>
    <s v="URBANO"/>
    <s v="SOCIAL"/>
    <s v="REGIONAL"/>
    <s v="REGIONAL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"/>
    <m/>
    <m/>
    <m/>
    <m/>
    <m/>
    <m/>
    <n v="201000000"/>
    <n v="0"/>
    <m/>
    <n v="120000000"/>
    <n v="0"/>
    <n v="120000000"/>
    <m/>
    <m/>
    <m/>
    <m/>
    <m/>
    <n v="0"/>
    <n v="0"/>
    <n v="0"/>
    <n v="0"/>
    <n v="0"/>
    <n v="0"/>
    <n v="0"/>
    <m/>
    <n v="81000000"/>
    <s v="RS**"/>
    <m/>
    <s v="Convenio en Tramite"/>
  </r>
  <r>
    <n v="29"/>
    <s v="N"/>
    <x v="3"/>
    <s v="URBANO"/>
    <s v="SOCIAL"/>
    <s v="REGIONAL"/>
    <s v="REGIONAL"/>
    <n v="35"/>
    <s v="LIBRE"/>
    <s v="EJECUCION"/>
    <s v="S/C"/>
    <m/>
    <m/>
    <s v="S/CEJECUCION"/>
    <m/>
    <s v="ACUERDO REGIONAL DE SEGURIDAD LOS LAGOS ENTRE GORE-CARABINEROS-PDI 2020-2023"/>
    <s v="* CERT. CORE 34 07.02.20 - APRUEBA INICIATIVA CARGO FNDR"/>
    <m/>
    <m/>
    <m/>
    <m/>
    <m/>
    <m/>
    <n v="8225679730"/>
    <n v="0"/>
    <m/>
    <n v="0"/>
    <n v="0"/>
    <n v="0"/>
    <m/>
    <m/>
    <m/>
    <m/>
    <m/>
    <n v="0"/>
    <n v="0"/>
    <n v="0"/>
    <n v="0"/>
    <m/>
    <n v="0"/>
    <n v="0"/>
    <m/>
    <n v="8225679730"/>
    <s v="RS**"/>
    <s v="ACUERDOS"/>
    <s v="Convenio en Tramite"/>
  </r>
  <r>
    <n v="31"/>
    <s v="N"/>
    <x v="4"/>
    <s v="URBANO"/>
    <s v="CONECTIVIDAD"/>
    <s v="REGIONAL"/>
    <s v="REGIONAL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m/>
    <m/>
    <m/>
    <m/>
    <m/>
    <n v="0"/>
    <n v="0"/>
    <n v="0"/>
    <n v="0"/>
    <n v="0"/>
    <m/>
    <m/>
    <m/>
    <n v="5484512000"/>
    <s v="RE"/>
    <s v="RE"/>
    <s v="Convenio en confección"/>
  </r>
  <r>
    <n v="33"/>
    <s v="A"/>
    <x v="11"/>
    <s v="RURAL"/>
    <s v="SOCIAL"/>
    <s v="REGIONAL"/>
    <s v="REGIONAL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700000000"/>
    <n v="0"/>
    <n v="700000000"/>
    <n v="0"/>
    <n v="0"/>
    <n v="0"/>
    <n v="0"/>
    <n v="0"/>
    <n v="0"/>
    <n v="0"/>
    <n v="0"/>
    <n v="0"/>
    <n v="0"/>
    <n v="0"/>
    <n v="0"/>
    <m/>
    <n v="1400000000"/>
    <s v="RS**"/>
    <s v="ACUERDOS"/>
    <m/>
  </r>
  <r>
    <n v="29"/>
    <s v="A"/>
    <x v="3"/>
    <s v="URBANO"/>
    <s v="SOCIAL"/>
    <s v="REGIONAL"/>
    <s v="REGIONAL"/>
    <n v="35"/>
    <s v="LIBRE"/>
    <s v="EJECUCION"/>
    <n v="40008200"/>
    <m/>
    <e v="#N/A"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4473000"/>
    <n v="0"/>
    <m/>
    <n v="244473000"/>
    <n v="0"/>
    <n v="244473000"/>
    <n v="0"/>
    <n v="0"/>
    <n v="0"/>
    <n v="0"/>
    <n v="0"/>
    <n v="0"/>
    <n v="0"/>
    <n v="0"/>
    <n v="0"/>
    <n v="0"/>
    <n v="0"/>
    <n v="0"/>
    <m/>
    <n v="0"/>
    <s v="RS*"/>
    <s v="C33"/>
    <s v="En Licitación"/>
  </r>
  <r>
    <n v="33"/>
    <s v="N"/>
    <x v="3"/>
    <s v="URBANO"/>
    <s v="SOCIAL"/>
    <s v="REGIONAL"/>
    <s v="REGIONAL"/>
    <n v="35"/>
    <s v="LIBRE"/>
    <s v="EJECUCION"/>
    <n v="40016388"/>
    <m/>
    <m/>
    <s v="40016388EJECUCION"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m/>
    <m/>
    <m/>
    <m/>
    <m/>
    <n v="0"/>
    <n v="0"/>
    <n v="0"/>
    <n v="0"/>
    <n v="0"/>
    <n v="0"/>
    <n v="0"/>
    <m/>
    <n v="0"/>
    <s v="RS"/>
    <s v="ACUERDOS"/>
    <s v="En Ejecución"/>
  </r>
  <r>
    <n v="22"/>
    <s v="A"/>
    <x v="4"/>
    <s v="RURAL"/>
    <s v="SOCIAL"/>
    <s v="REGIONAL"/>
    <s v="REGIONAL"/>
    <n v="35"/>
    <s v="LIBRE"/>
    <s v="EJECUCION"/>
    <n v="30430874"/>
    <m/>
    <e v="#N/A"/>
    <s v="30430874EJECUCION"/>
    <m/>
    <s v="ACTUALIZACION MODIFICACION Y REESTRUCTURACION DE LA PROPUESTA PROT (C33)"/>
    <m/>
    <m/>
    <m/>
    <m/>
    <m/>
    <m/>
    <m/>
    <n v="413944000"/>
    <n v="0"/>
    <m/>
    <n v="213944000"/>
    <n v="0"/>
    <n v="213944000"/>
    <n v="0"/>
    <n v="0"/>
    <n v="0"/>
    <n v="0"/>
    <n v="0"/>
    <n v="0"/>
    <n v="0"/>
    <n v="0"/>
    <n v="0"/>
    <n v="0"/>
    <n v="0"/>
    <n v="0"/>
    <m/>
    <n v="200000000"/>
    <s v="RS*"/>
    <s v="C33"/>
    <s v="Convenio en Tramite"/>
  </r>
  <r>
    <n v="31"/>
    <s v="N"/>
    <x v="1"/>
    <s v="RURAL"/>
    <s v="CONECTIVIDAD"/>
    <s v="REGIONAL"/>
    <s v="REGIONAL"/>
    <n v="35"/>
    <s v="LIBRE"/>
    <s v="EJECUCION"/>
    <n v="40020262"/>
    <s v="AC. COMPL."/>
    <m/>
    <s v="40020262EJECUCION"/>
    <m/>
    <s v="CONSERVACION DIVERSOS CAMINOS NO ENROLADOS DE LA REGION"/>
    <s v="* CERT. CORE 33 07.02.20 - APRUEBA / CERT. CORE 96 03.2020 APRUEBA CARTERA"/>
    <m/>
    <m/>
    <m/>
    <m/>
    <m/>
    <m/>
    <n v="550000000"/>
    <n v="0"/>
    <m/>
    <n v="104000000"/>
    <n v="0"/>
    <n v="104000000"/>
    <m/>
    <m/>
    <m/>
    <m/>
    <m/>
    <m/>
    <n v="0"/>
    <n v="0"/>
    <n v="0"/>
    <n v="0"/>
    <n v="0"/>
    <n v="0"/>
    <m/>
    <n v="446000000"/>
    <s v="RS*"/>
    <s v="C33"/>
    <s v="Convenio en Tramite"/>
  </r>
  <r>
    <n v="31"/>
    <s v="N"/>
    <x v="1"/>
    <s v="RURAL"/>
    <s v="CONECTIVIDAD"/>
    <s v="REGIONAL"/>
    <s v="REGIONAL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1400000000"/>
    <n v="0"/>
    <n v="1400000000"/>
    <m/>
    <m/>
    <m/>
    <m/>
    <m/>
    <n v="0"/>
    <n v="0"/>
    <n v="0"/>
    <n v="0"/>
    <n v="0"/>
    <n v="0"/>
    <n v="0"/>
    <m/>
    <n v="628090000"/>
    <s v="RS*"/>
    <s v="C33"/>
    <s v="Convenio en Tramite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21547698730"/>
    <n v="0"/>
    <m/>
    <n v="5082417000"/>
    <n v="0"/>
    <n v="5082417000"/>
    <n v="0"/>
    <n v="0"/>
    <n v="0"/>
    <n v="0"/>
    <n v="0"/>
    <n v="0"/>
    <n v="0"/>
    <n v="0"/>
    <n v="0"/>
    <n v="0"/>
    <n v="0"/>
    <n v="0"/>
    <m/>
    <n v="1646528173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REGIONAL"/>
    <m/>
    <m/>
    <m/>
    <m/>
    <m/>
    <m/>
    <m/>
    <n v="43016339998"/>
    <n v="5914276781"/>
    <m/>
    <n v="19283988305"/>
    <n v="2683181697"/>
    <n v="16600806608"/>
    <n v="0"/>
    <n v="0"/>
    <n v="0"/>
    <n v="0"/>
    <n v="0"/>
    <n v="126029924"/>
    <n v="288108393"/>
    <n v="563582234"/>
    <n v="501918326"/>
    <n v="309085677"/>
    <n v="436574018"/>
    <n v="457883125"/>
    <m/>
    <n v="17818074912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x v="11"/>
    <s v="RURAL"/>
    <s v="FOMENTO PRODUCTIVO"/>
    <s v="FOMENTO"/>
    <s v="FOMENTO"/>
    <n v="36"/>
    <s v="PV"/>
    <s v="SEREMI DE AGRICULTURA"/>
    <n v="30341175"/>
    <s v="V"/>
    <s v="Luisa Adela  Macias Bahamonde"/>
    <s v="30341175SEREMI DE AGRICULTURA"/>
    <m/>
    <s v="PROGRAMA MEJORAMIENTO GENETICO OVINO/BOVINO TPV"/>
    <m/>
    <m/>
    <n v="622551000"/>
    <m/>
    <n v="600000000"/>
    <m/>
    <m/>
    <n v="600000000"/>
    <n v="256299083"/>
    <m/>
    <n v="341901000"/>
    <n v="40000000"/>
    <n v="301901000"/>
    <n v="0"/>
    <n v="0"/>
    <n v="0"/>
    <n v="0"/>
    <n v="0"/>
    <n v="0"/>
    <n v="0"/>
    <n v="0"/>
    <n v="0"/>
    <n v="40000000"/>
    <n v="0"/>
    <n v="0"/>
    <m/>
    <n v="1799917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59926000"/>
    <m/>
    <n v="74219000"/>
    <m/>
    <m/>
    <n v="74219000"/>
    <m/>
    <m/>
    <m/>
    <m/>
    <m/>
    <m/>
    <m/>
    <m/>
    <m/>
    <m/>
    <m/>
    <m/>
    <m/>
    <m/>
    <m/>
    <m/>
    <m/>
    <m/>
    <n v="74219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537030000"/>
    <m/>
    <n v="494461000"/>
    <m/>
    <m/>
    <n v="494461000"/>
    <m/>
    <m/>
    <m/>
    <m/>
    <m/>
    <m/>
    <m/>
    <m/>
    <m/>
    <m/>
    <m/>
    <m/>
    <m/>
    <m/>
    <m/>
    <m/>
    <m/>
    <m/>
    <n v="494461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5595000"/>
    <m/>
    <n v="31320000"/>
    <m/>
    <m/>
    <n v="31320000"/>
    <m/>
    <m/>
    <m/>
    <m/>
    <m/>
    <m/>
    <m/>
    <m/>
    <m/>
    <m/>
    <m/>
    <m/>
    <m/>
    <m/>
    <m/>
    <m/>
    <m/>
    <m/>
    <n v="3132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INDAP"/>
    <n v="30341275"/>
    <s v="V"/>
    <s v="Luisa Adela  Macias Bahamonde"/>
    <s v="30341275INDAP"/>
    <m/>
    <s v="TRANSFERENCIA PROGRAMA REGULARIZACION DERECHO APROVECHAMIENTOS DE AGUA"/>
    <m/>
    <m/>
    <n v="198944000"/>
    <m/>
    <n v="203000000"/>
    <m/>
    <m/>
    <n v="203000000"/>
    <n v="184613176"/>
    <m/>
    <n v="3238418"/>
    <n v="0"/>
    <n v="3238418"/>
    <n v="0"/>
    <n v="0"/>
    <n v="0"/>
    <n v="0"/>
    <n v="0"/>
    <n v="0"/>
    <n v="0"/>
    <n v="0"/>
    <n v="0"/>
    <n v="0"/>
    <n v="0"/>
    <n v="0"/>
    <m/>
    <n v="15148406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m/>
    <m/>
    <n v="16000000"/>
    <m/>
    <m/>
    <n v="16000000"/>
    <m/>
    <m/>
    <m/>
    <m/>
    <m/>
    <m/>
    <m/>
    <m/>
    <m/>
    <m/>
    <m/>
    <m/>
    <m/>
    <m/>
    <m/>
    <m/>
    <m/>
    <m/>
    <n v="16000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195389000"/>
    <m/>
    <n v="180000000"/>
    <m/>
    <m/>
    <n v="180000000"/>
    <m/>
    <m/>
    <m/>
    <m/>
    <m/>
    <m/>
    <m/>
    <m/>
    <m/>
    <m/>
    <m/>
    <m/>
    <m/>
    <m/>
    <m/>
    <m/>
    <m/>
    <m/>
    <n v="18000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3555000"/>
    <m/>
    <n v="7000000"/>
    <m/>
    <m/>
    <n v="7000000"/>
    <m/>
    <m/>
    <m/>
    <m/>
    <m/>
    <m/>
    <m/>
    <m/>
    <m/>
    <m/>
    <m/>
    <m/>
    <m/>
    <m/>
    <m/>
    <m/>
    <m/>
    <m/>
    <n v="70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</r>
  <r>
    <n v="33"/>
    <s v="A"/>
    <x v="4"/>
    <s v="RURAL"/>
    <s v="FOMENTO PRODUCTIVO"/>
    <s v="FOMENTO"/>
    <s v="FOMENTO"/>
    <n v="36"/>
    <s v="PV"/>
    <s v="INDAP"/>
    <n v="30341329"/>
    <s v="V"/>
    <s v="Luisa Adela  Macias Bahamonde"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13414000"/>
    <n v="0"/>
    <n v="13414000"/>
    <n v="0"/>
    <n v="0"/>
    <n v="0"/>
    <n v="0"/>
    <n v="0"/>
    <n v="0"/>
    <n v="0"/>
    <n v="0"/>
    <n v="0"/>
    <n v="0"/>
    <n v="0"/>
    <n v="0"/>
    <m/>
    <n v="27593398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1464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28165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804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SEREMI DE AGRICULTURA"/>
    <n v="30419826"/>
    <s v="V"/>
    <s v="Luisa Adela  Macias Bahamonde"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91905000"/>
    <n v="80672000"/>
    <n v="11233000"/>
    <n v="0"/>
    <n v="0"/>
    <n v="0"/>
    <n v="0"/>
    <n v="0"/>
    <n v="0"/>
    <n v="0"/>
    <n v="0"/>
    <n v="0"/>
    <n v="80672000"/>
    <n v="0"/>
    <n v="0"/>
    <m/>
    <n v="2399193"/>
    <s v="RS**"/>
    <s v="S-FICHA"/>
    <s v="En Ejecución "/>
  </r>
  <r>
    <m/>
    <m/>
    <x v="0"/>
    <m/>
    <m/>
    <m/>
    <m/>
    <m/>
    <m/>
    <m/>
    <m/>
    <m/>
    <s v="Luisa Adela  Macias Bahamonde"/>
    <m/>
    <m/>
    <s v="CONTRATACION DEL PROGRAMA"/>
    <m/>
    <m/>
    <n v="387036000"/>
    <m/>
    <n v="300000000"/>
    <m/>
    <m/>
    <n v="300000000"/>
    <m/>
    <m/>
    <m/>
    <n v="0"/>
    <m/>
    <m/>
    <m/>
    <m/>
    <m/>
    <m/>
    <m/>
    <m/>
    <m/>
    <m/>
    <m/>
    <m/>
    <m/>
    <m/>
    <n v="30000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8704000"/>
    <m/>
    <n v="15000000"/>
    <m/>
    <m/>
    <n v="15000000"/>
    <m/>
    <m/>
    <m/>
    <n v="0"/>
    <m/>
    <m/>
    <m/>
    <m/>
    <m/>
    <m/>
    <m/>
    <m/>
    <m/>
    <m/>
    <m/>
    <m/>
    <m/>
    <m/>
    <n v="150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SAG"/>
    <n v="30341424"/>
    <s v="V"/>
    <s v="Luisa Adela  Macias Bahamonde"/>
    <s v="30341424SAG"/>
    <m/>
    <s v="TRANSFERENCIA MONITOREO SITUACION SANITARIA EN BOVINOS Y OVINOS DEL TPV"/>
    <m/>
    <m/>
    <n v="236501000"/>
    <m/>
    <n v="169500000"/>
    <m/>
    <m/>
    <n v="169500000"/>
    <n v="123996879"/>
    <m/>
    <n v="30000000"/>
    <n v="751000"/>
    <n v="29249000"/>
    <n v="0"/>
    <n v="0"/>
    <n v="0"/>
    <n v="0"/>
    <n v="0"/>
    <n v="751000"/>
    <n v="0"/>
    <n v="0"/>
    <n v="0"/>
    <n v="0"/>
    <n v="0"/>
    <n v="0"/>
    <m/>
    <n v="15503121"/>
    <s v="RS**"/>
    <s v="S-FICHA"/>
    <s v="En Ejecución "/>
  </r>
  <r>
    <m/>
    <m/>
    <x v="0"/>
    <m/>
    <m/>
    <m/>
    <m/>
    <m/>
    <m/>
    <m/>
    <m/>
    <m/>
    <s v="Luisa Adela  Macias Bahamonde"/>
    <m/>
    <m/>
    <s v="CONTRATACION DEL PROGRAMA"/>
    <m/>
    <m/>
    <n v="23257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392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SAG"/>
    <n v="30341439"/>
    <s v="V"/>
    <s v="Luisa Adela  Macias Bahamonde"/>
    <s v="30341439SAG"/>
    <m/>
    <s v="TRANSFERENCIA PROGRAMA RECUPERACION SUELO DEGRADADOS EN TPV"/>
    <m/>
    <m/>
    <n v="210000000"/>
    <m/>
    <n v="210000000"/>
    <m/>
    <m/>
    <n v="210000000"/>
    <n v="30699279"/>
    <m/>
    <n v="156560000"/>
    <n v="83620"/>
    <n v="156476380"/>
    <n v="0"/>
    <n v="0"/>
    <n v="0"/>
    <n v="0"/>
    <n v="0"/>
    <n v="83620"/>
    <n v="0"/>
    <n v="0"/>
    <n v="0"/>
    <n v="0"/>
    <n v="0"/>
    <n v="0"/>
    <m/>
    <n v="22740721"/>
    <s v="RS**"/>
    <s v="S-FICHA"/>
    <s v="En Ejecución "/>
  </r>
  <r>
    <m/>
    <m/>
    <x v="0"/>
    <m/>
    <m/>
    <m/>
    <m/>
    <m/>
    <m/>
    <m/>
    <m/>
    <m/>
    <s v="Luisa Adela  Macias Bahamonde"/>
    <m/>
    <m/>
    <s v="CONTRATACION DEL PROGRAMA"/>
    <m/>
    <m/>
    <n v="195467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453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SEREMI DE AGRICULTURA"/>
    <n v="30341173"/>
    <s v="V"/>
    <s v="Luisa Adela  Macias Bahamonde"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230000000"/>
    <n v="90000000"/>
    <n v="140000000"/>
    <n v="0"/>
    <n v="0"/>
    <n v="0"/>
    <n v="0"/>
    <n v="0"/>
    <n v="0"/>
    <n v="0"/>
    <n v="0"/>
    <n v="0"/>
    <n v="90000000"/>
    <n v="0"/>
    <n v="0"/>
    <m/>
    <n v="1579274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58534000"/>
    <m/>
    <n v="58534000"/>
    <m/>
    <m/>
    <n v="58534000"/>
    <m/>
    <m/>
    <m/>
    <n v="0"/>
    <m/>
    <m/>
    <m/>
    <m/>
    <m/>
    <m/>
    <m/>
    <m/>
    <m/>
    <m/>
    <m/>
    <m/>
    <m/>
    <m/>
    <n v="58534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368931000"/>
    <m/>
    <n v="368931000"/>
    <m/>
    <m/>
    <n v="368931000"/>
    <m/>
    <m/>
    <m/>
    <n v="0"/>
    <m/>
    <m/>
    <m/>
    <m/>
    <m/>
    <m/>
    <m/>
    <m/>
    <m/>
    <m/>
    <m/>
    <m/>
    <m/>
    <m/>
    <n v="368931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2535000"/>
    <m/>
    <n v="22535000"/>
    <m/>
    <m/>
    <n v="22535000"/>
    <m/>
    <m/>
    <m/>
    <n v="0"/>
    <m/>
    <m/>
    <m/>
    <m/>
    <m/>
    <m/>
    <m/>
    <m/>
    <m/>
    <m/>
    <m/>
    <m/>
    <m/>
    <m/>
    <n v="22535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PV"/>
    <s v="SEREMI DE AGRICULTURA"/>
    <n v="30329922"/>
    <s v="V"/>
    <s v="Luisa Adela  Macias Bahamonde"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250000000"/>
    <n v="53400000"/>
    <n v="196600000"/>
    <n v="0"/>
    <n v="0"/>
    <n v="0"/>
    <n v="0"/>
    <n v="0"/>
    <n v="0"/>
    <n v="0"/>
    <n v="0"/>
    <n v="0"/>
    <n v="53400000"/>
    <n v="0"/>
    <n v="0"/>
    <m/>
    <n v="36767052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64924000"/>
    <m/>
    <n v="61435000"/>
    <m/>
    <m/>
    <n v="61435000"/>
    <m/>
    <m/>
    <m/>
    <n v="0"/>
    <m/>
    <m/>
    <m/>
    <m/>
    <m/>
    <m/>
    <m/>
    <m/>
    <m/>
    <m/>
    <m/>
    <m/>
    <m/>
    <m/>
    <n v="61435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464441000"/>
    <m/>
    <n v="447365000"/>
    <m/>
    <m/>
    <n v="447365000"/>
    <m/>
    <m/>
    <m/>
    <n v="0"/>
    <m/>
    <m/>
    <m/>
    <m/>
    <m/>
    <m/>
    <m/>
    <m/>
    <m/>
    <m/>
    <m/>
    <m/>
    <m/>
    <m/>
    <n v="447365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8443000"/>
    <m/>
    <n v="21200000"/>
    <m/>
    <m/>
    <n v="21200000"/>
    <m/>
    <m/>
    <m/>
    <n v="0"/>
    <m/>
    <m/>
    <m/>
    <m/>
    <m/>
    <m/>
    <m/>
    <m/>
    <m/>
    <m/>
    <m/>
    <m/>
    <m/>
    <m/>
    <n v="212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SOCIAL"/>
    <s v="FOMENTO"/>
    <s v="FOMENTO"/>
    <n v="36"/>
    <s v="LIBRE"/>
    <s v="SEREMI DE MEDIO AMBIENTE"/>
    <n v="30136320"/>
    <m/>
    <s v="Luisa Adela  Macias Bahamonde"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200000000"/>
    <n v="0"/>
    <n v="200000000"/>
    <n v="0"/>
    <n v="0"/>
    <n v="0"/>
    <n v="0"/>
    <n v="0"/>
    <n v="0"/>
    <n v="0"/>
    <n v="0"/>
    <n v="0"/>
    <n v="0"/>
    <n v="0"/>
    <n v="0"/>
    <m/>
    <n v="90137224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95310000"/>
    <m/>
    <n v="69600000"/>
    <m/>
    <m/>
    <n v="69600000"/>
    <m/>
    <m/>
    <m/>
    <n v="0"/>
    <m/>
    <m/>
    <m/>
    <m/>
    <m/>
    <m/>
    <m/>
    <m/>
    <m/>
    <m/>
    <m/>
    <m/>
    <m/>
    <m/>
    <n v="69600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484535000"/>
    <m/>
    <n v="519600000"/>
    <m/>
    <m/>
    <n v="519600000"/>
    <m/>
    <m/>
    <m/>
    <n v="0"/>
    <m/>
    <m/>
    <m/>
    <m/>
    <m/>
    <m/>
    <m/>
    <m/>
    <m/>
    <m/>
    <m/>
    <m/>
    <m/>
    <m/>
    <n v="51960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0155000"/>
    <m/>
    <n v="10800000"/>
    <m/>
    <m/>
    <n v="10800000"/>
    <m/>
    <m/>
    <m/>
    <n v="0"/>
    <m/>
    <m/>
    <m/>
    <m/>
    <m/>
    <m/>
    <m/>
    <m/>
    <m/>
    <m/>
    <m/>
    <m/>
    <m/>
    <m/>
    <n v="108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FOMENTO PRODUCTIVO"/>
    <s v="FOMENTO"/>
    <s v="FOMENTO"/>
    <n v="36"/>
    <s v="LIBRE"/>
    <s v="INDAP"/>
    <n v="30485206"/>
    <m/>
    <s v="Luisa Adela  Macias Bahamonde"/>
    <s v="30485206INDAP"/>
    <m/>
    <s v="DIFUSION PARA EL FORTALECIMIENTO Y DASARROLLO DEL SITIO SIPAN Y SELLO SIPAN"/>
    <m/>
    <m/>
    <n v="202400000"/>
    <m/>
    <m/>
    <m/>
    <m/>
    <n v="202400000"/>
    <n v="7500000"/>
    <m/>
    <n v="100000000"/>
    <n v="0"/>
    <n v="100000000"/>
    <n v="0"/>
    <n v="0"/>
    <n v="0"/>
    <n v="0"/>
    <n v="0"/>
    <n v="0"/>
    <n v="0"/>
    <n v="0"/>
    <n v="0"/>
    <n v="0"/>
    <n v="0"/>
    <n v="0"/>
    <m/>
    <n v="9490000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30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164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8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FOMENTO PRODUCTIVO"/>
    <s v="FOMENTO"/>
    <s v="FOMENTO"/>
    <n v="36"/>
    <s v="LIBRE"/>
    <s v="INDAP"/>
    <n v="40014803"/>
    <m/>
    <s v="Luisa Adela  Macias Bahamonde"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500000000"/>
    <n v="0"/>
    <n v="500000000"/>
    <n v="0"/>
    <n v="0"/>
    <n v="0"/>
    <n v="0"/>
    <n v="0"/>
    <n v="0"/>
    <n v="0"/>
    <n v="0"/>
    <n v="0"/>
    <n v="0"/>
    <n v="0"/>
    <n v="0"/>
    <m/>
    <n v="26056420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95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65106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8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INDAP"/>
    <n v="30137060"/>
    <m/>
    <s v="RENE CARCAMO ANDRADE"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45892901"/>
    <n v="0"/>
    <n v="45892901"/>
    <n v="0"/>
    <n v="0"/>
    <n v="0"/>
    <n v="0"/>
    <n v="0"/>
    <n v="0"/>
    <n v="0"/>
    <n v="0"/>
    <n v="0"/>
    <n v="0"/>
    <n v="0"/>
    <n v="0"/>
    <m/>
    <n v="250417"/>
    <s v="RS**"/>
    <s v="S-FICHA"/>
    <s v="En Ejecución "/>
  </r>
  <r>
    <m/>
    <m/>
    <x v="0"/>
    <m/>
    <m/>
    <m/>
    <m/>
    <m/>
    <m/>
    <m/>
    <m/>
    <m/>
    <s v="RENE CARCAMO ANDRADE"/>
    <m/>
    <m/>
    <s v="CONSULTORIA"/>
    <m/>
    <m/>
    <n v="9657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RENE CARCAMO ANDRADE"/>
    <m/>
    <m/>
    <s v="CONTRATACION DEL PROGRAMA"/>
    <m/>
    <m/>
    <n v="151101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RENE CARCAMO ANDRADE"/>
    <m/>
    <m/>
    <s v="GASTOS ADMINISTRATIVOS"/>
    <m/>
    <m/>
    <n v="1164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INDAP"/>
    <n v="30433775"/>
    <m/>
    <s v="Luisa Adela  Macias Bahamonde"/>
    <s v="30433775INDAP"/>
    <m/>
    <s v="MEJORAMIENTO DE SUELOS  EN TERRITORIOS INDIGENAS"/>
    <m/>
    <m/>
    <n v="491966000"/>
    <m/>
    <m/>
    <m/>
    <m/>
    <n v="499999334"/>
    <n v="495707192"/>
    <m/>
    <n v="1190000"/>
    <n v="0"/>
    <n v="1190000"/>
    <n v="0"/>
    <n v="0"/>
    <n v="0"/>
    <n v="0"/>
    <n v="0"/>
    <n v="0"/>
    <n v="0"/>
    <n v="0"/>
    <n v="0"/>
    <n v="0"/>
    <n v="0"/>
    <n v="0"/>
    <m/>
    <n v="3102142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73287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40937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930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0"/>
    <s v="RURAL"/>
    <s v="FOMENTO PRODUCTIVO"/>
    <s v="FOMENTO"/>
    <s v="FOMENTO"/>
    <n v="36"/>
    <s v="LIBRE"/>
    <s v="INDAP"/>
    <n v="30378428"/>
    <m/>
    <s v="RENE CARCAMO ANDRADE"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102527826"/>
    <n v="0"/>
    <n v="102527826"/>
    <n v="0"/>
    <n v="0"/>
    <n v="0"/>
    <n v="0"/>
    <n v="0"/>
    <n v="0"/>
    <n v="0"/>
    <n v="0"/>
    <n v="0"/>
    <n v="0"/>
    <n v="0"/>
    <n v="0"/>
    <m/>
    <n v="8474671"/>
    <s v="RS**"/>
    <s v="S-FICHA"/>
    <s v="En Ejecución "/>
  </r>
  <r>
    <m/>
    <m/>
    <x v="0"/>
    <m/>
    <m/>
    <m/>
    <m/>
    <m/>
    <m/>
    <m/>
    <m/>
    <m/>
    <s v="RENE CARCAMO ANDRADE"/>
    <m/>
    <m/>
    <s v="CONTRATACION DEL PROGRAMA"/>
    <m/>
    <m/>
    <n v="19755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RENE CARCAMO ANDRADE"/>
    <m/>
    <m/>
    <s v="GASTOS ADMINISTRATIVOS"/>
    <m/>
    <m/>
    <n v="763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SAG"/>
    <n v="30482019"/>
    <m/>
    <s v="Luisa Adela  Macias Bahamonde"/>
    <s v="30482019SAG"/>
    <m/>
    <s v="ERRADICACION VISON DE LA REGION DE LOS LAGOS"/>
    <m/>
    <m/>
    <n v="413028000"/>
    <m/>
    <m/>
    <m/>
    <m/>
    <n v="400000000"/>
    <n v="145063966"/>
    <m/>
    <n v="196445000"/>
    <n v="6250927"/>
    <n v="190194073"/>
    <n v="0"/>
    <n v="0"/>
    <n v="0"/>
    <n v="0"/>
    <n v="0"/>
    <n v="0"/>
    <n v="0"/>
    <n v="0"/>
    <n v="0"/>
    <n v="6250927"/>
    <n v="0"/>
    <n v="0"/>
    <m/>
    <n v="58491034"/>
    <s v="RS**"/>
    <s v="S-FICHA"/>
    <s v="En Ejecución "/>
  </r>
  <r>
    <m/>
    <m/>
    <x v="0"/>
    <m/>
    <m/>
    <m/>
    <m/>
    <m/>
    <m/>
    <m/>
    <m/>
    <m/>
    <s v="Luisa Adela  Macias Bahamonde"/>
    <m/>
    <m/>
    <s v="CONTRATACION DEL PROGRAMA"/>
    <m/>
    <m/>
    <n v="40787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515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SERCOTEC"/>
    <n v="30349427"/>
    <m/>
    <e v="#N/A"/>
    <s v="30349427SERCOTEC"/>
    <m/>
    <s v="TRANSFERENCIA MEJORAMIENTO DE LA PRODUCTIVIDAD EN AREAS DE MANEJO II"/>
    <m/>
    <m/>
    <n v="540800000"/>
    <m/>
    <m/>
    <m/>
    <m/>
    <n v="540800000"/>
    <n v="516277132"/>
    <m/>
    <n v="24522868"/>
    <n v="0"/>
    <n v="24522868"/>
    <n v="0"/>
    <n v="0"/>
    <n v="0"/>
    <n v="0"/>
    <n v="0"/>
    <n v="0"/>
    <n v="0"/>
    <n v="0"/>
    <n v="0"/>
    <n v="0"/>
    <n v="0"/>
    <n v="0"/>
    <m/>
    <n v="0"/>
    <s v="RS**"/>
    <s v="S-FICHA"/>
    <s v="En Ejecución "/>
  </r>
  <r>
    <m/>
    <m/>
    <x v="0"/>
    <m/>
    <m/>
    <m/>
    <m/>
    <m/>
    <m/>
    <m/>
    <m/>
    <m/>
    <m/>
    <m/>
    <m/>
    <s v="CONSULTORIA"/>
    <m/>
    <m/>
    <n v="53733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s v="CONTRATACION DEL PROGRAMA"/>
    <m/>
    <m/>
    <n v="455862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s v="GASTOS ADMINISTRATIVOS"/>
    <m/>
    <m/>
    <n v="3120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0"/>
    <s v="RURAL"/>
    <s v="FOMENTO PRODUCTIVO"/>
    <s v="FOMENTO"/>
    <s v="FOMENTO"/>
    <n v="36"/>
    <s v="LIBRE"/>
    <s v="SERCOTEC"/>
    <n v="30440729"/>
    <m/>
    <s v="Luisa Adela  Macias Bahamonde"/>
    <s v="30440729SERCOTEC"/>
    <m/>
    <s v="PROGRAMA APOYO INTEGRAL A LAS FERIAS LIBRES"/>
    <m/>
    <m/>
    <n v="360491000"/>
    <m/>
    <m/>
    <m/>
    <m/>
    <n v="320000000"/>
    <n v="297995504"/>
    <m/>
    <n v="15900000"/>
    <n v="0"/>
    <n v="15900000"/>
    <n v="0"/>
    <n v="0"/>
    <n v="0"/>
    <n v="0"/>
    <n v="0"/>
    <n v="0"/>
    <n v="0"/>
    <n v="0"/>
    <n v="0"/>
    <n v="0"/>
    <n v="0"/>
    <n v="0"/>
    <m/>
    <n v="6104496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55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35149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35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SERCOTEC"/>
    <n v="30351343"/>
    <m/>
    <s v="Luisa Adela  Macias Bahamonde"/>
    <s v="30351343SERCOTEC"/>
    <m/>
    <s v="CAPACITACION Y VALORIZACION DE PRODUCTOS AGROPECUARIOS"/>
    <m/>
    <m/>
    <n v="450000000"/>
    <m/>
    <m/>
    <m/>
    <m/>
    <n v="450000000"/>
    <n v="188600072"/>
    <m/>
    <n v="256959328"/>
    <n v="51400000"/>
    <n v="205559328"/>
    <n v="0"/>
    <n v="0"/>
    <n v="0"/>
    <n v="0"/>
    <n v="0"/>
    <n v="0"/>
    <n v="0"/>
    <n v="51400000"/>
    <n v="0"/>
    <n v="0"/>
    <n v="0"/>
    <n v="0"/>
    <m/>
    <n v="444060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552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3721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27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SERNAPESCA"/>
    <n v="30343724"/>
    <m/>
    <s v="Luisa Adela  Macias Bahamonde"/>
    <s v="30343724SERNAPESCA"/>
    <m/>
    <s v="PROGRAMA FOMENTO Y DESARROLLO PESCA ARTESANAL REGION DE LOS LAGOS 2014-2016"/>
    <m/>
    <m/>
    <n v="2160000000"/>
    <m/>
    <m/>
    <m/>
    <m/>
    <n v="2160000000"/>
    <n v="1336907233"/>
    <m/>
    <n v="308417962"/>
    <n v="0"/>
    <n v="308417962"/>
    <n v="0"/>
    <n v="0"/>
    <n v="0"/>
    <n v="0"/>
    <n v="0"/>
    <n v="0"/>
    <n v="0"/>
    <n v="0"/>
    <n v="0"/>
    <n v="0"/>
    <n v="0"/>
    <n v="0"/>
    <m/>
    <n v="514674805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116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20394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46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FOMENTO PRODUCTIVO"/>
    <s v="FOMENTO"/>
    <s v="FOMENTO"/>
    <n v="36"/>
    <s v="LIBRE"/>
    <s v="SUBPESCA"/>
    <n v="30398233"/>
    <m/>
    <s v="Luisa Adela  Macias Bahamonde"/>
    <s v="30398233SUBPESCA"/>
    <m/>
    <s v="RECUPERACION DE DIVERSIDAD PROD DE LA PESCA ARTESANAL"/>
    <m/>
    <m/>
    <n v="900000000"/>
    <m/>
    <m/>
    <m/>
    <m/>
    <n v="900002100"/>
    <n v="475373157"/>
    <m/>
    <n v="308000000"/>
    <n v="14027228"/>
    <n v="293972772"/>
    <n v="0"/>
    <n v="0"/>
    <n v="0"/>
    <n v="0"/>
    <n v="0"/>
    <n v="0"/>
    <n v="0"/>
    <n v="1250000"/>
    <n v="12777228"/>
    <n v="0"/>
    <n v="0"/>
    <n v="0"/>
    <m/>
    <n v="116628943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6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820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0"/>
    <s v="RURAL"/>
    <s v="FOMENTO PRODUCTIVO"/>
    <s v="FOMENTO"/>
    <s v="FOMENTO"/>
    <n v="36"/>
    <s v="LIBRE"/>
    <s v="SERNATUR"/>
    <n v="30342025"/>
    <m/>
    <s v="Luisa Adela  Macias Bahamonde"/>
    <s v="30342025SERNATUR"/>
    <m/>
    <s v="TRANSFERENCIA GESTION DEL TERRITORIO TURISTICO, REGION DE LOS LAGOS "/>
    <m/>
    <m/>
    <n v="971238000"/>
    <m/>
    <m/>
    <m/>
    <m/>
    <n v="700000000"/>
    <n v="645868063"/>
    <m/>
    <n v="54131937"/>
    <n v="20957859"/>
    <n v="33174078"/>
    <n v="0"/>
    <n v="0"/>
    <n v="0"/>
    <n v="0"/>
    <n v="0"/>
    <n v="0"/>
    <n v="0"/>
    <n v="20957859"/>
    <n v="0"/>
    <n v="0"/>
    <n v="0"/>
    <n v="0"/>
    <m/>
    <n v="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56425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383044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3935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1"/>
    <s v="RURAL"/>
    <s v="SOCIAL"/>
    <s v="FOMENTO"/>
    <s v="FOMENTO"/>
    <n v="36"/>
    <s v="LIBRE"/>
    <s v="COMISION NACIONAL DE RIEGO"/>
    <n v="30434988"/>
    <s v="G"/>
    <s v="Luisa Adela  Macias Bahamonde"/>
    <s v="30434988COMISION NACIONAL DE RIEGO"/>
    <m/>
    <s v="TRANSFERENCIA PROGRAMA INTEGRAL DE RIEGO REGION DE LOS LAGOS"/>
    <m/>
    <m/>
    <n v="2000000000"/>
    <m/>
    <m/>
    <m/>
    <m/>
    <n v="2000000000"/>
    <n v="1104986431"/>
    <m/>
    <n v="858870095"/>
    <n v="57028696"/>
    <n v="801841399"/>
    <n v="0"/>
    <n v="0"/>
    <n v="0"/>
    <n v="0"/>
    <n v="0"/>
    <n v="0"/>
    <n v="0"/>
    <n v="0"/>
    <n v="0"/>
    <n v="57028696"/>
    <n v="0"/>
    <n v="0"/>
    <m/>
    <n v="36143474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899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1899901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0199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0"/>
    <s v="RURAL"/>
    <s v="FOMENTO PRODUCTIVO"/>
    <s v="FOMENTO"/>
    <s v="FOMENTO"/>
    <n v="36"/>
    <s v="PV"/>
    <s v="SERNATUR"/>
    <n v="30337226"/>
    <s v="V"/>
    <s v="Luisa Adela  Macias Bahamonde"/>
    <s v="30337226SERNATUR"/>
    <m/>
    <s v="TRANSFERENCIA DESARROLLO DEL T.I.E. EN TERRITORIO PATAGONIA VERDE "/>
    <m/>
    <m/>
    <n v="1781184000"/>
    <m/>
    <m/>
    <m/>
    <m/>
    <n v="1275000000"/>
    <n v="1170998840"/>
    <m/>
    <n v="66000000"/>
    <n v="0"/>
    <n v="66000000"/>
    <n v="0"/>
    <n v="0"/>
    <n v="0"/>
    <n v="0"/>
    <n v="0"/>
    <n v="0"/>
    <n v="0"/>
    <n v="0"/>
    <n v="0"/>
    <n v="0"/>
    <n v="0"/>
    <n v="0"/>
    <m/>
    <n v="3800116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244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152638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10798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SOCIAL"/>
    <s v="FOMENTO"/>
    <s v="FOMENTO"/>
    <n v="36"/>
    <s v="FIC"/>
    <s v="FIC"/>
    <s v="FIC"/>
    <m/>
    <m/>
    <s v="FICFIC"/>
    <m/>
    <s v="FONDO INNOVACION Y COMPETITIVIDAD"/>
    <m/>
    <m/>
    <m/>
    <m/>
    <m/>
    <m/>
    <m/>
    <n v="1542573000"/>
    <n v="0"/>
    <m/>
    <n v="1542573000"/>
    <n v="214072797"/>
    <n v="1328500203"/>
    <n v="0"/>
    <n v="0"/>
    <n v="0"/>
    <n v="0"/>
    <n v="0"/>
    <n v="3100000"/>
    <n v="700000"/>
    <n v="4295797"/>
    <n v="98350000"/>
    <n v="107627000"/>
    <n v="0"/>
    <n v="0"/>
    <m/>
    <n v="0"/>
    <s v="RS**"/>
    <s v="FIC"/>
    <s v="En Ejecución "/>
  </r>
  <r>
    <n v="33"/>
    <s v="A"/>
    <x v="10"/>
    <s v="RURAL"/>
    <s v="FOMENTO PRODUCTIVO"/>
    <s v="FOMENTO"/>
    <s v="FOMENTO"/>
    <n v="36"/>
    <s v="LIBRE"/>
    <s v="SERNAMEG"/>
    <n v="30461825"/>
    <m/>
    <s v="Luisa Adela  Macias Bahamonde"/>
    <s v="30461825SERNAMEG"/>
    <m/>
    <s v="CAPACITACION TRABAJO EN FIBRA ANIMAL Y VEGETAL MUJERES DE CHAITEN"/>
    <m/>
    <m/>
    <n v="172830000"/>
    <m/>
    <n v="172830000"/>
    <m/>
    <m/>
    <n v="172830000"/>
    <n v="28937750"/>
    <m/>
    <n v="88535667"/>
    <n v="59375500"/>
    <n v="29160167"/>
    <n v="0"/>
    <n v="0"/>
    <n v="0"/>
    <n v="0"/>
    <n v="0"/>
    <n v="3000000"/>
    <n v="0"/>
    <n v="31786000"/>
    <n v="0"/>
    <n v="24589500"/>
    <n v="0"/>
    <n v="0"/>
    <m/>
    <n v="55356583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20000000"/>
    <m/>
    <n v="20000000"/>
    <m/>
    <m/>
    <n v="20000000"/>
    <m/>
    <m/>
    <m/>
    <n v="0"/>
    <m/>
    <m/>
    <m/>
    <m/>
    <m/>
    <m/>
    <m/>
    <m/>
    <m/>
    <m/>
    <m/>
    <m/>
    <m/>
    <m/>
    <n v="20000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143933000"/>
    <m/>
    <n v="143930000"/>
    <m/>
    <m/>
    <n v="143930000"/>
    <m/>
    <m/>
    <m/>
    <n v="0"/>
    <m/>
    <m/>
    <m/>
    <m/>
    <m/>
    <m/>
    <m/>
    <m/>
    <m/>
    <m/>
    <m/>
    <m/>
    <m/>
    <m/>
    <n v="14393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8897000"/>
    <m/>
    <n v="8900000"/>
    <m/>
    <m/>
    <n v="8900000"/>
    <m/>
    <m/>
    <m/>
    <n v="0"/>
    <m/>
    <m/>
    <m/>
    <m/>
    <m/>
    <m/>
    <m/>
    <m/>
    <m/>
    <m/>
    <m/>
    <m/>
    <m/>
    <m/>
    <n v="89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10"/>
    <s v="RURAL"/>
    <s v="FOMENTO PRODUCTIVO"/>
    <s v="FOMENTO"/>
    <s v="FOMENTO"/>
    <n v="36"/>
    <s v="LIBRE"/>
    <s v="FOSIS"/>
    <n v="30484364"/>
    <m/>
    <s v="Luisa Adela  Macias Bahamonde"/>
    <s v="30484364FOSIS"/>
    <m/>
    <s v="CAPACITACION DESARROLLO Y FORTALECIMIENTO PERSONAS DISCAPACITADAS"/>
    <m/>
    <m/>
    <n v="230000000"/>
    <m/>
    <n v="230000000"/>
    <m/>
    <m/>
    <n v="230000000"/>
    <n v="223000000"/>
    <m/>
    <n v="7000000"/>
    <n v="0"/>
    <n v="7000000"/>
    <n v="0"/>
    <n v="0"/>
    <n v="0"/>
    <n v="0"/>
    <n v="0"/>
    <n v="0"/>
    <n v="0"/>
    <n v="0"/>
    <n v="0"/>
    <n v="0"/>
    <n v="0"/>
    <n v="0"/>
    <m/>
    <n v="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13000000"/>
    <m/>
    <n v="9600000"/>
    <m/>
    <m/>
    <n v="9600000"/>
    <m/>
    <m/>
    <m/>
    <n v="0"/>
    <m/>
    <m/>
    <m/>
    <m/>
    <m/>
    <m/>
    <m/>
    <m/>
    <m/>
    <m/>
    <m/>
    <m/>
    <m/>
    <m/>
    <n v="9600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210000000"/>
    <m/>
    <n v="213000000"/>
    <m/>
    <m/>
    <n v="213000000"/>
    <m/>
    <m/>
    <m/>
    <n v="0"/>
    <m/>
    <m/>
    <m/>
    <m/>
    <m/>
    <m/>
    <m/>
    <m/>
    <m/>
    <m/>
    <m/>
    <m/>
    <m/>
    <m/>
    <n v="21300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7000000"/>
    <m/>
    <n v="7400000"/>
    <m/>
    <m/>
    <n v="7400000"/>
    <m/>
    <m/>
    <m/>
    <n v="0"/>
    <m/>
    <m/>
    <m/>
    <m/>
    <m/>
    <m/>
    <m/>
    <m/>
    <m/>
    <m/>
    <m/>
    <m/>
    <m/>
    <m/>
    <n v="74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SOCIAL"/>
    <s v="FOMENTO"/>
    <s v="FOMENTO"/>
    <n v="36"/>
    <s v="PV"/>
    <s v="SEREMI DE BIENES NACIONALES"/>
    <n v="30426980"/>
    <s v="V"/>
    <s v="Luisa Adela  Macias Bahamonde"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185000000"/>
    <n v="19609648"/>
    <n v="165390352"/>
    <n v="0"/>
    <n v="0"/>
    <n v="0"/>
    <n v="0"/>
    <n v="0"/>
    <n v="0"/>
    <n v="2282186"/>
    <n v="15391000"/>
    <n v="0"/>
    <n v="1936462"/>
    <n v="0"/>
    <n v="0"/>
    <m/>
    <n v="68882451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60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41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5000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SOCIAL"/>
    <s v="FOMENTO"/>
    <s v="FOMENTO"/>
    <n v="36"/>
    <s v="LIBRE"/>
    <s v="FUNCHI"/>
    <n v="40016769"/>
    <m/>
    <s v="Luisa Adela  Macias Bahamonde"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  <s v="S-FICHA"/>
    <s v="En Ejecución "/>
  </r>
  <r>
    <m/>
    <m/>
    <x v="0"/>
    <m/>
    <m/>
    <m/>
    <m/>
    <m/>
    <m/>
    <m/>
    <m/>
    <m/>
    <s v="Luisa Adela  Macias Bahamonde"/>
    <m/>
    <m/>
    <s v="CONSULTORIA"/>
    <m/>
    <m/>
    <n v="120000000"/>
    <m/>
    <m/>
    <m/>
    <m/>
    <n v="120000000"/>
    <m/>
    <m/>
    <m/>
    <n v="0"/>
    <m/>
    <m/>
    <m/>
    <m/>
    <m/>
    <m/>
    <m/>
    <m/>
    <m/>
    <m/>
    <m/>
    <m/>
    <m/>
    <m/>
    <n v="120000000"/>
    <m/>
    <m/>
    <m/>
  </r>
  <r>
    <m/>
    <m/>
    <x v="0"/>
    <m/>
    <m/>
    <m/>
    <m/>
    <m/>
    <m/>
    <m/>
    <m/>
    <m/>
    <s v="Luisa Adela  Macias Bahamonde"/>
    <m/>
    <m/>
    <s v="CONTRATACION DEL PROGRAMA"/>
    <m/>
    <m/>
    <n v="830000000"/>
    <m/>
    <m/>
    <m/>
    <m/>
    <n v="830000000"/>
    <m/>
    <m/>
    <m/>
    <n v="0"/>
    <m/>
    <m/>
    <m/>
    <m/>
    <m/>
    <m/>
    <m/>
    <m/>
    <m/>
    <m/>
    <m/>
    <m/>
    <m/>
    <m/>
    <n v="83000000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50000000"/>
    <m/>
    <m/>
    <m/>
    <m/>
    <n v="50000000"/>
    <m/>
    <m/>
    <m/>
    <n v="0"/>
    <m/>
    <m/>
    <m/>
    <m/>
    <m/>
    <m/>
    <m/>
    <m/>
    <m/>
    <m/>
    <m/>
    <m/>
    <m/>
    <m/>
    <n v="500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A"/>
    <x v="4"/>
    <s v="RURAL"/>
    <s v="SOCIAL"/>
    <s v="FOMENTO"/>
    <s v="FOMENTO"/>
    <n v="36"/>
    <s v="LIBRE"/>
    <s v="SEREMI DE BIENES NACIONALES"/>
    <n v="40004275"/>
    <m/>
    <s v="Luisa Adela  Macias Bahamonde"/>
    <s v="40004275SEREMI DE BIENES NACIONALES"/>
    <m/>
    <s v="SANEAMIENTO PROGRAMA NACIONAL DE REGULARIZACION &quot;CHILE PROPIETARIO&quot;"/>
    <m/>
    <m/>
    <m/>
    <m/>
    <m/>
    <m/>
    <m/>
    <n v="1200000000"/>
    <n v="7925370"/>
    <m/>
    <n v="148878614"/>
    <n v="126547614"/>
    <n v="22331000"/>
    <n v="0"/>
    <n v="0"/>
    <n v="0"/>
    <n v="0"/>
    <n v="0"/>
    <n v="0"/>
    <n v="47162028"/>
    <n v="15086452"/>
    <n v="64299134"/>
    <n v="0"/>
    <n v="0"/>
    <n v="0"/>
    <m/>
    <n v="1043196016"/>
    <s v="RS**"/>
    <s v="S-FICHA"/>
    <s v="En Ejecución "/>
  </r>
  <r>
    <n v="33"/>
    <s v="A"/>
    <x v="6"/>
    <s v="URBANO "/>
    <s v="SALUD"/>
    <s v="FOMENTO"/>
    <s v="FOMENTO"/>
    <n v="36"/>
    <s v="LIBRE"/>
    <s v="SERV. SALUD OSORNO"/>
    <n v="40015599"/>
    <m/>
    <e v="#N/A"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100000000"/>
    <n v="0"/>
    <n v="100000000"/>
    <n v="0"/>
    <n v="0"/>
    <n v="0"/>
    <n v="0"/>
    <n v="0"/>
    <n v="0"/>
    <n v="0"/>
    <n v="0"/>
    <n v="0"/>
    <n v="0"/>
    <n v="0"/>
    <n v="0"/>
    <m/>
    <n v="83150000"/>
    <s v="RS**"/>
    <s v="S-FICHA"/>
    <s v="En Ejecución "/>
  </r>
  <r>
    <n v="33"/>
    <s v="A"/>
    <x v="11"/>
    <s v="RURAL"/>
    <s v="FOMENTO PRODUCTIVO"/>
    <s v="FOMENTO"/>
    <s v="FOMENTO"/>
    <n v="36"/>
    <s v="LIBRE"/>
    <s v="SAG"/>
    <n v="30482027"/>
    <m/>
    <s v="Luisa Adela  Macias Bahamonde"/>
    <s v="30482027SAG"/>
    <m/>
    <s v="ERRADICACION DE LA BRUCELOSIS BOVINA"/>
    <m/>
    <m/>
    <n v="694302000"/>
    <m/>
    <m/>
    <m/>
    <m/>
    <n v="499999364"/>
    <n v="420749364"/>
    <m/>
    <n v="53627529"/>
    <n v="53627529"/>
    <n v="0"/>
    <n v="0"/>
    <n v="0"/>
    <n v="0"/>
    <n v="0"/>
    <n v="0"/>
    <n v="72529"/>
    <n v="0"/>
    <n v="0"/>
    <n v="0"/>
    <n v="53555000"/>
    <n v="0"/>
    <n v="0"/>
    <m/>
    <n v="25622471"/>
    <s v="RS**"/>
    <s v="S-FICHA"/>
    <s v="En Ejecución "/>
  </r>
  <r>
    <m/>
    <m/>
    <x v="0"/>
    <m/>
    <m/>
    <m/>
    <m/>
    <m/>
    <m/>
    <m/>
    <m/>
    <m/>
    <s v="Luisa Adela  Macias Bahamonde"/>
    <m/>
    <m/>
    <s v="CONTRATACION DEL PROGRAMA"/>
    <m/>
    <m/>
    <n v="42376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s v="Luisa Adela  Macias Bahamonde"/>
    <m/>
    <m/>
    <s v="GASTOS ADMINISTRATIVOS"/>
    <m/>
    <m/>
    <n v="270536000"/>
    <m/>
    <m/>
    <m/>
    <m/>
    <m/>
    <m/>
    <m/>
    <m/>
    <n v="0"/>
    <m/>
    <m/>
    <m/>
    <m/>
    <m/>
    <m/>
    <m/>
    <m/>
    <m/>
    <m/>
    <m/>
    <m/>
    <m/>
    <m/>
    <n v="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  <m/>
    <m/>
  </r>
  <r>
    <n v="33"/>
    <s v="N"/>
    <x v="10"/>
    <s v="RURAL"/>
    <s v="FOMENTO PRODUCTIVO"/>
    <s v="FOMENTO"/>
    <s v="FOMENTO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  <s v="T"/>
    <s v="Terminada"/>
  </r>
  <r>
    <m/>
    <m/>
    <x v="0"/>
    <m/>
    <m/>
    <m/>
    <m/>
    <m/>
    <m/>
    <m/>
    <m/>
    <m/>
    <m/>
    <m/>
    <m/>
    <s v="TOTAL DE INICIATIVAS EN EJECUCION / LIQUIDACION / TERMINADAS"/>
    <m/>
    <m/>
    <m/>
    <m/>
    <m/>
    <m/>
    <m/>
    <n v="22029971579"/>
    <n v="12223592199"/>
    <m/>
    <n v="6741139145"/>
    <n v="1347452418"/>
    <n v="5393686727"/>
    <n v="0"/>
    <n v="0"/>
    <n v="0"/>
    <n v="0"/>
    <n v="0"/>
    <n v="466655149"/>
    <n v="50144214"/>
    <n v="140167108"/>
    <n v="175426362"/>
    <n v="515059585"/>
    <n v="0"/>
    <n v="0"/>
    <m/>
    <n v="306524023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x v="10"/>
    <s v="URBANO"/>
    <s v="FOMENTO PRODUCTIVO"/>
    <s v="FOMENTO"/>
    <s v="FOMENTO"/>
    <n v="36"/>
    <s v="LIBRE"/>
    <s v="SENAMA"/>
    <n v="40026610"/>
    <m/>
    <m/>
    <m/>
    <m/>
    <s v="INSUMOS Y ALIMENTACION PARA ELEAM DE LOS LAGOS, PUERTO MONTT"/>
    <s v="* CERT. CORE 223 07.20 APRUEBA"/>
    <m/>
    <m/>
    <m/>
    <m/>
    <m/>
    <m/>
    <n v="14917780"/>
    <n v="0"/>
    <m/>
    <n v="14917780"/>
    <n v="0"/>
    <n v="14917780"/>
    <m/>
    <m/>
    <m/>
    <m/>
    <m/>
    <m/>
    <m/>
    <m/>
    <m/>
    <m/>
    <m/>
    <m/>
    <m/>
    <n v="0"/>
    <s v="RS**"/>
    <m/>
    <s v="Por Iniciar Tramite DIPRES"/>
  </r>
  <r>
    <n v="33"/>
    <s v="N"/>
    <x v="10"/>
    <s v="URBANO"/>
    <s v="FOMENTO PRODUCTIVO"/>
    <s v="FOMENTO"/>
    <s v="FOMENTO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6261750"/>
    <n v="0"/>
    <n v="6261750"/>
    <m/>
    <m/>
    <m/>
    <m/>
    <m/>
    <m/>
    <m/>
    <m/>
    <m/>
    <m/>
    <m/>
    <m/>
    <m/>
    <n v="0"/>
    <s v="RS**"/>
    <m/>
    <s v="Por Iniciar Tramite DIPRES"/>
  </r>
  <r>
    <n v="33"/>
    <s v="A"/>
    <x v="9"/>
    <s v="RURAL"/>
    <s v="FOMENTO PRODUCTIVO"/>
    <s v="FOMENTO"/>
    <s v="FOMENTO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19927471"/>
    <n v="0"/>
    <n v="319927471"/>
    <n v="0"/>
    <n v="0"/>
    <n v="0"/>
    <n v="0"/>
    <n v="0"/>
    <n v="0"/>
    <n v="0"/>
    <n v="0"/>
    <n v="0"/>
    <n v="0"/>
    <n v="0"/>
    <n v="0"/>
    <m/>
    <n v="1892841760"/>
    <s v="RS**"/>
    <s v="S-FICHA"/>
    <s v="Convenio en Tramite"/>
  </r>
  <r>
    <n v="33"/>
    <s v="A"/>
    <x v="4"/>
    <s v="RURAL"/>
    <s v="SOCIAL"/>
    <s v="FOMENTO"/>
    <s v="FOMENTO"/>
    <n v="36"/>
    <s v="LIBRE"/>
    <m/>
    <n v="30485056"/>
    <m/>
    <e v="#N/A"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207800000"/>
    <s v="RS**"/>
    <s v="S-FICHA"/>
    <s v="Convenio en Tramite"/>
  </r>
  <r>
    <n v="33"/>
    <s v="A"/>
    <x v="4"/>
    <s v="RURAL"/>
    <s v="SOCIAL"/>
    <s v="FOMENTO"/>
    <s v="FOMENTO"/>
    <n v="36"/>
    <s v="LIBRE"/>
    <s v="SERCOTEC"/>
    <n v="40016559"/>
    <m/>
    <e v="#N/A"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10000000"/>
    <n v="0"/>
    <n v="110000000"/>
    <n v="0"/>
    <n v="0"/>
    <n v="0"/>
    <n v="0"/>
    <n v="0"/>
    <n v="0"/>
    <n v="0"/>
    <n v="0"/>
    <n v="0"/>
    <n v="0"/>
    <n v="0"/>
    <n v="0"/>
    <m/>
    <n v="121418750"/>
    <s v="RS**"/>
    <s v="S-FICHA"/>
    <s v="Convenio en Tramite"/>
  </r>
  <r>
    <n v="33"/>
    <s v="A"/>
    <x v="9"/>
    <s v="RURAL"/>
    <s v="SILVOAGROPECUARIO"/>
    <s v="FOMENTO"/>
    <s v="FOMENTO"/>
    <n v="36"/>
    <s v="LIBRE"/>
    <s v="SEREMI DE AGRICULTURA"/>
    <n v="40012343"/>
    <s v="G"/>
    <e v="#N/A"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40352000"/>
    <n v="0"/>
    <n v="140352000"/>
    <n v="0"/>
    <n v="0"/>
    <n v="0"/>
    <n v="0"/>
    <n v="0"/>
    <n v="0"/>
    <n v="0"/>
    <n v="0"/>
    <n v="0"/>
    <n v="0"/>
    <n v="0"/>
    <n v="0"/>
    <m/>
    <n v="2116148000"/>
    <s v="RS**"/>
    <s v="S-FICHA"/>
    <s v="Convenio en Tramite"/>
  </r>
  <r>
    <n v="33"/>
    <s v="A"/>
    <x v="10"/>
    <s v="RURAL"/>
    <s v="TURISMO"/>
    <s v="FOMENTO"/>
    <s v="FOMENTO"/>
    <n v="36"/>
    <s v="LIBRE"/>
    <s v="SERNATUR"/>
    <n v="40017839"/>
    <m/>
    <e v="#N/A"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S-FICHA"/>
    <s v="Convenio en Tramite"/>
  </r>
  <r>
    <n v="33"/>
    <s v="N"/>
    <x v="10"/>
    <s v="URBANO"/>
    <s v="FOMENTO PRODUCTIVO"/>
    <s v="FOMENTO"/>
    <s v="FOMENTO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500000000"/>
    <s v="RS**"/>
    <s v="S-FICHA"/>
    <s v="Convenio en Confección"/>
  </r>
  <r>
    <n v="33"/>
    <s v="N"/>
    <x v="11"/>
    <s v="RURAL"/>
    <s v="FOMENTO PRODUCTIVO"/>
    <s v="FOMENTO"/>
    <s v="FOMENTO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1"/>
    <s v="RURAL"/>
    <s v="FOMENTO PRODUCTIVO"/>
    <s v="FOMENTO"/>
    <s v="FOMENTO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URBANO"/>
    <s v="FOMENTO PRODUCTIVO"/>
    <s v="FOMENTO"/>
    <s v="FOMENTO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"/>
    <m/>
    <m/>
    <m/>
    <m/>
    <m/>
    <m/>
    <n v="474000000"/>
    <n v="0"/>
    <m/>
    <n v="474000000"/>
    <n v="0"/>
    <n v="474000000"/>
    <n v="0"/>
    <n v="0"/>
    <n v="0"/>
    <n v="0"/>
    <n v="0"/>
    <n v="0"/>
    <n v="0"/>
    <n v="0"/>
    <n v="0"/>
    <n v="0"/>
    <n v="0"/>
    <n v="0"/>
    <m/>
    <n v="0"/>
    <s v="RS**"/>
    <s v="S-FICHA"/>
    <s v="Por Iniciar Tramite DIPRES"/>
  </r>
  <r>
    <n v="33"/>
    <s v="N"/>
    <x v="10"/>
    <s v="URBANO"/>
    <s v="FOMENTO PRODUCTIVO"/>
    <s v="FOMENTO"/>
    <s v="FOMENTO"/>
    <n v="36"/>
    <s v="LIBRE"/>
    <s v="SENAMA"/>
    <n v="40015477"/>
    <s v="AC. SOCIAL"/>
    <m/>
    <s v="40019534GORE"/>
    <m/>
    <s v="PREVENCION PROGRAMA DE CUIDADOS DOMICILIARIOS REGION DE LOS LAGOS"/>
    <s v="* CERT. CORE 47 02.20"/>
    <m/>
    <m/>
    <m/>
    <m/>
    <m/>
    <m/>
    <n v="456000000"/>
    <n v="0"/>
    <m/>
    <n v="456000000"/>
    <n v="0"/>
    <n v="456000000"/>
    <n v="0"/>
    <n v="0"/>
    <n v="0"/>
    <n v="0"/>
    <n v="0"/>
    <n v="0"/>
    <n v="0"/>
    <n v="0"/>
    <n v="0"/>
    <n v="0"/>
    <n v="0"/>
    <n v="0"/>
    <m/>
    <n v="0"/>
    <s v="RS**"/>
    <s v="S-FICHA"/>
    <s v="Por Iniciar Tramite DIPRES"/>
  </r>
  <r>
    <n v="33"/>
    <s v="N"/>
    <x v="1"/>
    <s v="URBANO"/>
    <s v="FOMENTO PRODUCTIVO"/>
    <s v="FOMENTO"/>
    <s v="FOMENTO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1300000000"/>
    <n v="0"/>
    <n v="13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"/>
    <s v="URBANO"/>
    <s v="FOMENTO PRODUCTIVO"/>
    <s v="FOMENTO"/>
    <s v="FOMENTO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1"/>
    <s v="RURAL"/>
    <s v="FOMENTO PRODUCTIVO"/>
    <s v="FOMENTO"/>
    <s v="FOMENTO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1"/>
    <s v="RURAL"/>
    <s v="FOMENTO PRODUCTIVO"/>
    <s v="FOMENTO"/>
    <s v="FOMENTO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RURAL"/>
    <s v="FOMENTO PRODUCTIVO"/>
    <s v="FOMENTO"/>
    <s v="FOMENTO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RURAL"/>
    <s v="FOMENTO PRODUCTIVO"/>
    <s v="FOMENTO"/>
    <s v="FOMENTO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30000000"/>
    <n v="0"/>
    <n v="13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URBANO"/>
    <s v="FOMENTO PRODUCTIVO"/>
    <s v="FOMENTO"/>
    <s v="FOMENTO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URBANO"/>
    <s v="FOMENTO PRODUCTIVO"/>
    <s v="FOMENTO"/>
    <s v="FOMENTO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0"/>
    <s v="RS**"/>
    <s v="S-FICHA"/>
    <s v="Para Tramite DIPRES"/>
  </r>
  <r>
    <n v="33"/>
    <s v="N"/>
    <x v="10"/>
    <s v="URBANO"/>
    <s v="FOMENTO PRODUCTIVO"/>
    <s v="FOMENTO"/>
    <s v="FOMENTO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0"/>
    <s v="RS**"/>
    <s v="S-FICHA"/>
    <s v="Para Tramite DIPRES"/>
  </r>
  <r>
    <n v="33"/>
    <s v="N"/>
    <x v="9"/>
    <s v="URBANO"/>
    <s v="FOMENTO PRODUCTIVO"/>
    <s v="FOMENTO"/>
    <s v="FOMENTO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750000000"/>
    <s v="RS**"/>
    <s v="S-FICHA"/>
    <s v="Para Tramite DIPRES"/>
  </r>
  <r>
    <n v="33"/>
    <s v="N"/>
    <x v="10"/>
    <s v="URBANO"/>
    <s v="FOMENTO PRODUCTIVO"/>
    <s v="FOMENTO"/>
    <s v="FOMENTO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*"/>
    <s v="S-FICHA"/>
    <s v="Para Tramite DIPRES"/>
  </r>
  <r>
    <n v="33"/>
    <s v="N"/>
    <x v="11"/>
    <s v="RURAL"/>
    <s v="FOMENTO PRODUCTIVO"/>
    <s v="FOMENTO"/>
    <s v="FOMENTO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90000000"/>
    <s v="RS**"/>
    <s v="S-FICHA"/>
    <s v="Por Iniciar Tramite DIPRES"/>
  </r>
  <r>
    <m/>
    <m/>
    <x v="0"/>
    <m/>
    <m/>
    <m/>
    <m/>
    <m/>
    <m/>
    <m/>
    <m/>
    <m/>
    <m/>
    <m/>
    <m/>
    <s v="TOTAL DE INICIATIVAS EN CONVENIO / LICITACION / ADJUDICACION"/>
    <m/>
    <m/>
    <m/>
    <m/>
    <m/>
    <m/>
    <m/>
    <n v="18569667511"/>
    <n v="0"/>
    <m/>
    <n v="6941459001"/>
    <n v="0"/>
    <n v="6941459001"/>
    <n v="0"/>
    <n v="0"/>
    <n v="0"/>
    <n v="0"/>
    <n v="0"/>
    <n v="0"/>
    <n v="0"/>
    <n v="0"/>
    <n v="0"/>
    <n v="0"/>
    <n v="0"/>
    <n v="0"/>
    <m/>
    <n v="6790000000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FOMENTO"/>
    <m/>
    <m/>
    <m/>
    <m/>
    <m/>
    <m/>
    <m/>
    <n v="40599639090"/>
    <n v="12223592199"/>
    <m/>
    <n v="13682598146"/>
    <n v="1347452418"/>
    <n v="12335145728"/>
    <n v="0"/>
    <n v="0"/>
    <n v="0"/>
    <n v="0"/>
    <n v="0"/>
    <n v="466655149"/>
    <n v="50144214"/>
    <n v="140167108"/>
    <n v="175426362"/>
    <n v="515059585"/>
    <n v="0"/>
    <n v="0"/>
    <m/>
    <n v="14693448745"/>
    <m/>
    <m/>
    <m/>
  </r>
  <r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x v="0"/>
    <m/>
    <m/>
    <m/>
    <m/>
    <m/>
    <m/>
    <m/>
    <m/>
    <m/>
    <m/>
    <m/>
    <m/>
    <s v="TOTAL PRESUPUESTO 2020"/>
    <m/>
    <m/>
    <m/>
    <m/>
    <m/>
    <m/>
    <m/>
    <n v="433393155830"/>
    <n v="109281988968"/>
    <m/>
    <n v="110295558389.33333"/>
    <n v="40090186269"/>
    <n v="70205372120.333328"/>
    <n v="0"/>
    <n v="0"/>
    <n v="0"/>
    <n v="0"/>
    <n v="0"/>
    <n v="3666740688"/>
    <n v="5684834714"/>
    <n v="5022881123"/>
    <n v="6520346324"/>
    <n v="6589090637"/>
    <n v="7082868531"/>
    <n v="5523424252"/>
    <m/>
    <n v="213815608472.66666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07"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CONECTIVIDAD"/>
    <s v="OSORNO"/>
    <s v="OSORNO"/>
    <n v="1"/>
    <x v="1"/>
    <s v="EJECUCION"/>
    <n v="30043744"/>
    <m/>
    <s v="Ignacio Ortiz Martin"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1326112538"/>
    <n v="712617316"/>
    <n v="613495222"/>
    <n v="0"/>
    <n v="0"/>
    <n v="0"/>
    <n v="0"/>
    <n v="0"/>
    <n v="0"/>
    <n v="332864655"/>
    <n v="0"/>
    <n v="0"/>
    <n v="180086508"/>
    <n v="0"/>
    <n v="199666153"/>
    <m/>
    <n v="621439216"/>
    <s v="RS"/>
  </r>
  <r>
    <x v="1"/>
    <s v="A"/>
    <s v="EDUCACIÓN Y CULTURA"/>
    <s v="URBANO"/>
    <s v="SOCIAL"/>
    <s v="OSORNO"/>
    <s v="OSORNO"/>
    <n v="1"/>
    <x v="2"/>
    <s v="EJECUCION"/>
    <n v="30070862"/>
    <m/>
    <e v="#N/A"/>
    <s v="30070862EJECUCION"/>
    <m/>
    <s v="REPOSICION LICEO CARMELA CARVAJAL DE PRAT, OSORNO."/>
    <s v="* CERT. 246 22.08.19 - APRUEBA AUMENTO PPTO"/>
    <m/>
    <m/>
    <m/>
    <m/>
    <m/>
    <m/>
    <n v="7370081000"/>
    <n v="0"/>
    <m/>
    <n v="1397145700"/>
    <n v="556758918"/>
    <n v="840386782"/>
    <n v="0"/>
    <n v="0"/>
    <n v="0"/>
    <n v="0"/>
    <n v="0"/>
    <n v="188084339"/>
    <n v="202156837"/>
    <n v="166517742"/>
    <n v="0"/>
    <n v="0"/>
    <n v="0"/>
    <n v="0"/>
    <m/>
    <n v="5972935300"/>
    <s v="RS"/>
  </r>
  <r>
    <x v="1"/>
    <s v="A"/>
    <s v="DEFENSA Y SEGURIDAD"/>
    <s v="URBANO"/>
    <s v="SOCIAL"/>
    <s v="OSORNO"/>
    <s v="OSORNO"/>
    <n v="1"/>
    <x v="2"/>
    <s v="EJECUCION"/>
    <n v="30165522"/>
    <m/>
    <s v="GLORIA DEL CARMEN QUEZADA VELASQUEZ"/>
    <s v="30165522EJECUCION"/>
    <m/>
    <s v="CONSERVACION Y EQUIP. EDIFI. CIAS. BOMBEROS 4TA;5TA Y CUARTEL GENERAL (C33)"/>
    <m/>
    <m/>
    <m/>
    <m/>
    <m/>
    <m/>
    <m/>
    <n v="820000000"/>
    <n v="346084133"/>
    <m/>
    <n v="473915867"/>
    <n v="273385780"/>
    <n v="200530087"/>
    <n v="0"/>
    <n v="0"/>
    <n v="0"/>
    <n v="0"/>
    <n v="0"/>
    <n v="69573418"/>
    <n v="0"/>
    <n v="50255490"/>
    <n v="1111111"/>
    <n v="82363638"/>
    <n v="46903950"/>
    <n v="23178173"/>
    <m/>
    <n v="0"/>
    <s v="RS*"/>
  </r>
  <r>
    <x v="1"/>
    <s v="A"/>
    <s v="MULTISECTORIAL"/>
    <s v="URBANO"/>
    <s v="SOCIAL"/>
    <s v="OSORNO"/>
    <s v="OSORNO"/>
    <n v="1"/>
    <x v="2"/>
    <s v="EJECUCION"/>
    <n v="30135711"/>
    <m/>
    <s v="GLORIA DEL CARMEN QUEZADA VELASQUEZ"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m/>
    <m/>
    <m/>
    <m/>
    <n v="0"/>
    <n v="0"/>
    <n v="0"/>
    <n v="0"/>
    <n v="6990"/>
    <n v="0"/>
    <n v="0"/>
    <m/>
    <n v="0"/>
    <s v="RS"/>
  </r>
  <r>
    <x v="1"/>
    <s v="A"/>
    <s v="TRANSPORTE Y VIVIENDA"/>
    <s v="URBANO"/>
    <s v="SOCIAL"/>
    <s v="OSORNO"/>
    <s v="OSORNO"/>
    <n v="1"/>
    <x v="1"/>
    <s v="EJECUCION"/>
    <n v="40003069"/>
    <m/>
    <e v="#N/A"/>
    <s v="40003069EJECUCION"/>
    <s v="2308-91-LE19"/>
    <s v="CONSERVACION VEREDAS CERVANTES COMUNA DE OSORNO (C33)"/>
    <m/>
    <m/>
    <m/>
    <m/>
    <m/>
    <m/>
    <m/>
    <n v="77510000"/>
    <n v="0"/>
    <m/>
    <n v="77510000"/>
    <n v="69336255"/>
    <n v="8173745"/>
    <n v="0"/>
    <n v="0"/>
    <n v="0"/>
    <n v="0"/>
    <n v="0"/>
    <n v="0"/>
    <n v="0"/>
    <n v="0"/>
    <n v="19739016"/>
    <n v="0"/>
    <n v="49597239"/>
    <n v="0"/>
    <m/>
    <n v="0"/>
    <s v="RS*"/>
  </r>
  <r>
    <x v="1"/>
    <s v="A"/>
    <s v="EDUCACIÓN Y CULTURA"/>
    <s v="URBANO"/>
    <s v="SOCIAL"/>
    <s v="OSORNO"/>
    <s v="OSORNO"/>
    <n v="1"/>
    <x v="2"/>
    <s v="EJECUCION"/>
    <n v="30134836"/>
    <m/>
    <e v="#N/A"/>
    <s v="30134836EJECUCION"/>
    <s v="2308-97-LR19"/>
    <s v="REPOSICION ESCUELA RURAL WALTERIO MEYER RUSCA, AGUA BUENA, OSORNO"/>
    <m/>
    <m/>
    <m/>
    <m/>
    <m/>
    <m/>
    <m/>
    <n v="3295526000"/>
    <n v="0"/>
    <m/>
    <n v="528510046"/>
    <n v="428516676"/>
    <n v="99993370"/>
    <n v="0"/>
    <n v="0"/>
    <n v="0"/>
    <n v="0"/>
    <n v="0"/>
    <n v="182582886"/>
    <n v="142177586"/>
    <n v="0"/>
    <n v="103756204"/>
    <n v="0"/>
    <n v="0"/>
    <n v="0"/>
    <m/>
    <n v="2767015954"/>
    <s v="RS"/>
  </r>
  <r>
    <x v="1"/>
    <s v="A"/>
    <s v="DEPORTE"/>
    <s v="URBANO"/>
    <s v="SOCIAL"/>
    <s v="OSORNO"/>
    <s v="OSORNO"/>
    <n v="1"/>
    <x v="2"/>
    <s v="EJECUCION"/>
    <n v="40004690"/>
    <m/>
    <e v="#N/A"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588530954"/>
    <n v="131911401"/>
    <n v="456619553"/>
    <n v="0"/>
    <n v="0"/>
    <n v="0"/>
    <n v="0"/>
    <n v="0"/>
    <n v="44638361"/>
    <n v="0"/>
    <n v="20426126"/>
    <n v="66846914"/>
    <n v="0"/>
    <n v="0"/>
    <n v="0"/>
    <m/>
    <n v="538510046"/>
    <s v="RS"/>
  </r>
  <r>
    <x v="1"/>
    <s v="A"/>
    <s v="SALUD"/>
    <s v="URBANO"/>
    <s v="SOCIAL"/>
    <s v="OSORNO"/>
    <s v="OSORNO"/>
    <n v="1"/>
    <x v="2"/>
    <s v="EJECUCION"/>
    <n v="30087456"/>
    <m/>
    <s v="Ignacio Ortiz Martin"/>
    <s v="30087456EJECUCION"/>
    <m/>
    <s v="** CONSTRUCCION CENTRO DE DIALIZADOS Y TRANSPLANTADOS RENALES"/>
    <s v="* CERT. CORE 133 ABRIL 2020 - INCORPORA SALDO"/>
    <m/>
    <m/>
    <m/>
    <m/>
    <m/>
    <m/>
    <n v="621261710"/>
    <n v="609651710"/>
    <m/>
    <n v="5565145"/>
    <n v="5565145"/>
    <n v="0"/>
    <m/>
    <m/>
    <m/>
    <m/>
    <m/>
    <n v="0"/>
    <n v="0"/>
    <n v="0"/>
    <n v="5565145"/>
    <m/>
    <m/>
    <m/>
    <m/>
    <n v="6044855"/>
    <s v="RS"/>
  </r>
  <r>
    <x v="1"/>
    <s v="A"/>
    <s v="AGUA POTABLE Y ALCANTARILLADO"/>
    <s v="RURAL"/>
    <s v="SOCIAL"/>
    <s v="OSORNO"/>
    <s v="OSORNO"/>
    <n v="1"/>
    <x v="2"/>
    <s v="EJECUCION"/>
    <n v="30257472"/>
    <m/>
    <e v="#N/A"/>
    <s v="30257472EJECUCION"/>
    <s v="2308-101-LR19"/>
    <s v="CONSTRUCCION RED DE ALCANTARILLADO Y PLANTA DE TRATAMIENTO SECTOR PICHIL, OSORNO"/>
    <s v="* CERT. CORE 175 20.06 - APRUEBA ETAPA EJECUCION CON CARGO FNDR."/>
    <m/>
    <m/>
    <m/>
    <m/>
    <m/>
    <m/>
    <n v="508482000"/>
    <n v="0"/>
    <m/>
    <n v="508482000"/>
    <n v="19628868"/>
    <n v="488853132"/>
    <n v="0"/>
    <n v="0"/>
    <n v="0"/>
    <n v="0"/>
    <n v="0"/>
    <n v="0"/>
    <n v="0"/>
    <n v="0"/>
    <n v="19628868"/>
    <n v="0"/>
    <n v="0"/>
    <n v="0"/>
    <m/>
    <n v="0"/>
    <s v="RS"/>
  </r>
  <r>
    <x v="1"/>
    <s v="A"/>
    <s v="SALUD"/>
    <s v="URBANO"/>
    <s v="SOCIAL"/>
    <s v="OSORNO"/>
    <s v="OSORNO"/>
    <n v="1"/>
    <x v="2"/>
    <s v="EJECUCION"/>
    <n v="30062818"/>
    <m/>
    <s v="Ignacio Ortiz Martin"/>
    <s v="30062818EJECUCION"/>
    <m/>
    <s v="** AMPLIACION CESFAM OVEJERIA OSORNO"/>
    <s v="* CERT. CORE 117 ABRIL 2020 INCOPORA SALDO"/>
    <m/>
    <m/>
    <m/>
    <m/>
    <m/>
    <m/>
    <n v="3289875729"/>
    <n v="3213972235"/>
    <m/>
    <n v="75903493"/>
    <n v="0"/>
    <n v="75903493"/>
    <m/>
    <m/>
    <m/>
    <m/>
    <m/>
    <n v="0"/>
    <n v="0"/>
    <n v="0"/>
    <n v="0"/>
    <m/>
    <m/>
    <m/>
    <m/>
    <n v="1"/>
    <s v="RS"/>
  </r>
  <r>
    <x v="1"/>
    <s v="A"/>
    <s v="SALUD"/>
    <s v="URBANO"/>
    <s v="SOCIAL"/>
    <s v="OSORNO"/>
    <s v="OSORNO"/>
    <n v="1"/>
    <x v="2"/>
    <s v="EJECUCION"/>
    <n v="30129384"/>
    <m/>
    <s v="Ignacio Ortiz Martin"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m/>
    <m/>
    <m/>
    <m/>
    <n v="0"/>
    <n v="7039913"/>
    <n v="0"/>
    <n v="0"/>
    <m/>
    <m/>
    <m/>
    <m/>
    <n v="0"/>
    <s v="RS"/>
  </r>
  <r>
    <x v="1"/>
    <s v="A"/>
    <s v="SALUD"/>
    <s v="URBANO"/>
    <s v="SOCIAL"/>
    <s v="OSORNO"/>
    <s v="OSORNO"/>
    <n v="1"/>
    <x v="2"/>
    <s v="EJECUCION"/>
    <n v="30470902"/>
    <m/>
    <s v="Ignacio Ortiz Martin"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m/>
    <m/>
    <m/>
    <m/>
    <n v="0"/>
    <n v="0"/>
    <n v="0"/>
    <n v="0"/>
    <m/>
    <m/>
    <m/>
    <m/>
    <n v="0"/>
    <s v="RS"/>
  </r>
  <r>
    <x v="2"/>
    <s v="A"/>
    <s v="MULTISECTORIAL"/>
    <s v="URBANO"/>
    <s v="SOCIAL"/>
    <s v="OSORNO"/>
    <s v="OSORNO"/>
    <n v="1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OSORNO"/>
    <n v="1"/>
    <x v="3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9472062"/>
    <n v="209472062"/>
    <n v="0"/>
    <n v="0"/>
    <n v="0"/>
    <n v="0"/>
    <n v="0"/>
    <n v="0"/>
    <n v="30866995"/>
    <n v="69416176"/>
    <n v="0"/>
    <n v="109188891"/>
    <n v="0"/>
    <n v="0"/>
    <n v="0"/>
    <m/>
    <n v="-9472062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9125238574"/>
    <n v="13864577742"/>
    <m/>
    <n v="5364187522"/>
    <n v="2414239324"/>
    <n v="2949948198"/>
    <n v="0"/>
    <n v="0"/>
    <n v="0"/>
    <n v="0"/>
    <n v="0"/>
    <n v="515745999"/>
    <n v="753655167"/>
    <n v="237199358"/>
    <n v="325836149"/>
    <n v="262457136"/>
    <n v="96501189"/>
    <n v="222844326"/>
    <m/>
    <n v="989647331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SOCIAL"/>
    <s v="OSORNO"/>
    <s v="OSORNO"/>
    <n v="1"/>
    <x v="2"/>
    <s v="EJECUCION"/>
    <n v="30463800"/>
    <m/>
    <e v="#N/A"/>
    <s v="30463800EJECUCION"/>
    <m/>
    <s v="* REPOSICION HOSPEDERIA HOGAR DE CRISTO, OSORNO"/>
    <m/>
    <m/>
    <m/>
    <m/>
    <m/>
    <m/>
    <m/>
    <n v="4144186000"/>
    <n v="0"/>
    <m/>
    <n v="295944484"/>
    <n v="0"/>
    <n v="295944484"/>
    <n v="0"/>
    <n v="0"/>
    <n v="0"/>
    <n v="0"/>
    <n v="0"/>
    <n v="0"/>
    <n v="0"/>
    <n v="0"/>
    <n v="0"/>
    <n v="0"/>
    <n v="0"/>
    <n v="0"/>
    <m/>
    <n v="3848241516"/>
    <s v="RS"/>
  </r>
  <r>
    <x v="1"/>
    <s v="A"/>
    <s v="TRANSPORTE Y VIVIENDA"/>
    <s v="URBANO"/>
    <s v="SOCIAL"/>
    <s v="OSORNO"/>
    <s v="OSORNO"/>
    <n v="1"/>
    <x v="2"/>
    <s v="EJECUCION"/>
    <n v="30123182"/>
    <s v="G"/>
    <e v="#N/A"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5079270000"/>
    <s v="RS"/>
  </r>
  <r>
    <x v="1"/>
    <s v="N"/>
    <s v="TRANSPORTE Y VIVIENDA"/>
    <s v="URBANO"/>
    <s v="SOCIAL"/>
    <s v="OSORNO"/>
    <s v="OSORNO"/>
    <n v="1"/>
    <x v="2"/>
    <s v="EJECUCION"/>
    <n v="40019022"/>
    <m/>
    <e v="#N/A"/>
    <s v="40019022EJECUCION"/>
    <m/>
    <s v="* REPOSICION VEREDAS POBLACION ANGULO, COMUNA DE OSORNO"/>
    <s v="* CERT. CORE 206 07.19 - SE INCORPORA AL PPTO 2019 CON CARGO AL FNDR / * CERT. CORE 162 05,20 CAMBIA NOMBRE "/>
    <m/>
    <m/>
    <m/>
    <m/>
    <m/>
    <m/>
    <n v="519400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4394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0242856000"/>
    <n v="0"/>
    <m/>
    <n v="875944484"/>
    <n v="0"/>
    <n v="875944484"/>
    <n v="0"/>
    <n v="0"/>
    <n v="0"/>
    <n v="0"/>
    <n v="0"/>
    <n v="0"/>
    <n v="0"/>
    <n v="0"/>
    <n v="0"/>
    <n v="0"/>
    <n v="0"/>
    <n v="0"/>
    <m/>
    <n v="936691151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OSORNO"/>
    <m/>
    <m/>
    <m/>
    <m/>
    <m/>
    <m/>
    <m/>
    <n v="39368094574"/>
    <n v="13864577742"/>
    <m/>
    <n v="6240132006"/>
    <n v="2414239324"/>
    <n v="3825892682"/>
    <n v="0"/>
    <n v="0"/>
    <n v="0"/>
    <n v="0"/>
    <n v="0"/>
    <n v="515745999"/>
    <n v="753655167"/>
    <n v="237199358"/>
    <n v="325836149"/>
    <n v="262457136"/>
    <n v="96501189"/>
    <n v="222844326"/>
    <m/>
    <n v="1926338482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PTO. OCTAY"/>
    <n v="2"/>
    <x v="2"/>
    <s v="DISEÑO"/>
    <n v="30412923"/>
    <m/>
    <s v="Ignacio Ortiz Martin"/>
    <s v="30412923DISEÑO"/>
    <m/>
    <s v="CONSTRUCCION POSTA SALUD EL PONCHO"/>
    <m/>
    <m/>
    <m/>
    <m/>
    <m/>
    <m/>
    <m/>
    <n v="19780000"/>
    <n v="7512000"/>
    <m/>
    <n v="12268000"/>
    <n v="0"/>
    <n v="12268000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RURAL"/>
    <s v="SOCIAL"/>
    <s v="OSORNO"/>
    <s v="PTO. OCTAY"/>
    <n v="2"/>
    <x v="4"/>
    <s v="EJECUCION"/>
    <n v="30478036"/>
    <m/>
    <e v="#N/A"/>
    <s v="30478036EJECUCION"/>
    <s v="739231-39-LR19"/>
    <s v="REPOSICION ESCUELA RURAL EL ISLOTE RUPANCO, PUERTO OCTAY"/>
    <s v="* CERT. CORE 247 22.08.19 - APRUEBA REINCORPORAR CON CARGO AL FNDR."/>
    <m/>
    <m/>
    <m/>
    <m/>
    <m/>
    <m/>
    <n v="1262109000"/>
    <n v="0"/>
    <m/>
    <n v="566061838"/>
    <n v="566061838"/>
    <n v="0"/>
    <n v="0"/>
    <n v="0"/>
    <n v="0"/>
    <n v="0"/>
    <n v="0"/>
    <n v="230229291"/>
    <n v="0"/>
    <n v="117327599"/>
    <n v="0"/>
    <n v="143857420"/>
    <n v="32277284"/>
    <n v="42370244"/>
    <m/>
    <n v="696047162"/>
    <s v="RS"/>
  </r>
  <r>
    <x v="3"/>
    <s v="A"/>
    <s v="MULTISECTORIAL"/>
    <s v="RURAL"/>
    <s v="SOCIAL"/>
    <s v="OSORNO"/>
    <s v="PTO. OCTAY"/>
    <n v="2"/>
    <x v="2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36404510"/>
    <n v="17007052"/>
    <n v="19397458"/>
    <m/>
    <m/>
    <m/>
    <m/>
    <m/>
    <n v="0"/>
    <n v="0"/>
    <n v="0"/>
    <n v="0"/>
    <n v="17007052"/>
    <n v="0"/>
    <n v="0"/>
    <m/>
    <n v="10719490"/>
    <s v="RS*"/>
  </r>
  <r>
    <x v="1"/>
    <s v="A"/>
    <s v="TRANSPORTE Y VIVIENDA"/>
    <s v="RURAL"/>
    <s v="SOCIAL"/>
    <s v="OSORNO"/>
    <s v="PTO. OCTAY"/>
    <n v="2"/>
    <x v="1"/>
    <s v="EJECUCION"/>
    <n v="40008506"/>
    <m/>
    <e v="#N/A"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2153000"/>
    <n v="441005926"/>
    <n v="81147074"/>
    <n v="0"/>
    <n v="0"/>
    <n v="0"/>
    <n v="0"/>
    <n v="0"/>
    <n v="181999954"/>
    <n v="0"/>
    <n v="76487317"/>
    <n v="53359322"/>
    <n v="127159333"/>
    <n v="2000000"/>
    <n v="0"/>
    <m/>
    <n v="3400000"/>
    <s v="RS*"/>
  </r>
  <r>
    <x v="2"/>
    <s v="A"/>
    <s v="MULTISECTORIAL"/>
    <s v="URBANO"/>
    <s v="SOCIAL"/>
    <s v="OSORNO"/>
    <s v="PTO. OCTAY"/>
    <n v="2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PTO. OCTAY"/>
    <n v="2"/>
    <x v="3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63176346"/>
    <n v="136823654"/>
    <n v="0"/>
    <n v="0"/>
    <n v="0"/>
    <n v="0"/>
    <n v="0"/>
    <n v="0"/>
    <n v="0"/>
    <n v="0"/>
    <n v="63176346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154566000"/>
    <n v="7512000"/>
    <m/>
    <n v="1436887348"/>
    <n v="1087251162"/>
    <n v="349636186"/>
    <n v="0"/>
    <n v="0"/>
    <n v="0"/>
    <n v="0"/>
    <n v="0"/>
    <n v="412229245"/>
    <n v="0"/>
    <n v="193814916"/>
    <n v="116535668"/>
    <n v="288023805"/>
    <n v="34277284"/>
    <n v="42370244"/>
    <m/>
    <n v="71016665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RURAL"/>
    <s v="CONECTIVIDAD"/>
    <s v="OSORNO"/>
    <s v="PTO. OCTAY"/>
    <n v="2"/>
    <x v="1"/>
    <s v="EJECUCION"/>
    <n v="40013401"/>
    <m/>
    <s v="GLORIA DEL CARMEN QUEZADA VELASQUEZ"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284568728"/>
    <n v="0"/>
    <n v="284568728"/>
    <n v="0"/>
    <n v="0"/>
    <n v="0"/>
    <n v="0"/>
    <n v="0"/>
    <n v="0"/>
    <n v="0"/>
    <n v="0"/>
    <n v="0"/>
    <n v="0"/>
    <n v="0"/>
    <n v="0"/>
    <m/>
    <n v="164543272"/>
    <s v="RS*"/>
  </r>
  <r>
    <x v="3"/>
    <s v="N"/>
    <s v="MULTISECTORIAL"/>
    <s v="URBANO"/>
    <s v="SOCIAL"/>
    <s v="OSORNO"/>
    <s v="PTO. OCTAY"/>
    <n v="2"/>
    <x v="2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749112000"/>
    <n v="0"/>
    <m/>
    <n v="584568728"/>
    <n v="0"/>
    <n v="584568728"/>
    <n v="0"/>
    <n v="0"/>
    <n v="0"/>
    <n v="0"/>
    <n v="0"/>
    <n v="0"/>
    <n v="0"/>
    <n v="0"/>
    <n v="0"/>
    <n v="0"/>
    <n v="0"/>
    <n v="0"/>
    <m/>
    <n v="16454327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ERTO OCTAY"/>
    <m/>
    <m/>
    <m/>
    <m/>
    <m/>
    <m/>
    <m/>
    <n v="2903678000"/>
    <n v="7512000"/>
    <m/>
    <n v="2021456076"/>
    <n v="1087251162"/>
    <n v="934204914"/>
    <n v="0"/>
    <n v="0"/>
    <n v="0"/>
    <n v="0"/>
    <n v="0"/>
    <n v="412229245"/>
    <n v="0"/>
    <n v="193814916"/>
    <n v="116535668"/>
    <n v="288023805"/>
    <n v="34277284"/>
    <n v="42370244"/>
    <m/>
    <n v="87470992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OSORNO"/>
    <s v="PURRANQUE"/>
    <n v="3"/>
    <x v="2"/>
    <s v="EJECUCION"/>
    <n v="30397335"/>
    <m/>
    <s v="GLORIA DEL CARMEN QUEZADA VELASQUEZ"/>
    <s v="30397335EJECUCION"/>
    <m/>
    <s v="CONSTRUCCION SERVICIO APR COLONIA PONCE, PURRANQUE"/>
    <m/>
    <m/>
    <m/>
    <m/>
    <m/>
    <m/>
    <m/>
    <n v="529939000"/>
    <n v="234367073"/>
    <m/>
    <n v="295571927"/>
    <n v="232563115"/>
    <n v="63008812"/>
    <n v="0"/>
    <n v="0"/>
    <n v="0"/>
    <n v="0"/>
    <n v="0"/>
    <n v="0"/>
    <n v="1437500"/>
    <n v="88750560"/>
    <n v="1437500"/>
    <n v="27733376"/>
    <n v="30903705"/>
    <n v="82300474"/>
    <m/>
    <n v="0"/>
    <s v="RS"/>
  </r>
  <r>
    <x v="1"/>
    <s v="A"/>
    <s v="DEPORTE"/>
    <s v="RURAL"/>
    <s v="SOCIAL"/>
    <s v="OSORNO"/>
    <s v="PURRANQUE"/>
    <n v="3"/>
    <x v="1"/>
    <s v="EJECUCION"/>
    <n v="30134930"/>
    <m/>
    <s v="GLORIA DEL CARMEN QUEZADA VELASQUEZ"/>
    <s v="30134930EJECUCION"/>
    <m/>
    <s v="CONSTRUCCION ESTADIO CORTE-ALTO, PURRANQUE"/>
    <m/>
    <m/>
    <m/>
    <m/>
    <m/>
    <m/>
    <m/>
    <n v="1004973000"/>
    <n v="315623727"/>
    <m/>
    <n v="549604272"/>
    <n v="450936556"/>
    <n v="98667716"/>
    <n v="0"/>
    <n v="0"/>
    <n v="0"/>
    <n v="0"/>
    <n v="0"/>
    <n v="74972489"/>
    <n v="28757605"/>
    <n v="118465254"/>
    <n v="0"/>
    <n v="125744916"/>
    <n v="102996292"/>
    <n v="0"/>
    <m/>
    <n v="139745001"/>
    <s v="RS"/>
  </r>
  <r>
    <x v="1"/>
    <s v="A"/>
    <s v="TRANSPORTE Y VIVIENDA"/>
    <s v="RURAL"/>
    <s v="SOCIAL"/>
    <s v="OSORNO"/>
    <s v="PURRANQUE"/>
    <n v="3"/>
    <x v="1"/>
    <s v="EJECUCION"/>
    <n v="40005410"/>
    <m/>
    <s v="GLORIA DEL CARMEN QUEZADA VELASQUEZ"/>
    <s v="40005410EJECUCION"/>
    <m/>
    <s v="CONSERVACION VEREDAS SECTOR CENTRO NORTE, COMUNA DE PURRANQUE (C33)"/>
    <m/>
    <m/>
    <m/>
    <m/>
    <m/>
    <m/>
    <m/>
    <n v="521481000"/>
    <n v="215960599"/>
    <m/>
    <n v="305520401"/>
    <n v="277529490"/>
    <n v="27990911"/>
    <n v="0"/>
    <n v="0"/>
    <n v="0"/>
    <n v="0"/>
    <n v="0"/>
    <n v="34551979"/>
    <n v="0"/>
    <n v="0"/>
    <n v="0"/>
    <n v="14219107"/>
    <n v="228758404"/>
    <n v="0"/>
    <m/>
    <n v="0"/>
    <s v="RS*"/>
  </r>
  <r>
    <x v="1"/>
    <s v="A"/>
    <s v="TRANSPORTE Y VIVIENDA"/>
    <s v="RURAL"/>
    <s v="SOCIAL"/>
    <s v="OSORNO"/>
    <s v="PURRANQUE"/>
    <n v="3"/>
    <x v="1"/>
    <s v="EJECUCION"/>
    <n v="40005409"/>
    <m/>
    <s v="GLORIA DEL CARMEN QUEZADA VELASQUEZ"/>
    <s v="40005409EJECUCION"/>
    <m/>
    <s v="CONSERVACION CAMINOS NO ENROLADOS COMUNA DE PURRANQUE (C33)"/>
    <m/>
    <m/>
    <m/>
    <m/>
    <m/>
    <m/>
    <m/>
    <n v="358631000"/>
    <n v="165275947"/>
    <m/>
    <n v="193355053"/>
    <n v="125059189"/>
    <n v="68295864"/>
    <n v="0"/>
    <n v="0"/>
    <n v="0"/>
    <n v="0"/>
    <n v="0"/>
    <n v="35943384"/>
    <n v="0"/>
    <n v="0"/>
    <n v="0"/>
    <n v="12234359"/>
    <n v="76881446"/>
    <n v="0"/>
    <m/>
    <n v="0"/>
    <s v="RS*"/>
  </r>
  <r>
    <x v="1"/>
    <s v="A"/>
    <s v="SALUD"/>
    <s v="RURAL"/>
    <s v="SOCIAL"/>
    <s v="OSORNO"/>
    <s v="PURRANQUE"/>
    <n v="3"/>
    <x v="2"/>
    <s v="DISEÑO"/>
    <n v="30171924"/>
    <m/>
    <s v="(en blanco)"/>
    <s v="30171924DISEÑO"/>
    <m/>
    <s v="REPOSICION POSTA RURAL COLONIA PONCE, PURRANQUE"/>
    <m/>
    <m/>
    <m/>
    <m/>
    <m/>
    <m/>
    <m/>
    <n v="21277640"/>
    <n v="16219730"/>
    <m/>
    <n v="743880"/>
    <n v="0"/>
    <n v="743880"/>
    <n v="0"/>
    <n v="0"/>
    <n v="0"/>
    <n v="0"/>
    <n v="0"/>
    <n v="0"/>
    <n v="0"/>
    <n v="0"/>
    <n v="0"/>
    <n v="0"/>
    <n v="0"/>
    <n v="0"/>
    <m/>
    <n v="4314030"/>
    <s v="RS"/>
  </r>
  <r>
    <x v="1"/>
    <s v="A"/>
    <s v="SALUD"/>
    <s v="RURAL"/>
    <s v="SOCIAL"/>
    <s v="OSORNO"/>
    <s v="PURRANQUE"/>
    <n v="3"/>
    <x v="2"/>
    <s v="DISEÑO"/>
    <n v="30171875"/>
    <m/>
    <e v="#N/A"/>
    <s v="30171875DISEÑO"/>
    <s v="3443-47-LE19"/>
    <s v="REPOSICION POSTA SALUD RURAL COLIGUAL, PURRANQUE"/>
    <m/>
    <m/>
    <m/>
    <m/>
    <m/>
    <m/>
    <m/>
    <n v="25140000"/>
    <n v="0"/>
    <m/>
    <n v="8380000"/>
    <n v="4610000"/>
    <n v="3770000"/>
    <n v="0"/>
    <n v="0"/>
    <n v="0"/>
    <n v="0"/>
    <n v="0"/>
    <n v="0"/>
    <n v="0"/>
    <n v="4610000"/>
    <n v="0"/>
    <n v="0"/>
    <n v="0"/>
    <n v="0"/>
    <m/>
    <n v="16760000"/>
    <s v="RS"/>
  </r>
  <r>
    <x v="1"/>
    <s v="A"/>
    <s v="SALUD"/>
    <s v="RURAL"/>
    <s v="SOCIAL"/>
    <s v="OSORNO"/>
    <s v="PURRANQUE"/>
    <n v="3"/>
    <x v="2"/>
    <s v="DISEÑO"/>
    <n v="30171923"/>
    <m/>
    <s v="Ignacio Ortiz Martin"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11700000"/>
    <n v="0"/>
    <n v="11700000"/>
    <n v="0"/>
    <n v="0"/>
    <n v="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OSORNO"/>
    <s v="PURRANQUE"/>
    <n v="3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PURRANQUE"/>
    <n v="3"/>
    <x v="3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7834777"/>
    <n v="192165223"/>
    <n v="0"/>
    <n v="0"/>
    <n v="0"/>
    <n v="0"/>
    <n v="0"/>
    <n v="0"/>
    <n v="0"/>
    <n v="6554029"/>
    <n v="1280748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780941640"/>
    <n v="955247076"/>
    <m/>
    <n v="1664875533"/>
    <n v="1098533127"/>
    <n v="566342406"/>
    <n v="0"/>
    <n v="0"/>
    <n v="0"/>
    <n v="0"/>
    <n v="0"/>
    <n v="145467852"/>
    <n v="30195105"/>
    <n v="218379843"/>
    <n v="2718248"/>
    <n v="179931758"/>
    <n v="439539847"/>
    <n v="82300474"/>
    <m/>
    <n v="16081903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PURRANQUE"/>
    <n v="3"/>
    <x v="2"/>
    <s v="DISEÑO"/>
    <n v="30068433"/>
    <m/>
    <s v="Ignacio Ortiz Martin"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6791333.3333333302"/>
    <n v="0"/>
    <n v="6791333.3333333302"/>
    <n v="0"/>
    <n v="0"/>
    <n v="0"/>
    <n v="0"/>
    <n v="0"/>
    <n v="0"/>
    <n v="0"/>
    <n v="0"/>
    <n v="0"/>
    <n v="0"/>
    <n v="0"/>
    <n v="0"/>
    <m/>
    <n v="13582666.66666667"/>
    <s v="RS"/>
  </r>
  <r>
    <x v="1"/>
    <s v="N"/>
    <s v="ENERGIA"/>
    <s v="RURAL"/>
    <s v="SOCIAL"/>
    <s v="OSORNO"/>
    <s v="PURRANQUE"/>
    <n v="3"/>
    <x v="5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63100"/>
    <n v="0"/>
    <n v="15363100"/>
    <n v="0"/>
    <n v="0"/>
    <n v="0"/>
    <n v="0"/>
    <n v="0"/>
    <n v="0"/>
    <n v="0"/>
    <n v="0"/>
    <n v="0"/>
    <n v="0"/>
    <n v="0"/>
    <n v="0"/>
    <m/>
    <n v="138267900"/>
    <s v="RS"/>
  </r>
  <r>
    <x v="3"/>
    <s v="N"/>
    <s v="DEFENSA Y SEGURIDAD"/>
    <s v="URBANO"/>
    <s v="SOCIAL"/>
    <s v="OSORNO"/>
    <s v="PURRANQUE"/>
    <n v="3"/>
    <x v="2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72872828"/>
    <n v="0"/>
    <n v="72872828"/>
    <n v="0"/>
    <n v="0"/>
    <n v="0"/>
    <n v="0"/>
    <n v="0"/>
    <n v="0"/>
    <n v="0"/>
    <n v="0"/>
    <n v="0"/>
    <n v="0"/>
    <n v="0"/>
    <n v="0"/>
    <m/>
    <n v="443808904"/>
    <s v="RS*"/>
  </r>
  <r>
    <x v="1"/>
    <s v="N"/>
    <s v="TRANSPORTE Y VIVIENDA"/>
    <s v="URBANO"/>
    <s v="SOCIAL"/>
    <s v="OSORNO"/>
    <s v="PURRANQUE"/>
    <n v="3"/>
    <x v="2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67286886"/>
    <n v="0"/>
    <n v="67286886"/>
    <n v="0"/>
    <n v="0"/>
    <n v="0"/>
    <n v="0"/>
    <n v="0"/>
    <n v="0"/>
    <n v="0"/>
    <n v="0"/>
    <n v="0"/>
    <n v="0"/>
    <n v="0"/>
    <n v="0"/>
    <m/>
    <n v="627004114"/>
    <s v="RS*"/>
  </r>
  <r>
    <x v="3"/>
    <s v="N"/>
    <s v="MULTISECTORIAL"/>
    <s v="URBANO"/>
    <s v="SOCIAL"/>
    <s v="OSORNO"/>
    <s v="PURRANQUE"/>
    <n v="3"/>
    <x v="1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79135000"/>
    <n v="0"/>
    <n v="79135000"/>
    <n v="0"/>
    <n v="0"/>
    <n v="0"/>
    <n v="0"/>
    <n v="0"/>
    <n v="0"/>
    <n v="0"/>
    <n v="0"/>
    <n v="0"/>
    <n v="0"/>
    <n v="0"/>
    <n v="0"/>
    <m/>
    <n v="0"/>
    <s v="RS*"/>
  </r>
  <r>
    <x v="1"/>
    <s v="N"/>
    <s v="TRANSPORTE Y VIVIENDA"/>
    <s v="RURAL"/>
    <s v="CONECTIVIDAD"/>
    <s v="OSORNO"/>
    <s v="PURRANQUE"/>
    <n v="3"/>
    <x v="1"/>
    <s v="EJECUCION"/>
    <n v="40019354"/>
    <m/>
    <m/>
    <s v="40019354EJECUCION"/>
    <m/>
    <s v="CONSERVACION CAMINOS NO ENROLADOS COLONIA PONCE (C33)"/>
    <m/>
    <m/>
    <m/>
    <m/>
    <m/>
    <m/>
    <m/>
    <n v="500000000"/>
    <n v="0"/>
    <m/>
    <n v="40000000"/>
    <n v="0"/>
    <n v="40000000"/>
    <n v="0"/>
    <n v="0"/>
    <n v="0"/>
    <n v="0"/>
    <n v="0"/>
    <n v="0"/>
    <n v="0"/>
    <n v="0"/>
    <n v="0"/>
    <n v="0"/>
    <n v="0"/>
    <n v="0"/>
    <m/>
    <n v="460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964112732"/>
    <n v="0"/>
    <m/>
    <n v="281449147.33333331"/>
    <n v="0"/>
    <n v="281449147.33333331"/>
    <n v="0"/>
    <n v="0"/>
    <n v="0"/>
    <n v="0"/>
    <n v="0"/>
    <n v="0"/>
    <n v="0"/>
    <n v="0"/>
    <n v="0"/>
    <n v="0"/>
    <n v="0"/>
    <n v="0"/>
    <m/>
    <n v="1682663584.666666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RRANQUE"/>
    <m/>
    <m/>
    <m/>
    <m/>
    <m/>
    <m/>
    <m/>
    <n v="4745054372"/>
    <n v="955247076"/>
    <m/>
    <n v="1946324680.3333333"/>
    <n v="1098533127"/>
    <n v="847791553.33333325"/>
    <n v="0"/>
    <n v="0"/>
    <n v="0"/>
    <n v="0"/>
    <n v="0"/>
    <n v="145467852"/>
    <n v="30195105"/>
    <n v="218379843"/>
    <n v="2718248"/>
    <n v="179931758"/>
    <n v="439539847"/>
    <n v="82300474"/>
    <m/>
    <n v="1843482615.666666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CONECTIVIDAD"/>
    <s v="OSORNO"/>
    <s v="PUYEHUE"/>
    <n v="4"/>
    <x v="1"/>
    <s v="EJECUCION"/>
    <n v="40001354"/>
    <m/>
    <e v="#N/A"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98794119"/>
    <n v="176765456"/>
    <n v="22028663"/>
    <n v="0"/>
    <n v="0"/>
    <n v="0"/>
    <n v="0"/>
    <n v="0"/>
    <n v="0"/>
    <n v="0"/>
    <n v="176765456"/>
    <n v="0"/>
    <n v="0"/>
    <n v="0"/>
    <n v="0"/>
    <m/>
    <n v="0"/>
    <s v="RS*"/>
  </r>
  <r>
    <x v="1"/>
    <s v="A"/>
    <s v="EDUCACIÓN Y CULTURA"/>
    <s v="RURAL"/>
    <s v="SOCIAL"/>
    <s v="OSORNO"/>
    <s v="PUYEHUE"/>
    <n v="4"/>
    <x v="2"/>
    <s v="EJECUCION"/>
    <n v="30067012"/>
    <m/>
    <s v="Ignacio Ortiz Martin"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2820514"/>
    <n v="2820514"/>
    <n v="0"/>
    <m/>
    <m/>
    <m/>
    <m/>
    <m/>
    <n v="0"/>
    <n v="678300"/>
    <n v="2142214"/>
    <n v="0"/>
    <m/>
    <m/>
    <m/>
    <m/>
    <n v="28050309"/>
    <s v="IN"/>
  </r>
  <r>
    <x v="3"/>
    <s v="A"/>
    <s v="TRANSPORTE Y VIVIENDA"/>
    <s v="URBANO"/>
    <s v="SOCIAL"/>
    <s v="OSORNO"/>
    <s v="PUYEHUE"/>
    <n v="4"/>
    <x v="2"/>
    <s v="EJECUCION"/>
    <n v="40018376"/>
    <m/>
    <e v="#N/A"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</r>
  <r>
    <x v="2"/>
    <s v="A"/>
    <s v="MULTISECTORIAL"/>
    <s v="URBANO"/>
    <s v="SOCIAL"/>
    <s v="OSORNO"/>
    <s v="PUYEHUE"/>
    <n v="4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PUYEHUE"/>
    <n v="4"/>
    <x v="3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109473218"/>
    <n v="90526782"/>
    <n v="0"/>
    <n v="0"/>
    <n v="0"/>
    <n v="0"/>
    <n v="0"/>
    <n v="0"/>
    <n v="54869950"/>
    <n v="0"/>
    <n v="24692135"/>
    <n v="0"/>
    <n v="29911133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739475160"/>
    <n v="3115184988"/>
    <m/>
    <n v="596239863"/>
    <n v="383684418"/>
    <n v="212555445"/>
    <n v="0"/>
    <n v="0"/>
    <n v="0"/>
    <n v="0"/>
    <n v="0"/>
    <n v="94625230"/>
    <n v="55548250"/>
    <n v="178907670"/>
    <n v="24692135"/>
    <n v="0"/>
    <n v="29911133"/>
    <n v="0"/>
    <m/>
    <n v="2805030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CONECTIVIDAD"/>
    <s v="OSORNO"/>
    <s v="PUYEHUE"/>
    <n v="4"/>
    <x v="2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103016000"/>
    <n v="0"/>
    <n v="103016000"/>
    <n v="0"/>
    <n v="0"/>
    <n v="0"/>
    <n v="0"/>
    <n v="0"/>
    <n v="0"/>
    <n v="0"/>
    <n v="0"/>
    <n v="0"/>
    <n v="0"/>
    <n v="0"/>
    <n v="0"/>
    <m/>
    <n v="0"/>
    <s v="RS"/>
  </r>
  <r>
    <x v="1"/>
    <s v="A"/>
    <s v="SALUD"/>
    <s v="RURAL"/>
    <s v="SALUD"/>
    <s v="OSORNO"/>
    <s v="PUYEHUE"/>
    <n v="4"/>
    <x v="2"/>
    <s v="DISEÑO"/>
    <n v="40007052"/>
    <m/>
    <e v="#N/A"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13250770"/>
    <n v="0"/>
    <n v="13250770"/>
    <n v="0"/>
    <n v="0"/>
    <n v="0"/>
    <n v="0"/>
    <n v="0"/>
    <n v="0"/>
    <n v="0"/>
    <n v="0"/>
    <n v="0"/>
    <n v="0"/>
    <n v="0"/>
    <n v="0"/>
    <m/>
    <n v="1327623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29543000"/>
    <n v="0"/>
    <m/>
    <n v="116266770"/>
    <n v="0"/>
    <n v="116266770"/>
    <n v="0"/>
    <n v="0"/>
    <n v="0"/>
    <n v="0"/>
    <n v="0"/>
    <n v="0"/>
    <n v="0"/>
    <n v="0"/>
    <n v="0"/>
    <n v="0"/>
    <n v="0"/>
    <n v="0"/>
    <m/>
    <n v="1327623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YEHUE"/>
    <m/>
    <m/>
    <m/>
    <m/>
    <m/>
    <m/>
    <m/>
    <n v="3869018160"/>
    <n v="3115184988"/>
    <m/>
    <n v="712506633"/>
    <n v="383684418"/>
    <n v="328822215"/>
    <n v="0"/>
    <n v="0"/>
    <n v="0"/>
    <n v="0"/>
    <n v="0"/>
    <n v="94625230"/>
    <n v="55548250"/>
    <n v="178907670"/>
    <n v="24692135"/>
    <n v="0"/>
    <n v="29911133"/>
    <n v="0"/>
    <m/>
    <n v="4132653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OSORNO"/>
    <s v="RIO NEGRO"/>
    <n v="5"/>
    <x v="2"/>
    <s v="DISEÑO"/>
    <n v="30088194"/>
    <m/>
    <s v="Ignacio Ortiz Martin"/>
    <s v="30088194DISEÑO"/>
    <m/>
    <s v="REPOSICION ESCUELA ANDREW JACKSON RIO NEGRO"/>
    <m/>
    <m/>
    <m/>
    <m/>
    <m/>
    <m/>
    <m/>
    <n v="168868000"/>
    <n v="112337477"/>
    <m/>
    <n v="56530523"/>
    <n v="42216590"/>
    <n v="14313933"/>
    <n v="0"/>
    <n v="0"/>
    <n v="0"/>
    <n v="0"/>
    <n v="0"/>
    <n v="0"/>
    <n v="0"/>
    <n v="42216590"/>
    <n v="0"/>
    <n v="0"/>
    <n v="0"/>
    <n v="0"/>
    <m/>
    <n v="0"/>
    <s v="RS"/>
  </r>
  <r>
    <x v="1"/>
    <s v="A"/>
    <s v="MULTISECTORIAL"/>
    <s v="URBANO"/>
    <s v="SOCIAL"/>
    <s v="OSORNO"/>
    <s v="RIO NEGRO"/>
    <n v="5"/>
    <x v="1"/>
    <s v="EJECUCION"/>
    <n v="30284622"/>
    <m/>
    <e v="#N/A"/>
    <s v="30284622EJECUCION"/>
    <s v="450-134-LR19"/>
    <s v="REPOSICION PLAZA DE ARMAS RIO NEGRO"/>
    <m/>
    <m/>
    <m/>
    <m/>
    <m/>
    <m/>
    <m/>
    <n v="692739000"/>
    <n v="0"/>
    <m/>
    <n v="673567593"/>
    <n v="666417182"/>
    <n v="7150411"/>
    <n v="0"/>
    <n v="0"/>
    <n v="0"/>
    <n v="0"/>
    <n v="0"/>
    <n v="1714285"/>
    <n v="1714285"/>
    <n v="113353943"/>
    <n v="245651400"/>
    <n v="181100621"/>
    <n v="122882648"/>
    <n v="0"/>
    <m/>
    <n v="19171407"/>
    <s v="RS"/>
  </r>
  <r>
    <x v="2"/>
    <s v="A"/>
    <s v="MULTISECTORIAL"/>
    <s v="URBANO"/>
    <s v="SOCIAL"/>
    <s v="OSORNO"/>
    <s v="RIO NEGRO"/>
    <n v="5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RIO NEGRO"/>
    <n v="5"/>
    <x v="3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79859710"/>
    <n v="20140290"/>
    <n v="0"/>
    <n v="0"/>
    <n v="0"/>
    <n v="0"/>
    <n v="0"/>
    <n v="24259524"/>
    <n v="44987754"/>
    <n v="0"/>
    <n v="0"/>
    <n v="110612432"/>
    <n v="0"/>
    <n v="0"/>
    <m/>
    <n v="0"/>
    <s v="RS**"/>
  </r>
  <r>
    <x v="1"/>
    <s v="A"/>
    <s v="MULTISECTORIAL"/>
    <s v="URBANO"/>
    <s v="SOCIAL"/>
    <s v="OSORNO"/>
    <s v="RIO NEGRO"/>
    <n v="5"/>
    <x v="2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36093304"/>
    <n v="0"/>
    <n v="36093304"/>
    <m/>
    <m/>
    <m/>
    <m/>
    <m/>
    <n v="0"/>
    <m/>
    <m/>
    <m/>
    <m/>
    <m/>
    <m/>
    <m/>
    <n v="8864696"/>
    <s v="RS*"/>
  </r>
  <r>
    <x v="3"/>
    <s v="N"/>
    <s v="TRANSPORTE Y VIVIENDA"/>
    <s v="RURAL"/>
    <s v="CONECTIVIDAD"/>
    <s v="OSORNO"/>
    <s v="RIO NEGRO"/>
    <n v="5"/>
    <x v="1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007260887"/>
    <n v="913033364"/>
    <m/>
    <n v="1066191420"/>
    <n v="888493482"/>
    <n v="177697938"/>
    <n v="0"/>
    <n v="0"/>
    <n v="0"/>
    <n v="0"/>
    <n v="0"/>
    <n v="25973809"/>
    <n v="46702039"/>
    <n v="155570533"/>
    <n v="245651400"/>
    <n v="291713053"/>
    <n v="122882648"/>
    <n v="0"/>
    <m/>
    <n v="1917140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SALUD"/>
    <s v="RURAL"/>
    <s v="SOCIAL"/>
    <s v="OSORNO"/>
    <s v="RIO NEGRO"/>
    <n v="5"/>
    <x v="2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RIO NEGRO"/>
    <m/>
    <m/>
    <m/>
    <m/>
    <m/>
    <m/>
    <m/>
    <n v="2041600887"/>
    <n v="913033364"/>
    <m/>
    <n v="1071191420"/>
    <n v="888493482"/>
    <n v="182697938"/>
    <n v="0"/>
    <n v="0"/>
    <n v="0"/>
    <n v="0"/>
    <n v="0"/>
    <n v="25973809"/>
    <n v="46702039"/>
    <n v="155570533"/>
    <n v="245651400"/>
    <n v="291713053"/>
    <n v="122882648"/>
    <n v="0"/>
    <m/>
    <n v="5737610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OSORNO"/>
    <s v="SAN JUAN DE LA COSTA"/>
    <n v="6"/>
    <x v="4"/>
    <s v="EJECUCION"/>
    <n v="30110580"/>
    <m/>
    <s v="Ignacio Ortiz Martin"/>
    <s v="30110580EJECUCION"/>
    <m/>
    <s v="REPOSICION LICEO INTERNADO ANTULAFKEN PUAUCHO"/>
    <m/>
    <m/>
    <m/>
    <m/>
    <m/>
    <m/>
    <m/>
    <n v="3406943000"/>
    <n v="3059398659"/>
    <m/>
    <n v="288197803"/>
    <n v="145505558"/>
    <n v="142692245"/>
    <n v="0"/>
    <n v="0"/>
    <n v="0"/>
    <n v="0"/>
    <n v="0"/>
    <n v="0"/>
    <n v="0"/>
    <n v="142672223"/>
    <n v="0"/>
    <n v="0"/>
    <n v="0"/>
    <n v="2833335"/>
    <m/>
    <n v="59346538"/>
    <s v="RE"/>
  </r>
  <r>
    <x v="1"/>
    <s v="N"/>
    <s v="ENERGIA"/>
    <s v="RURAL"/>
    <s v="SOCIAL"/>
    <s v="OSORNO"/>
    <s v="SAN JUAN DE LA COSTA"/>
    <n v="6"/>
    <x v="5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</r>
  <r>
    <x v="1"/>
    <s v="A"/>
    <s v="SALUD"/>
    <s v="RURAL"/>
    <s v="SOCIAL"/>
    <s v="OSORNO"/>
    <s v="SAN JUAN DE LA COSTA"/>
    <n v="6"/>
    <x v="2"/>
    <s v="EJECUCION"/>
    <n v="30071878"/>
    <s v="SALUD"/>
    <s v="GLORIA DEL CARMEN QUEZADA VELASQUEZ"/>
    <s v="30071878EJECUCION"/>
    <m/>
    <s v="REPOSICION CONSULTORIO DE SALUD RURAL BAHIA MANSA"/>
    <m/>
    <m/>
    <m/>
    <m/>
    <m/>
    <m/>
    <m/>
    <n v="2587228000"/>
    <n v="0"/>
    <m/>
    <n v="364048000"/>
    <n v="26644784"/>
    <n v="337403216"/>
    <n v="0"/>
    <n v="0"/>
    <n v="0"/>
    <n v="0"/>
    <n v="0"/>
    <n v="0"/>
    <n v="12994362"/>
    <n v="0"/>
    <n v="901728"/>
    <n v="12748694"/>
    <n v="0"/>
    <n v="0"/>
    <m/>
    <n v="2223180000"/>
    <s v="RS"/>
  </r>
  <r>
    <x v="2"/>
    <s v="A"/>
    <s v="MULTISECTORIAL"/>
    <s v="URBANO"/>
    <s v="SOCIAL"/>
    <s v="OSORNO"/>
    <s v="SAN JUAN DE LA COSTA"/>
    <n v="6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SAN JUAN DE LA COSTA"/>
    <n v="6"/>
    <x v="3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19980911"/>
    <n v="80019089"/>
    <n v="0"/>
    <n v="0"/>
    <n v="0"/>
    <n v="0"/>
    <n v="0"/>
    <n v="7574094"/>
    <n v="23293344"/>
    <n v="0"/>
    <n v="62159365"/>
    <n v="0"/>
    <n v="26954108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SAN JUAN DE LA COSTA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OSORNO"/>
    <s v="SAN PABLO"/>
    <n v="7"/>
    <x v="2"/>
    <s v="DISEÑO"/>
    <n v="30405773"/>
    <m/>
    <s v="GLORIA DEL CARMEN QUEZADA VELASQUEZ"/>
    <s v="30405773DISEÑO"/>
    <m/>
    <s v="REPOSICION POSTA RURAL LA POZA, COMUNA DE SAN PABLO"/>
    <m/>
    <m/>
    <m/>
    <m/>
    <m/>
    <m/>
    <m/>
    <n v="24900000"/>
    <n v="6679000"/>
    <m/>
    <n v="17947699"/>
    <n v="5050500"/>
    <n v="12897199"/>
    <n v="0"/>
    <n v="0"/>
    <n v="0"/>
    <n v="0"/>
    <n v="0"/>
    <n v="0"/>
    <n v="5050500"/>
    <n v="0"/>
    <n v="0"/>
    <n v="0"/>
    <n v="0"/>
    <n v="0"/>
    <m/>
    <n v="273301"/>
    <s v="RS"/>
  </r>
  <r>
    <x v="3"/>
    <s v="A"/>
    <s v="EDUCACIÓN Y CULTURA"/>
    <s v="URBANO"/>
    <s v="SOCIAL"/>
    <s v="OSORNO"/>
    <s v="SAN PABLO"/>
    <n v="7"/>
    <x v="4"/>
    <s v="EJECUCION"/>
    <n v="40000985"/>
    <m/>
    <s v="GLORIA DEL CARMEN QUEZADA VELASQUEZ"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9014"/>
    <n v="163408107"/>
    <n v="907"/>
    <n v="0"/>
    <n v="0"/>
    <n v="0"/>
    <n v="0"/>
    <n v="0"/>
    <n v="0"/>
    <n v="0"/>
    <n v="0"/>
    <n v="105255061"/>
    <n v="58153046"/>
    <n v="0"/>
    <n v="0"/>
    <m/>
    <n v="728"/>
    <s v="RS*"/>
  </r>
  <r>
    <x v="3"/>
    <s v="N"/>
    <s v="SALUD"/>
    <s v="URBANO"/>
    <s v="SOCIAL"/>
    <s v="OSORNO"/>
    <s v="SAN PABLO"/>
    <n v="7"/>
    <x v="1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</r>
  <r>
    <x v="3"/>
    <s v="N"/>
    <s v="MULTISECTORIAL"/>
    <s v="URBANO"/>
    <s v="SOCIAL"/>
    <s v="OSORNO"/>
    <s v="SAN PABLO"/>
    <n v="7"/>
    <x v="2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</r>
  <r>
    <x v="2"/>
    <s v="A"/>
    <s v="MULTISECTORIAL"/>
    <s v="URBANO"/>
    <s v="SOCIAL"/>
    <s v="OSORNO"/>
    <s v="SAN PABLO"/>
    <n v="7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OSORNO"/>
    <s v="SAN PABLO"/>
    <n v="7"/>
    <x v="3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80049584"/>
    <n v="119950416"/>
    <n v="0"/>
    <n v="0"/>
    <n v="0"/>
    <n v="0"/>
    <n v="0"/>
    <n v="0"/>
    <n v="0"/>
    <n v="3706026"/>
    <n v="44076261"/>
    <n v="0"/>
    <n v="32267297"/>
    <n v="0"/>
    <m/>
    <n v="0"/>
    <s v="RS**"/>
  </r>
  <r>
    <x v="1"/>
    <s v="N"/>
    <s v="TRANSPORTE Y VIVIENDA"/>
    <s v="URBANO"/>
    <s v="CONECTIVIDAD"/>
    <s v="OSORNO"/>
    <s v="SAN PABLO"/>
    <n v="7"/>
    <x v="1"/>
    <s v="EJECUCION"/>
    <n v="30247072"/>
    <m/>
    <m/>
    <s v="30247072EJECUCION"/>
    <m/>
    <s v="MEJORAMIENTO ACCESO NORTE A SAN PABLO"/>
    <m/>
    <m/>
    <m/>
    <m/>
    <m/>
    <m/>
    <m/>
    <n v="14960000"/>
    <n v="1496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770931301"/>
    <n v="159110258"/>
    <m/>
    <n v="611547014"/>
    <n v="378698492"/>
    <n v="232848522"/>
    <n v="0"/>
    <n v="0"/>
    <n v="0"/>
    <n v="0"/>
    <n v="0"/>
    <n v="89690300"/>
    <n v="5050500"/>
    <n v="44206027"/>
    <n v="149331322"/>
    <n v="58153046"/>
    <n v="32267297"/>
    <n v="0"/>
    <m/>
    <n v="27402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EDUCACIÓN Y CULTURA"/>
    <s v="URBANO"/>
    <s v="SOCIAL"/>
    <s v="OSORNO"/>
    <s v="SAN PABLO"/>
    <n v="7"/>
    <x v="4"/>
    <s v="EJECUCION"/>
    <n v="40000986"/>
    <m/>
    <e v="#N/A"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SAN PABLO"/>
    <m/>
    <m/>
    <m/>
    <m/>
    <m/>
    <m/>
    <m/>
    <n v="1070536301"/>
    <n v="159110258"/>
    <m/>
    <n v="911152014"/>
    <n v="378698492"/>
    <n v="532453522"/>
    <n v="0"/>
    <n v="0"/>
    <n v="0"/>
    <n v="0"/>
    <n v="0"/>
    <n v="89690300"/>
    <n v="5050500"/>
    <n v="44206027"/>
    <n v="149331322"/>
    <n v="58153046"/>
    <n v="32267297"/>
    <n v="0"/>
    <m/>
    <n v="27402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RURAL"/>
    <s v="SOCIAL"/>
    <s v="OSORNO"/>
    <s v="PROV. OSORNO"/>
    <n v="8"/>
    <x v="2"/>
    <s v="EJECUCION"/>
    <n v="30086815"/>
    <s v="G"/>
    <s v="KARIN DEL CARMEN BARRIENTOS WINTER"/>
    <s v="30086815EJECUCION"/>
    <m/>
    <s v="CONSTRUCCION  RELLENO SANITARIO PROV. DE OSORNO"/>
    <m/>
    <m/>
    <m/>
    <m/>
    <m/>
    <m/>
    <m/>
    <n v="15318985549"/>
    <n v="4736606083"/>
    <m/>
    <n v="25158315"/>
    <n v="0"/>
    <n v="25158315"/>
    <n v="0"/>
    <n v="0"/>
    <n v="0"/>
    <n v="0"/>
    <n v="0"/>
    <n v="0"/>
    <n v="0"/>
    <n v="0"/>
    <n v="0"/>
    <n v="0"/>
    <n v="0"/>
    <n v="0"/>
    <m/>
    <n v="10557221151"/>
    <s v="RS"/>
  </r>
  <r>
    <x v="1"/>
    <s v="A"/>
    <s v="TRANSPORTE Y VIVIENDA"/>
    <s v="RURAL"/>
    <s v="CONECTIVIDAD"/>
    <s v="OSORNO"/>
    <s v="PROV. OSORNO"/>
    <n v="8"/>
    <x v="1"/>
    <s v="EJECUCION"/>
    <n v="40001554"/>
    <m/>
    <e v="#N/A"/>
    <s v="40001554EJECUCION"/>
    <m/>
    <s v="CONSERVACION DE CAMINOS DE ACC. COMUN. INDIGENAS PUYEHUE, RIO NEGRO Y PURRANQUE (C33)"/>
    <m/>
    <m/>
    <m/>
    <m/>
    <m/>
    <m/>
    <m/>
    <n v="271000000"/>
    <n v="45085404"/>
    <m/>
    <n v="170017735"/>
    <n v="119701022"/>
    <n v="50316713"/>
    <n v="0"/>
    <n v="0"/>
    <n v="0"/>
    <n v="0"/>
    <n v="0"/>
    <n v="0"/>
    <n v="0"/>
    <n v="16290216"/>
    <n v="0"/>
    <n v="16999179"/>
    <n v="86411627"/>
    <n v="0"/>
    <m/>
    <n v="55896861"/>
    <s v="RS*"/>
  </r>
  <r>
    <x v="1"/>
    <s v="A"/>
    <s v="SALUD"/>
    <s v="URBANO"/>
    <s v="SOCIAL"/>
    <s v="OSORNO"/>
    <s v="PROV. OSORNO"/>
    <n v="8"/>
    <x v="2"/>
    <s v="EJECUCION"/>
    <n v="30126279"/>
    <s v="SALUD"/>
    <s v="GLORIA DEL CARMEN QUEZADA VELASQUEZ"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</r>
  <r>
    <x v="1"/>
    <s v="A"/>
    <s v="TRANSPORTE Y VIVIENDA"/>
    <s v="RURAL"/>
    <s v="CONECTIVIDAD"/>
    <s v="OSORNO"/>
    <s v="PROV. OSORNO"/>
    <n v="8"/>
    <x v="1"/>
    <s v="EJECUCION"/>
    <n v="30448275"/>
    <m/>
    <s v="GLORIA DEL CARMEN QUEZADA VELASQUEZ"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8621550"/>
    <n v="0"/>
    <n v="8621550"/>
    <n v="0"/>
    <n v="0"/>
    <n v="0"/>
    <n v="0"/>
    <n v="0"/>
    <n v="0"/>
    <n v="0"/>
    <n v="0"/>
    <n v="0"/>
    <n v="0"/>
    <n v="0"/>
    <n v="0"/>
    <m/>
    <n v="7350000"/>
    <s v="RS*"/>
  </r>
  <r>
    <x v="1"/>
    <s v="A"/>
    <s v="DEFENSA Y SEGURIDAD"/>
    <s v="RURAL"/>
    <s v="SOCIAL"/>
    <s v="OSORNO"/>
    <s v="PROV. OSORNO"/>
    <n v="8"/>
    <x v="2"/>
    <s v="EJECUCION"/>
    <n v="30087497"/>
    <s v="G"/>
    <s v="Ignacio Ortiz Martin"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2064914131.6666601"/>
    <n v="2060777476"/>
    <n v="4136655.6666600704"/>
    <n v="0"/>
    <n v="0"/>
    <n v="0"/>
    <n v="0"/>
    <n v="0"/>
    <n v="0"/>
    <n v="395388053"/>
    <n v="401942413"/>
    <n v="4837654"/>
    <n v="441994391"/>
    <n v="518614764"/>
    <n v="298000201"/>
    <m/>
    <n v="3741623487.3333397"/>
    <s v="RS"/>
  </r>
  <r>
    <x v="1"/>
    <s v="A"/>
    <s v="SALUD"/>
    <s v="URBANO"/>
    <s v="SOCIAL"/>
    <s v="OSORNO"/>
    <s v="PROV. OSORNO"/>
    <n v="8"/>
    <x v="2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m/>
    <m/>
    <m/>
    <m/>
    <m/>
    <n v="0"/>
    <n v="0"/>
    <n v="7294860"/>
    <m/>
    <m/>
    <m/>
    <m/>
    <m/>
    <n v="107662085"/>
    <s v="RE"/>
  </r>
  <r>
    <x v="3"/>
    <s v="N"/>
    <s v="SALUD"/>
    <s v="URBANO"/>
    <s v="SOCIAL"/>
    <s v="OSORNO"/>
    <s v="PROV. OSORNO"/>
    <n v="8"/>
    <x v="2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m/>
    <m/>
    <m/>
    <m/>
    <m/>
    <n v="0"/>
    <n v="163364000"/>
    <n v="0"/>
    <n v="0"/>
    <m/>
    <m/>
    <m/>
    <m/>
    <n v="0"/>
    <s v="RS*"/>
  </r>
  <r>
    <x v="3"/>
    <s v="N"/>
    <s v="SALUD"/>
    <s v="URBANO"/>
    <s v="SOCIAL"/>
    <s v="OSORNO"/>
    <s v="PROV. OSORNO"/>
    <n v="8"/>
    <x v="2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3887869"/>
    <n v="43887869"/>
    <n v="0"/>
    <m/>
    <m/>
    <m/>
    <m/>
    <m/>
    <n v="43887869"/>
    <n v="0"/>
    <n v="0"/>
    <n v="0"/>
    <m/>
    <m/>
    <m/>
    <m/>
    <n v="443216131"/>
    <s v="RS*"/>
  </r>
  <r>
    <x v="1"/>
    <s v="A"/>
    <s v="SALUD"/>
    <s v="RURAL"/>
    <s v="SOCIAL"/>
    <s v="OSORNO"/>
    <s v="PROV. OSORNO"/>
    <n v="8"/>
    <x v="2"/>
    <s v="EJECUCION"/>
    <n v="30126943"/>
    <s v="SALUD"/>
    <s v="GLORIA DEL CARMEN QUEZADA VELASQUEZ"/>
    <s v="30126943EJECUCION"/>
    <m/>
    <s v="MEJORAMIENTO HOSPITAL DE RIO NEGRO"/>
    <m/>
    <m/>
    <m/>
    <m/>
    <m/>
    <m/>
    <m/>
    <n v="3542559000"/>
    <n v="2092000"/>
    <m/>
    <n v="599559468"/>
    <n v="44744000"/>
    <n v="554815468"/>
    <n v="0"/>
    <n v="0"/>
    <n v="0"/>
    <n v="0"/>
    <n v="0"/>
    <n v="0"/>
    <n v="0"/>
    <n v="0"/>
    <n v="0"/>
    <n v="44744000"/>
    <n v="0"/>
    <n v="0"/>
    <m/>
    <n v="2940907532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0396505567"/>
    <n v="9393959757"/>
    <m/>
    <n v="3148496899.6666603"/>
    <n v="2500595634"/>
    <n v="647901265.66666007"/>
    <n v="0"/>
    <n v="0"/>
    <n v="0"/>
    <n v="0"/>
    <n v="0"/>
    <n v="43887869"/>
    <n v="560620220"/>
    <n v="458602899"/>
    <n v="4837654"/>
    <n v="529620400"/>
    <n v="605026391"/>
    <n v="298000201"/>
    <m/>
    <n v="17854048910.3333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URBANO"/>
    <s v="SOCIAL"/>
    <s v="OSORNO"/>
    <s v="PROV. OSORNO"/>
    <n v="8"/>
    <x v="2"/>
    <s v="EJECUCION"/>
    <n v="30402378"/>
    <m/>
    <e v="#N/A"/>
    <s v="30402378EJECUCION"/>
    <m/>
    <s v="DIAGNOSTICO INFRAESTRUCTURA PSR DE LA RED ASISTENCIAL DE OSORNO"/>
    <m/>
    <m/>
    <m/>
    <m/>
    <m/>
    <m/>
    <m/>
    <n v="32260000"/>
    <n v="0"/>
    <m/>
    <n v="32260000"/>
    <n v="0"/>
    <n v="32260000"/>
    <n v="0"/>
    <n v="0"/>
    <n v="0"/>
    <n v="0"/>
    <n v="0"/>
    <n v="0"/>
    <n v="0"/>
    <n v="0"/>
    <n v="0"/>
    <n v="0"/>
    <n v="0"/>
    <n v="0"/>
    <m/>
    <n v="0"/>
    <s v="RS"/>
  </r>
  <r>
    <x v="1"/>
    <s v="N"/>
    <s v="TRANSPORTE Y VIVIENDA"/>
    <s v="URBANO"/>
    <s v="AGUA POTABLE"/>
    <s v="OSORNO"/>
    <s v="PROV. OSORNO"/>
    <n v="8"/>
    <x v="2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0"/>
    <n v="0"/>
    <n v="0"/>
    <n v="0"/>
    <n v="0"/>
    <n v="0"/>
    <n v="0"/>
    <n v="0"/>
    <n v="0"/>
    <n v="0"/>
    <n v="0"/>
    <n v="0"/>
    <n v="0"/>
    <n v="0"/>
    <n v="0"/>
    <m/>
    <n v="402984000"/>
    <s v="RS"/>
  </r>
  <r>
    <x v="3"/>
    <s v="N"/>
    <s v="SALUD"/>
    <s v="URBANO"/>
    <s v="SOCIAL"/>
    <s v="OSORNO"/>
    <s v="PROV. OSORNO"/>
    <n v="8"/>
    <x v="2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m/>
    <m/>
    <m/>
    <m/>
    <m/>
    <n v="0"/>
    <n v="0"/>
    <n v="0"/>
    <n v="0"/>
    <n v="0"/>
    <n v="0"/>
    <n v="0"/>
    <m/>
    <n v="52816000"/>
    <s v="RS*"/>
  </r>
  <r>
    <x v="1"/>
    <s v="A"/>
    <s v="TRANSPORTE Y VIVIENDA"/>
    <s v="RURAL"/>
    <s v="CONECTIVIDAD"/>
    <s v="OSORNO"/>
    <s v="PROV. OSORNO"/>
    <n v="8"/>
    <x v="1"/>
    <s v="EJECUCION"/>
    <n v="30395473"/>
    <m/>
    <e v="#N/A"/>
    <s v="30395473EJECUCION"/>
    <m/>
    <s v="CONSERVACION CAMINOS BASICOS,CAMINO U-925,CARRIL-MEDIALUNA PAMPAGRANDE (C33)"/>
    <m/>
    <m/>
    <m/>
    <m/>
    <m/>
    <m/>
    <m/>
    <n v="1688957000"/>
    <n v="0"/>
    <m/>
    <n v="343614936"/>
    <n v="0"/>
    <n v="343614936"/>
    <n v="0"/>
    <n v="0"/>
    <n v="0"/>
    <n v="0"/>
    <n v="0"/>
    <n v="0"/>
    <n v="0"/>
    <n v="0"/>
    <n v="0"/>
    <n v="0"/>
    <n v="0"/>
    <n v="0"/>
    <m/>
    <n v="1345342064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177017000"/>
    <n v="0"/>
    <m/>
    <n v="375874936"/>
    <n v="0"/>
    <n v="375874936"/>
    <n v="0"/>
    <n v="0"/>
    <n v="0"/>
    <n v="0"/>
    <n v="0"/>
    <n v="0"/>
    <n v="0"/>
    <n v="0"/>
    <n v="0"/>
    <n v="0"/>
    <n v="0"/>
    <n v="0"/>
    <m/>
    <n v="180114206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LES"/>
    <m/>
    <m/>
    <m/>
    <m/>
    <m/>
    <m/>
    <m/>
    <n v="32573522567"/>
    <n v="9393959757"/>
    <m/>
    <n v="3524371835.6666603"/>
    <n v="2500595634"/>
    <n v="1023776201.6666601"/>
    <n v="0"/>
    <n v="0"/>
    <n v="0"/>
    <n v="0"/>
    <n v="0"/>
    <n v="43887869"/>
    <n v="560620220"/>
    <n v="458602899"/>
    <n v="4837654"/>
    <n v="529620400"/>
    <n v="605026391"/>
    <n v="298000201"/>
    <m/>
    <n v="19655190974.3333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OSORNO"/>
    <m/>
    <m/>
    <m/>
    <m/>
    <m/>
    <m/>
    <m/>
    <n v="93186605861"/>
    <n v="31468023844"/>
    <m/>
    <n v="17685010467.999992"/>
    <n v="9349256892"/>
    <n v="8335753575.9999933"/>
    <n v="0"/>
    <n v="0"/>
    <n v="0"/>
    <n v="0"/>
    <n v="0"/>
    <n v="1335194398"/>
    <n v="1488058987"/>
    <n v="1934983469"/>
    <n v="932663669"/>
    <n v="1622647892"/>
    <n v="1387359897"/>
    <n v="648348580"/>
    <m/>
    <n v="44033571549.00000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LLANQUIHUE"/>
    <s v="P. MONTT"/>
    <n v="9"/>
    <x v="4"/>
    <s v="EJECUCION"/>
    <n v="30440174"/>
    <m/>
    <s v="KARIN DEL CARMEN BARRIENTOS WINTER"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21031688"/>
    <n v="0"/>
    <n v="21031688"/>
    <n v="0"/>
    <n v="0"/>
    <n v="0"/>
    <n v="0"/>
    <n v="0"/>
    <n v="0"/>
    <n v="0"/>
    <n v="0"/>
    <n v="0"/>
    <n v="0"/>
    <n v="0"/>
    <n v="0"/>
    <m/>
    <n v="0"/>
    <s v="RS*"/>
  </r>
  <r>
    <x v="1"/>
    <s v="A"/>
    <s v="SALUD"/>
    <s v="RURAL"/>
    <s v="SOCIAL"/>
    <s v="LLANQUIHUE"/>
    <s v="P. MONTT"/>
    <n v="9"/>
    <x v="2"/>
    <s v="DISEÑO"/>
    <n v="40005337"/>
    <m/>
    <e v="#N/A"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49462000"/>
    <n v="0"/>
    <n v="49462000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URBANO"/>
    <s v="SOCIAL"/>
    <s v="LLANQUIHUE"/>
    <s v="P. MONTT"/>
    <n v="9"/>
    <x v="2"/>
    <s v="EJECUCION"/>
    <n v="30103446"/>
    <m/>
    <s v="PAULINA HUIDOBRO JARAMI"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TRANSPORTE Y VIVIENDA"/>
    <s v="URBANO"/>
    <s v="SOCIAL"/>
    <s v="LLANQUIHUE"/>
    <s v="P. MONTT"/>
    <n v="9"/>
    <x v="1"/>
    <s v="EJECUCION"/>
    <n v="30072731"/>
    <s v="G"/>
    <s v="PAULINA HUIDOBRO JARAMI"/>
    <s v="30072731EJECUCION"/>
    <m/>
    <s v="* MEJORAMIENTO CALLE ANTONIO VARAS, PUERTO MONTT"/>
    <s v="* CERT. CORE 79 03.2020 - AUMENTA PPTO"/>
    <m/>
    <m/>
    <m/>
    <m/>
    <m/>
    <m/>
    <n v="8304377035"/>
    <n v="4050000"/>
    <m/>
    <n v="43363388"/>
    <n v="0"/>
    <n v="43363388"/>
    <n v="0"/>
    <n v="0"/>
    <n v="0"/>
    <n v="0"/>
    <n v="0"/>
    <n v="0"/>
    <n v="0"/>
    <n v="0"/>
    <n v="0"/>
    <n v="0"/>
    <n v="0"/>
    <n v="0"/>
    <m/>
    <n v="8256963647"/>
    <s v="RS"/>
  </r>
  <r>
    <x v="1"/>
    <s v="A"/>
    <s v="TRANSPORTE Y VIVIENDA"/>
    <s v="URBANO"/>
    <s v="CONECTIVIDAD"/>
    <s v="LLANQUIHUE"/>
    <s v="P. MONTT"/>
    <n v="9"/>
    <x v="2"/>
    <s v="EJECUCION"/>
    <n v="30080460"/>
    <m/>
    <s v="KARIN DEL CARMEN BARRIENTOS WINTER"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</r>
  <r>
    <x v="1"/>
    <s v="A"/>
    <s v="MULTISECTORIAL"/>
    <s v="URBANO"/>
    <s v="SOCIAL"/>
    <s v="LLANQUIHUE"/>
    <s v="P. MONTT"/>
    <n v="9"/>
    <x v="2"/>
    <s v="EJECUCION"/>
    <n v="30104476"/>
    <m/>
    <s v="KARIN DEL CARMEN BARRIENTOS WINTER"/>
    <s v="30104476EJECUCION"/>
    <m/>
    <s v="CONSTRUCCION CIERRE VERTEDERO MUNICIPAL COMUNA DE PUERTO MONTT"/>
    <m/>
    <m/>
    <m/>
    <m/>
    <m/>
    <m/>
    <m/>
    <n v="1111238000"/>
    <n v="2101000"/>
    <m/>
    <n v="308433000"/>
    <n v="108933337"/>
    <n v="199499663"/>
    <n v="0"/>
    <n v="0"/>
    <n v="0"/>
    <n v="0"/>
    <n v="0"/>
    <n v="1800000"/>
    <n v="36753623"/>
    <n v="32932146"/>
    <n v="16139435"/>
    <n v="1800000"/>
    <n v="19508133"/>
    <n v="0"/>
    <m/>
    <n v="800704000"/>
    <s v="RS"/>
  </r>
  <r>
    <x v="2"/>
    <s v="A"/>
    <s v="MULTISECTORIAL"/>
    <s v="URBANO"/>
    <s v="SOCIAL"/>
    <s v="LLANQUIHUE"/>
    <s v="P. MONTT"/>
    <n v="9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P. MONTT"/>
    <n v="9"/>
    <x v="3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4257666"/>
    <n v="195742334"/>
    <n v="0"/>
    <n v="0"/>
    <n v="0"/>
    <n v="0"/>
    <n v="0"/>
    <n v="684580"/>
    <n v="0"/>
    <n v="0"/>
    <n v="0"/>
    <n v="0"/>
    <n v="3573086"/>
    <n v="0"/>
    <m/>
    <n v="0"/>
    <s v="RS**"/>
  </r>
  <r>
    <x v="1"/>
    <s v="N"/>
    <s v="SALUD"/>
    <s v="URBANO"/>
    <s v="SOCIAL"/>
    <s v="LLANQUIHUE"/>
    <s v="P. MONTT"/>
    <n v="9"/>
    <x v="2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9146882427"/>
    <n v="9223947042"/>
    <m/>
    <n v="828034588"/>
    <n v="218935515"/>
    <n v="609099073"/>
    <n v="0"/>
    <n v="0"/>
    <n v="0"/>
    <n v="0"/>
    <n v="0"/>
    <n v="4984580"/>
    <n v="36753623"/>
    <n v="32932146"/>
    <n v="16139435"/>
    <n v="1800000"/>
    <n v="89615941"/>
    <n v="36709790"/>
    <m/>
    <n v="909490079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LLANQUIHUE"/>
    <s v="P. MONTT"/>
    <n v="9"/>
    <x v="2"/>
    <s v="DISEÑO"/>
    <n v="30080922"/>
    <m/>
    <e v="#N/A"/>
    <s v="30080922DISEÑO"/>
    <s v="2332-42-LE19"/>
    <s v="REPOSICIÓN POSTA DE SALUD RURAL DE HUELMO"/>
    <m/>
    <m/>
    <m/>
    <s v="335 15,02,19"/>
    <n v="23524000"/>
    <m/>
    <m/>
    <n v="23524000"/>
    <n v="0"/>
    <m/>
    <n v="14524000"/>
    <n v="0"/>
    <n v="14524000"/>
    <n v="0"/>
    <n v="0"/>
    <n v="0"/>
    <n v="0"/>
    <n v="0"/>
    <n v="0"/>
    <n v="0"/>
    <n v="0"/>
    <n v="0"/>
    <n v="0"/>
    <n v="0"/>
    <n v="0"/>
    <m/>
    <n v="9000000"/>
    <s v="RS"/>
  </r>
  <r>
    <x v="1"/>
    <s v="A"/>
    <s v="SALUD"/>
    <s v="RURAL"/>
    <s v="SOCIAL"/>
    <s v="LLANQUIHUE"/>
    <s v="P. MONTT"/>
    <n v="9"/>
    <x v="2"/>
    <s v="DISEÑO"/>
    <n v="30080921"/>
    <m/>
    <s v="KARIN DEL CARMEN BARRIENTOS WINTER"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22645000"/>
    <n v="0"/>
    <n v="22645000"/>
    <n v="0"/>
    <n v="0"/>
    <n v="0"/>
    <n v="0"/>
    <n v="0"/>
    <n v="0"/>
    <n v="0"/>
    <n v="0"/>
    <n v="0"/>
    <n v="0"/>
    <n v="0"/>
    <n v="0"/>
    <m/>
    <n v="0"/>
    <s v="RS"/>
  </r>
  <r>
    <x v="1"/>
    <s v="A"/>
    <s v="SALUD"/>
    <s v="RURAL"/>
    <s v="SOCIAL"/>
    <s v="LLANQUIHUE"/>
    <s v="P. MONTT"/>
    <n v="9"/>
    <x v="2"/>
    <s v="DISEÑO"/>
    <n v="30270222"/>
    <m/>
    <s v="KARIN DEL CARMEN BARRIENTOS WINTER"/>
    <s v="30270222DISEÑO"/>
    <s v="2332-84-LE19"/>
    <s v="REPOSICIÓN POSTA DE SALUD RURAL DE CORRENTOSO"/>
    <m/>
    <m/>
    <m/>
    <m/>
    <m/>
    <m/>
    <m/>
    <n v="22000000"/>
    <n v="0"/>
    <m/>
    <n v="17500000"/>
    <n v="0"/>
    <n v="17500000"/>
    <n v="0"/>
    <n v="0"/>
    <n v="0"/>
    <n v="0"/>
    <n v="0"/>
    <n v="0"/>
    <n v="0"/>
    <n v="0"/>
    <n v="0"/>
    <n v="0"/>
    <n v="0"/>
    <n v="0"/>
    <m/>
    <n v="4500000"/>
    <s v="RS"/>
  </r>
  <r>
    <x v="1"/>
    <s v="N"/>
    <s v="AGUA POTABLE Y ALCANTARILLADO"/>
    <s v="URBANO"/>
    <s v="ALCANTARILLADO"/>
    <s v="LLANQUIHUE"/>
    <s v="P. MONTT"/>
    <n v="9"/>
    <x v="2"/>
    <s v="EJECUCION"/>
    <n v="30429872"/>
    <s v="G"/>
    <s v="PAULINA HUIDOBRO JARAMI"/>
    <s v="30429872EJECUCION"/>
    <m/>
    <s v="CONSTRUCCION REDES AGUA POTABLE Y ALC. VILLA LOS PINOS ALTOS"/>
    <m/>
    <m/>
    <m/>
    <s v="1101 18,05,20"/>
    <n v="445639000"/>
    <m/>
    <m/>
    <n v="445639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345639000"/>
    <s v="RS"/>
  </r>
  <r>
    <x v="1"/>
    <s v="N"/>
    <s v="EDUCACIÓN Y CULTURA"/>
    <s v="URBANO"/>
    <s v="SOCIAL"/>
    <s v="LLANQUIHUE"/>
    <s v="P. MONTT"/>
    <n v="9"/>
    <x v="2"/>
    <s v="EJECUCION"/>
    <n v="30077490"/>
    <s v="G"/>
    <s v="PAULINA HUIDOBRO JARAMI"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416782000"/>
    <s v="RS"/>
  </r>
  <r>
    <x v="1"/>
    <s v="N"/>
    <s v="DEFENSA Y SEGURIDAD"/>
    <s v="URBANO"/>
    <s v="SOCIAL"/>
    <s v="LLANQUIHUE"/>
    <s v="P. MONTT"/>
    <n v="9"/>
    <x v="2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809015000"/>
    <s v="RS"/>
  </r>
  <r>
    <x v="1"/>
    <s v="N"/>
    <s v="TRANSPORTE Y VIVIENDA"/>
    <s v="URBANO"/>
    <s v="CONECTIVIDAD"/>
    <s v="LLANQUIHUE"/>
    <s v="P. MONTT"/>
    <n v="9"/>
    <x v="1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12000000"/>
    <n v="0"/>
    <n v="12000000"/>
    <n v="0"/>
    <n v="0"/>
    <n v="0"/>
    <n v="0"/>
    <n v="0"/>
    <n v="0"/>
    <n v="0"/>
    <n v="0"/>
    <n v="0"/>
    <n v="0"/>
    <n v="0"/>
    <n v="0"/>
    <m/>
    <n v="513598000"/>
    <s v="RS"/>
  </r>
  <r>
    <x v="1"/>
    <s v="A"/>
    <s v="SALUD"/>
    <s v="URBANO"/>
    <s v="SOCIAL"/>
    <s v="LLANQUIHUE"/>
    <s v="P. MONTT"/>
    <n v="9"/>
    <x v="2"/>
    <s v="EJECUCION"/>
    <n v="30128140"/>
    <m/>
    <s v="KARIN DEL CARMEN BARRIENTOS WINTER"/>
    <s v="30128140EJECUCION"/>
    <m/>
    <s v="NORMALIZACION CESFAM ALERCE "/>
    <m/>
    <m/>
    <m/>
    <m/>
    <m/>
    <m/>
    <m/>
    <n v="4090104000"/>
    <n v="4000000"/>
    <m/>
    <n v="498204000"/>
    <n v="0"/>
    <n v="498204000"/>
    <n v="0"/>
    <n v="0"/>
    <n v="0"/>
    <n v="0"/>
    <n v="0"/>
    <n v="0"/>
    <n v="0"/>
    <n v="0"/>
    <n v="0"/>
    <n v="0"/>
    <n v="0"/>
    <n v="0"/>
    <m/>
    <n v="35879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8525307000"/>
    <n v="4000000"/>
    <m/>
    <n v="834873000"/>
    <n v="0"/>
    <n v="834873000"/>
    <n v="0"/>
    <n v="0"/>
    <n v="0"/>
    <n v="0"/>
    <n v="0"/>
    <n v="0"/>
    <n v="0"/>
    <n v="0"/>
    <n v="0"/>
    <n v="0"/>
    <n v="0"/>
    <n v="0"/>
    <m/>
    <n v="7686434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. MONTT"/>
    <m/>
    <m/>
    <m/>
    <m/>
    <m/>
    <m/>
    <m/>
    <n v="27672189427"/>
    <n v="9227947042"/>
    <m/>
    <n v="1662907588"/>
    <n v="218935515"/>
    <n v="1443972073"/>
    <n v="0"/>
    <n v="0"/>
    <n v="0"/>
    <n v="0"/>
    <n v="0"/>
    <n v="4984580"/>
    <n v="36753623"/>
    <n v="32932146"/>
    <n v="16139435"/>
    <n v="1800000"/>
    <n v="89615941"/>
    <n v="36709790"/>
    <m/>
    <n v="1678133479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N"/>
    <s v="ENERGIA"/>
    <s v="RURAL"/>
    <s v="SOCIAL"/>
    <s v="LLANQUIHUE"/>
    <s v="CALBUCO"/>
    <n v="10"/>
    <x v="5"/>
    <s v="EJECUCION"/>
    <n v="30133915"/>
    <m/>
    <m/>
    <s v="30133915EJECUCION"/>
    <m/>
    <s v="SUBSIDIO OPERACIÓN SIST. AUTOGENERACION QUENU TABON"/>
    <m/>
    <m/>
    <m/>
    <m/>
    <m/>
    <m/>
    <m/>
    <n v="300000000"/>
    <n v="0"/>
    <m/>
    <n v="300000000"/>
    <n v="113656769"/>
    <n v="186343231"/>
    <n v="0"/>
    <n v="0"/>
    <n v="0"/>
    <n v="0"/>
    <n v="0"/>
    <n v="0"/>
    <n v="35920984"/>
    <n v="0"/>
    <n v="15827056"/>
    <n v="31320144"/>
    <n v="30588585"/>
    <n v="0"/>
    <m/>
    <n v="0"/>
    <s v="RS***"/>
  </r>
  <r>
    <x v="1"/>
    <s v="A"/>
    <s v="MULTISECTORIAL"/>
    <s v="RURAL"/>
    <s v="SOCIAL"/>
    <s v="LLANQUIHUE"/>
    <s v="CALBUCO"/>
    <n v="10"/>
    <x v="2"/>
    <s v="EJECUCION"/>
    <n v="30087299"/>
    <m/>
    <s v="PAULINA HUIDOBRO JARAMI"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82320466"/>
    <n v="134588568"/>
    <n v="0"/>
    <n v="0"/>
    <n v="0"/>
    <n v="0"/>
    <n v="0"/>
    <n v="41382967"/>
    <n v="40937499"/>
    <n v="0"/>
    <n v="0"/>
    <n v="0"/>
    <n v="0"/>
    <n v="0"/>
    <m/>
    <n v="2529416"/>
    <s v="RS"/>
  </r>
  <r>
    <x v="0"/>
    <m/>
    <m/>
    <m/>
    <m/>
    <m/>
    <m/>
    <m/>
    <x v="0"/>
    <m/>
    <m/>
    <m/>
    <e v="#N/A"/>
    <m/>
    <m/>
    <s v="CONSULTORIA"/>
    <m/>
    <m/>
    <n v="18392000"/>
    <m/>
    <m/>
    <m/>
    <m/>
    <n v="18392000"/>
    <m/>
    <m/>
    <m/>
    <m/>
    <m/>
    <m/>
    <m/>
    <m/>
    <m/>
    <m/>
    <m/>
    <m/>
    <m/>
    <m/>
    <m/>
    <m/>
    <m/>
    <m/>
    <n v="18392000"/>
    <m/>
  </r>
  <r>
    <x v="0"/>
    <m/>
    <m/>
    <m/>
    <m/>
    <m/>
    <m/>
    <m/>
    <x v="0"/>
    <m/>
    <m/>
    <m/>
    <e v="#N/A"/>
    <m/>
    <m/>
    <s v="EQUIPAMIENTO"/>
    <m/>
    <m/>
    <n v="6404000"/>
    <m/>
    <m/>
    <m/>
    <m/>
    <n v="6404000"/>
    <m/>
    <m/>
    <m/>
    <m/>
    <m/>
    <m/>
    <m/>
    <m/>
    <m/>
    <m/>
    <m/>
    <m/>
    <m/>
    <m/>
    <m/>
    <m/>
    <m/>
    <m/>
    <n v="6404000"/>
    <m/>
  </r>
  <r>
    <x v="0"/>
    <m/>
    <m/>
    <m/>
    <m/>
    <m/>
    <m/>
    <m/>
    <x v="0"/>
    <m/>
    <m/>
    <m/>
    <e v="#N/A"/>
    <m/>
    <m/>
    <s v="EQUIPOS"/>
    <m/>
    <m/>
    <n v="73180000"/>
    <m/>
    <m/>
    <m/>
    <m/>
    <n v="73180000"/>
    <m/>
    <m/>
    <m/>
    <m/>
    <m/>
    <m/>
    <m/>
    <m/>
    <m/>
    <m/>
    <m/>
    <m/>
    <m/>
    <m/>
    <m/>
    <m/>
    <m/>
    <m/>
    <n v="73180000"/>
    <m/>
  </r>
  <r>
    <x v="0"/>
    <m/>
    <m/>
    <m/>
    <m/>
    <m/>
    <m/>
    <m/>
    <x v="0"/>
    <m/>
    <m/>
    <m/>
    <e v="#N/A"/>
    <m/>
    <m/>
    <s v="GASTOS ADMINISTRATIVOS"/>
    <m/>
    <m/>
    <m/>
    <m/>
    <m/>
    <m/>
    <m/>
    <n v="0"/>
    <m/>
    <m/>
    <m/>
    <m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e v="#N/A"/>
    <m/>
    <m/>
    <s v="OBRAS CIVILES"/>
    <m/>
    <m/>
    <n v="1196036000"/>
    <m/>
    <m/>
    <m/>
    <m/>
    <n v="1196036000"/>
    <m/>
    <m/>
    <m/>
    <m/>
    <m/>
    <m/>
    <m/>
    <m/>
    <m/>
    <m/>
    <m/>
    <m/>
    <m/>
    <m/>
    <m/>
    <m/>
    <m/>
    <m/>
    <n v="1196036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x v="1"/>
    <s v="A"/>
    <s v="EDUCACIÓN Y CULTURA"/>
    <s v="URBANO"/>
    <s v="SOCIAL"/>
    <s v="LLANQUIHUE"/>
    <s v="CALBUCO"/>
    <n v="10"/>
    <x v="2"/>
    <s v="EJECUCION"/>
    <n v="20086686"/>
    <s v="G"/>
    <s v="PAULINA HUIDOBRO JARAMI"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400000000"/>
    <n v="0"/>
    <n v="400000000"/>
    <n v="0"/>
    <n v="0"/>
    <n v="0"/>
    <n v="0"/>
    <n v="0"/>
    <n v="0"/>
    <n v="0"/>
    <n v="0"/>
    <n v="0"/>
    <n v="0"/>
    <n v="0"/>
    <n v="0"/>
    <m/>
    <n v="9321966750"/>
    <s v="RS"/>
  </r>
  <r>
    <x v="1"/>
    <s v="A"/>
    <s v="EDUCACIÓN Y CULTURA"/>
    <s v="RURAL"/>
    <s v="SOCIAL"/>
    <s v="LLANQUIHUE"/>
    <s v="CALBUCO"/>
    <n v="10"/>
    <x v="2"/>
    <s v="DISEÑO"/>
    <n v="30326322"/>
    <m/>
    <s v="KARIN DEL CARMEN BARRIENTOS WINTER"/>
    <s v="30326322DISEÑO"/>
    <m/>
    <s v="REPOSICION ESCUELA BERNARDO OHIGGINS, CALBUCO"/>
    <m/>
    <m/>
    <m/>
    <m/>
    <m/>
    <m/>
    <m/>
    <n v="290974000"/>
    <n v="200000000"/>
    <m/>
    <n v="90974000"/>
    <n v="0"/>
    <n v="90974000"/>
    <n v="0"/>
    <n v="0"/>
    <n v="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LLANQUIHUE"/>
    <s v="CALBUCO"/>
    <n v="10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CALBUCO"/>
    <n v="10"/>
    <x v="3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91627806"/>
    <n v="108372194"/>
    <n v="0"/>
    <n v="0"/>
    <n v="0"/>
    <n v="0"/>
    <n v="0"/>
    <n v="14021603"/>
    <n v="7264992"/>
    <n v="0"/>
    <n v="61444815"/>
    <n v="8896396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2064172463"/>
    <n v="1431793263"/>
    <m/>
    <n v="1307883034"/>
    <n v="287605041"/>
    <n v="1020277993"/>
    <n v="0"/>
    <n v="0"/>
    <n v="0"/>
    <n v="0"/>
    <n v="0"/>
    <n v="55404570"/>
    <n v="84123475"/>
    <n v="0"/>
    <n v="77271871"/>
    <n v="40216540"/>
    <n v="30588585"/>
    <n v="0"/>
    <m/>
    <n v="93244961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RECURSOS NATURALES Y MEDIO AMBIENTE"/>
    <s v="URBANO"/>
    <s v="SOCIAL"/>
    <s v="LLANQUIHUE"/>
    <s v="CALBUCO"/>
    <n v="10"/>
    <x v="6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388423000"/>
    <n v="0"/>
    <n v="388423000"/>
    <n v="0"/>
    <n v="0"/>
    <n v="0"/>
    <n v="0"/>
    <n v="0"/>
    <n v="0"/>
    <n v="0"/>
    <n v="0"/>
    <n v="0"/>
    <n v="0"/>
    <n v="0"/>
    <n v="0"/>
    <m/>
    <n v="1165268000"/>
    <s v="RS"/>
  </r>
  <r>
    <x v="1"/>
    <s v="N"/>
    <s v="TRANSPORTE Y VIVIENDA"/>
    <s v="URBANO"/>
    <s v="CONECTIVIDAD"/>
    <s v="LLANQUIHUE"/>
    <s v="CALBUCO"/>
    <n v="10"/>
    <x v="1"/>
    <s v="EJECUCION"/>
    <n v="40015774"/>
    <m/>
    <m/>
    <s v="40015774EJECUCION"/>
    <m/>
    <s v="CONSTRUCCION PAVIMENTO CALLE SAN ANDRES Y LOS TULIPANES"/>
    <m/>
    <m/>
    <m/>
    <m/>
    <m/>
    <m/>
    <m/>
    <n v="269785542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19785542"/>
    <s v="RS"/>
  </r>
  <r>
    <x v="1"/>
    <s v="N"/>
    <s v="TRANSPORTE Y VIVIENDA"/>
    <s v="URBANO"/>
    <s v="CONECTIVIDAD"/>
    <s v="LLANQUIHUE"/>
    <s v="CALBUCO"/>
    <n v="10"/>
    <x v="1"/>
    <s v="EJECUCION"/>
    <n v="40015770"/>
    <m/>
    <m/>
    <s v="40015770EJECUCION"/>
    <m/>
    <s v="CONSTRUCCION PAVIMENTO CALLE CONDELL, FRAGATA COCHRANE Y LAS VERTIENTES"/>
    <m/>
    <m/>
    <m/>
    <m/>
    <m/>
    <m/>
    <m/>
    <n v="370712904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300712904"/>
    <s v="RS"/>
  </r>
  <r>
    <x v="5"/>
    <s v="N"/>
    <s v="TRANSPORTE Y VIVIENDA"/>
    <s v="URBANO"/>
    <s v="SOCIAL"/>
    <s v="LLANQUIHUE"/>
    <s v="CALBUCO"/>
    <n v="10"/>
    <x v="2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95000000"/>
    <s v="RS*"/>
  </r>
  <r>
    <x v="1"/>
    <s v="N"/>
    <s v="AGUA POTABLE Y ALCANTARILLADO"/>
    <s v="RURAL"/>
    <s v="AGUA POTABLE"/>
    <s v="LLANQUIHUE"/>
    <s v="CALBUCO"/>
    <n v="10"/>
    <x v="2"/>
    <s v="EJECUCION"/>
    <n v="30480526"/>
    <m/>
    <m/>
    <s v="30480526EJECUCION"/>
    <m/>
    <s v="CONSTRUCCION SERVICIO AGUA POTABLE RURAL LA CAMPANA"/>
    <m/>
    <m/>
    <m/>
    <m/>
    <m/>
    <m/>
    <m/>
    <n v="791085000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721085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095274446"/>
    <n v="0"/>
    <m/>
    <n v="593423000"/>
    <n v="0"/>
    <n v="593423000"/>
    <n v="0"/>
    <n v="0"/>
    <n v="0"/>
    <n v="0"/>
    <n v="0"/>
    <n v="0"/>
    <n v="0"/>
    <n v="0"/>
    <n v="0"/>
    <n v="0"/>
    <n v="0"/>
    <n v="0"/>
    <m/>
    <n v="250185144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ALBUCO"/>
    <m/>
    <m/>
    <m/>
    <m/>
    <m/>
    <m/>
    <m/>
    <n v="15159446909"/>
    <n v="1431793263"/>
    <m/>
    <n v="1901306034"/>
    <n v="287605041"/>
    <n v="1613700993"/>
    <n v="0"/>
    <n v="0"/>
    <n v="0"/>
    <n v="0"/>
    <n v="0"/>
    <n v="55404570"/>
    <n v="84123475"/>
    <n v="0"/>
    <n v="77271871"/>
    <n v="40216540"/>
    <n v="30588585"/>
    <n v="0"/>
    <m/>
    <n v="1182634761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LLANQUIHUE"/>
    <s v="COCHAMO"/>
    <n v="11"/>
    <x v="2"/>
    <s v="DISEÑO"/>
    <n v="30085125"/>
    <s v="V"/>
    <s v="KARIN DEL CARMEN BARRIENTOS WINTER"/>
    <s v="30085125DISEÑO"/>
    <m/>
    <s v="REPOSICION POSTA DE SALUD RURAL PASO EL LEON, COCHAMO"/>
    <m/>
    <m/>
    <m/>
    <m/>
    <m/>
    <m/>
    <m/>
    <n v="23800000"/>
    <n v="1300000"/>
    <m/>
    <n v="22500000"/>
    <n v="8800000"/>
    <n v="13700000"/>
    <n v="0"/>
    <n v="0"/>
    <n v="0"/>
    <n v="0"/>
    <n v="0"/>
    <n v="0"/>
    <n v="4400000"/>
    <n v="0"/>
    <n v="0"/>
    <n v="0"/>
    <n v="4400000"/>
    <n v="0"/>
    <m/>
    <n v="0"/>
    <s v="RS"/>
  </r>
  <r>
    <x v="1"/>
    <s v="A"/>
    <s v="DEPORTE"/>
    <s v="RURAL"/>
    <s v="SOCIAL"/>
    <s v="LLANQUIHUE"/>
    <s v="COCHAMO"/>
    <n v="11"/>
    <x v="2"/>
    <s v="DISEÑO"/>
    <n v="30328431"/>
    <s v="V"/>
    <s v="KARIN DEL CARMEN BARRIENTOS WINTER"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</r>
  <r>
    <x v="2"/>
    <s v="A"/>
    <s v="MULTISECTORIAL"/>
    <s v="URBANO"/>
    <s v="SOCIAL"/>
    <s v="LLANQUIHUE"/>
    <s v="COCHAMO"/>
    <n v="11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COCHAMO"/>
    <n v="11"/>
    <x v="3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78356571"/>
    <n v="121643429"/>
    <n v="0"/>
    <n v="0"/>
    <n v="0"/>
    <n v="0"/>
    <n v="0"/>
    <n v="0"/>
    <n v="0"/>
    <n v="9381246"/>
    <n v="7681695"/>
    <n v="0"/>
    <n v="6129363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64080000"/>
    <n v="2300000"/>
    <m/>
    <n v="361780000"/>
    <n v="106896571"/>
    <n v="254883429"/>
    <n v="0"/>
    <n v="0"/>
    <n v="0"/>
    <n v="0"/>
    <n v="0"/>
    <n v="0"/>
    <n v="4400000"/>
    <n v="9381246"/>
    <n v="20841695"/>
    <n v="0"/>
    <n v="65693630"/>
    <n v="658000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LLANQUIHUE"/>
    <s v="COCHAMO"/>
    <n v="11"/>
    <x v="2"/>
    <s v="DISEÑO"/>
    <n v="40006863"/>
    <m/>
    <e v="#N/A"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60000000"/>
    <n v="0"/>
    <n v="60000000"/>
    <n v="0"/>
    <n v="0"/>
    <n v="0"/>
    <n v="0"/>
    <n v="0"/>
    <n v="0"/>
    <n v="0"/>
    <n v="0"/>
    <n v="0"/>
    <n v="0"/>
    <n v="0"/>
    <n v="0"/>
    <m/>
    <n v="69430000"/>
    <s v="RS"/>
  </r>
  <r>
    <x v="3"/>
    <s v="N"/>
    <s v="DEFENSA Y SEGURIDAD"/>
    <s v="RURAL"/>
    <s v="SOCIAL"/>
    <s v="LLANQUIHUE"/>
    <s v="COCHAMO"/>
    <n v="11"/>
    <x v="5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89582"/>
    <n v="0"/>
    <m/>
    <n v="127689582"/>
    <n v="0"/>
    <n v="127689582"/>
    <n v="0"/>
    <n v="0"/>
    <n v="0"/>
    <n v="0"/>
    <n v="0"/>
    <n v="0"/>
    <n v="0"/>
    <n v="0"/>
    <n v="0"/>
    <n v="0"/>
    <n v="0"/>
    <n v="0"/>
    <m/>
    <n v="0"/>
    <s v="RS*"/>
  </r>
  <r>
    <x v="3"/>
    <s v="A"/>
    <s v="SALUD"/>
    <s v="RURAL"/>
    <s v="SOCIAL"/>
    <s v="LLANQUIHUE"/>
    <s v="COCHAMO"/>
    <n v="11"/>
    <x v="1"/>
    <s v="EJECUCION"/>
    <n v="40005418"/>
    <m/>
    <e v="#N/A"/>
    <s v="40005418EJECUCION"/>
    <s v="4831-2-LQ20"/>
    <s v="ADQUISICION Y REPOSICION AMBULANCIAS DE EMERGENCIAS PARA TRASLADO DE PACIENTES (C33)"/>
    <m/>
    <m/>
    <m/>
    <s v="369 10,02,20"/>
    <n v="137960000"/>
    <m/>
    <m/>
    <n v="54300000"/>
    <n v="0"/>
    <m/>
    <n v="54300000"/>
    <n v="0"/>
    <n v="54300000"/>
    <n v="0"/>
    <n v="0"/>
    <n v="0"/>
    <n v="0"/>
    <n v="0"/>
    <n v="0"/>
    <n v="0"/>
    <n v="0"/>
    <n v="0"/>
    <n v="0"/>
    <n v="0"/>
    <n v="0"/>
    <m/>
    <n v="0"/>
    <s v="RS*"/>
  </r>
  <r>
    <x v="1"/>
    <s v="N"/>
    <s v="AGUA POTABLE Y ALCANTARILLADO"/>
    <s v="RURAL"/>
    <s v="AGUA POTABLE"/>
    <s v="LLANQUIHUE"/>
    <s v="COCHAMO"/>
    <n v="11"/>
    <x v="2"/>
    <s v="EJECUCION"/>
    <n v="30116479"/>
    <m/>
    <s v="KARIN DEL CARMEN BARRIENTOS WINTER"/>
    <s v="30116479EJECUCION"/>
    <s v="4831-7-LR20"/>
    <s v="* CONSTRUCCION SISTEMA APR DE LLAGUEPE"/>
    <s v="* CERT. CORE 41 07.02.20 - ACTUALIZA COSTO"/>
    <m/>
    <m/>
    <s v="781 18,03,20"/>
    <n v="425454000"/>
    <m/>
    <m/>
    <n v="425454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345454000"/>
    <s v="RS"/>
  </r>
  <r>
    <x v="3"/>
    <s v="N"/>
    <s v="EDUCACIÓN Y CULTURA"/>
    <s v="URBANO"/>
    <s v="SOCIAL"/>
    <s v="LLANQUIHUE"/>
    <s v="COCHAMO"/>
    <n v="11"/>
    <x v="2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0"/>
    <n v="0"/>
    <n v="0"/>
    <n v="0"/>
    <n v="0"/>
    <n v="0"/>
    <n v="0"/>
    <n v="0"/>
    <n v="0"/>
    <n v="0"/>
    <n v="0"/>
    <n v="0"/>
    <n v="0"/>
    <n v="0"/>
    <n v="0"/>
    <m/>
    <n v="290674000"/>
    <s v="RS*"/>
  </r>
  <r>
    <x v="1"/>
    <s v="N"/>
    <s v="EDUCACIÓN Y CULTURA"/>
    <s v="RURAL"/>
    <s v="SOCIAL"/>
    <s v="LLANQUIHUE"/>
    <s v="COCHAMO"/>
    <n v="11"/>
    <x v="2"/>
    <s v="DISEÑO"/>
    <n v="40015801"/>
    <m/>
    <m/>
    <s v="40015801DISEÑO"/>
    <m/>
    <s v="REPOSICION ESCUELA LLANADA GRANDE"/>
    <m/>
    <m/>
    <m/>
    <m/>
    <m/>
    <m/>
    <m/>
    <n v="122370000"/>
    <n v="0"/>
    <m/>
    <n v="25000000"/>
    <n v="0"/>
    <n v="25000000"/>
    <n v="0"/>
    <n v="0"/>
    <n v="0"/>
    <n v="0"/>
    <n v="0"/>
    <n v="0"/>
    <n v="0"/>
    <n v="0"/>
    <n v="0"/>
    <n v="0"/>
    <n v="0"/>
    <n v="0"/>
    <m/>
    <n v="97370000"/>
    <s v="RS"/>
  </r>
  <r>
    <x v="1"/>
    <s v="N"/>
    <s v="ENERGIA"/>
    <s v="RURAL"/>
    <s v="ENERGIA"/>
    <s v="LLANQUIHUE"/>
    <s v="COCHAMO"/>
    <n v="11"/>
    <x v="2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766527000"/>
    <n v="0"/>
    <n v="766527000"/>
    <n v="0"/>
    <n v="0"/>
    <n v="0"/>
    <n v="0"/>
    <n v="0"/>
    <n v="0"/>
    <n v="0"/>
    <n v="0"/>
    <n v="0"/>
    <n v="0"/>
    <n v="0"/>
    <n v="0"/>
    <m/>
    <n v="2574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919018582"/>
    <n v="0"/>
    <m/>
    <n v="1113516582"/>
    <n v="0"/>
    <n v="1113516582"/>
    <n v="0"/>
    <n v="0"/>
    <n v="0"/>
    <n v="0"/>
    <n v="0"/>
    <n v="0"/>
    <n v="0"/>
    <n v="0"/>
    <n v="0"/>
    <n v="0"/>
    <n v="0"/>
    <n v="0"/>
    <m/>
    <n v="80550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OCHAMO"/>
    <m/>
    <m/>
    <m/>
    <m/>
    <m/>
    <m/>
    <m/>
    <n v="2283098582"/>
    <n v="2300000"/>
    <m/>
    <n v="1475296582"/>
    <n v="106896571"/>
    <n v="1368400011"/>
    <n v="0"/>
    <n v="0"/>
    <n v="0"/>
    <n v="0"/>
    <n v="0"/>
    <n v="0"/>
    <n v="4400000"/>
    <n v="9381246"/>
    <n v="20841695"/>
    <n v="0"/>
    <n v="65693630"/>
    <n v="6580000"/>
    <m/>
    <n v="80550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LCANTARILLADO"/>
    <s v="LLANQUIHUE"/>
    <s v="FRESIA"/>
    <n v="12"/>
    <x v="2"/>
    <s v="EJECUCION"/>
    <n v="30088011"/>
    <s v="G"/>
    <s v="PAULINA HUIDOBRO JARAMI"/>
    <s v="30088011EJECUCION"/>
    <m/>
    <s v="CONSTRUCCION PLANTA DE TRATAMIENTO PARGA"/>
    <m/>
    <m/>
    <m/>
    <m/>
    <m/>
    <m/>
    <m/>
    <n v="646979000"/>
    <n v="305360040"/>
    <m/>
    <n v="341618960"/>
    <n v="29853568"/>
    <n v="311765392"/>
    <n v="0"/>
    <n v="0"/>
    <n v="0"/>
    <n v="0"/>
    <n v="0"/>
    <n v="0"/>
    <n v="0"/>
    <n v="0"/>
    <n v="0"/>
    <n v="10007311"/>
    <n v="3487763"/>
    <n v="16358494"/>
    <m/>
    <n v="0"/>
    <s v="RS"/>
  </r>
  <r>
    <x v="1"/>
    <s v="A"/>
    <s v="AGUA POTABLE Y ALCANTARILLADO"/>
    <s v="RURAL"/>
    <s v="AGUA POTABLE"/>
    <s v="LLANQUIHUE"/>
    <s v="FRESIA"/>
    <n v="12"/>
    <x v="2"/>
    <s v="EJECUCION"/>
    <n v="30397144"/>
    <s v="G"/>
    <s v="PAULINA HUIDOBRO JARAMI"/>
    <s v="30397144EJECUCION"/>
    <m/>
    <s v="CONSTRUCCION SISTEMA APR SECTOR LAS CRUCES, COMUNA DE FRESIA"/>
    <m/>
    <m/>
    <m/>
    <m/>
    <m/>
    <m/>
    <m/>
    <n v="1134291000"/>
    <n v="698836765"/>
    <m/>
    <n v="435454235"/>
    <n v="258467213"/>
    <n v="176987022"/>
    <n v="0"/>
    <n v="0"/>
    <n v="0"/>
    <n v="0"/>
    <n v="0"/>
    <n v="1250000"/>
    <n v="1250000"/>
    <n v="9961818"/>
    <n v="39677906"/>
    <n v="67667864"/>
    <n v="42695534"/>
    <n v="95964091"/>
    <m/>
    <n v="0"/>
    <s v="RE"/>
  </r>
  <r>
    <x v="1"/>
    <s v="A"/>
    <s v="EDUCACIÓN Y CULTURA"/>
    <s v="RURAL"/>
    <s v="SOCIAL"/>
    <s v="LLANQUIHUE"/>
    <s v="FRESIA"/>
    <n v="12"/>
    <x v="2"/>
    <s v="EJECUCION"/>
    <n v="30396276"/>
    <m/>
    <s v="KARIN DEL CARMEN BARRIENTOS WINTER"/>
    <s v="30396276EJECUCION"/>
    <m/>
    <s v="CONSERVACION EDIFICIO DAEM, FRESIA (C33)"/>
    <m/>
    <m/>
    <m/>
    <m/>
    <m/>
    <m/>
    <m/>
    <n v="68303000"/>
    <n v="61049360"/>
    <m/>
    <n v="7253640"/>
    <n v="6450636"/>
    <n v="803004"/>
    <n v="0"/>
    <n v="0"/>
    <n v="0"/>
    <n v="0"/>
    <n v="0"/>
    <n v="0"/>
    <n v="1416666"/>
    <n v="3617304"/>
    <n v="0"/>
    <n v="0"/>
    <n v="0"/>
    <n v="1416666"/>
    <m/>
    <n v="0"/>
    <s v="RS*"/>
  </r>
  <r>
    <x v="1"/>
    <s v="A"/>
    <s v="SALUD"/>
    <s v="RURAL"/>
    <s v="SOCIAL"/>
    <s v="LLANQUIHUE"/>
    <s v="FRESIA"/>
    <n v="12"/>
    <x v="2"/>
    <s v="EJECUCION"/>
    <n v="30282773"/>
    <s v="SALUD"/>
    <s v="KARIN DEL CARMEN BARRIENTOS WINTER"/>
    <s v="30282773EJECUCION"/>
    <m/>
    <s v="REPOSICION POSTA DE SALUD RURAL EL TRAIGUEN, FRESIA"/>
    <m/>
    <m/>
    <m/>
    <m/>
    <m/>
    <m/>
    <m/>
    <n v="466789000"/>
    <n v="27961790"/>
    <m/>
    <n v="438827210"/>
    <n v="89282896"/>
    <n v="349544314"/>
    <n v="0"/>
    <n v="0"/>
    <n v="0"/>
    <n v="0"/>
    <n v="0"/>
    <n v="1330000"/>
    <n v="66702268"/>
    <n v="6795593"/>
    <n v="10465035"/>
    <n v="2660000"/>
    <n v="0"/>
    <n v="1330000"/>
    <m/>
    <n v="0"/>
    <s v="RS"/>
  </r>
  <r>
    <x v="3"/>
    <s v="A"/>
    <s v="DEFENSA Y SEGURIDAD"/>
    <s v="RURAL"/>
    <s v="SOCIAL"/>
    <s v="LLANQUIHUE"/>
    <s v="FRESIA"/>
    <n v="12"/>
    <x v="2"/>
    <s v="EJECUCION"/>
    <n v="30340925"/>
    <m/>
    <e v="#N/A"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212085350"/>
    <n v="0"/>
    <n v="212085350"/>
    <n v="0"/>
    <n v="0"/>
    <n v="0"/>
    <n v="0"/>
    <n v="0"/>
    <n v="0"/>
    <n v="0"/>
    <n v="0"/>
    <n v="0"/>
    <n v="0"/>
    <n v="0"/>
    <n v="0"/>
    <m/>
    <n v="322758650"/>
    <s v="RS*"/>
  </r>
  <r>
    <x v="1"/>
    <s v="A"/>
    <s v="AGUA POTABLE Y ALCANTARILLADO"/>
    <s v="RURAL"/>
    <s v="AGUA POTABLE"/>
    <s v="LLANQUIHUE"/>
    <s v="FRESIA"/>
    <n v="12"/>
    <x v="2"/>
    <s v="EJECUCION"/>
    <n v="30212472"/>
    <m/>
    <s v="KARIN DEL CARMEN BARRIENTOS WINTER"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114424497"/>
    <n v="0"/>
    <n v="114424497"/>
    <n v="0"/>
    <n v="0"/>
    <n v="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LLANQUIHUE"/>
    <s v="FRESIA"/>
    <n v="12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FRESIA"/>
    <n v="12"/>
    <x v="3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92828132"/>
    <n v="107171868"/>
    <n v="0"/>
    <n v="0"/>
    <n v="0"/>
    <n v="0"/>
    <n v="0"/>
    <n v="0"/>
    <n v="5966708"/>
    <n v="0"/>
    <n v="35633834"/>
    <n v="0"/>
    <n v="5122759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641996000"/>
    <n v="1469573458"/>
    <m/>
    <n v="1849663892"/>
    <n v="476882445"/>
    <n v="1372781447"/>
    <n v="0"/>
    <n v="0"/>
    <n v="0"/>
    <n v="0"/>
    <n v="0"/>
    <n v="2580000"/>
    <n v="75335642"/>
    <n v="20374715"/>
    <n v="85776775"/>
    <n v="80335175"/>
    <n v="97410887"/>
    <n v="115069251"/>
    <m/>
    <n v="32275865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URBANO"/>
    <s v="SOCIAL"/>
    <s v="LLANQUIHUE"/>
    <s v="FRESIA"/>
    <n v="12"/>
    <x v="2"/>
    <s v="EJECUCION"/>
    <n v="30134714"/>
    <m/>
    <e v="#N/A"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319116000"/>
    <n v="0"/>
    <n v="319116000"/>
    <n v="0"/>
    <n v="0"/>
    <n v="0"/>
    <n v="0"/>
    <n v="0"/>
    <n v="0"/>
    <n v="0"/>
    <n v="0"/>
    <n v="0"/>
    <n v="0"/>
    <n v="0"/>
    <n v="0"/>
    <m/>
    <n v="600000000"/>
    <s v="RS"/>
  </r>
  <r>
    <x v="1"/>
    <s v="A"/>
    <s v="TRANSPORTE Y VIVIENDA"/>
    <s v="RURAL"/>
    <s v="CONECTIVIDAD"/>
    <s v="LLANQUIHUE"/>
    <s v="FRESIA"/>
    <n v="12"/>
    <x v="1"/>
    <s v="EJECUCION"/>
    <n v="40006229"/>
    <m/>
    <e v="#N/A"/>
    <s v="40006229EJECUCION"/>
    <s v="4037-132-LR19"/>
    <s v="MEJORAMIENTO DIVERSAS CALLES, COMUNA DE FRESIA"/>
    <m/>
    <m/>
    <m/>
    <m/>
    <m/>
    <m/>
    <m/>
    <n v="774200000"/>
    <n v="0"/>
    <m/>
    <n v="237621258"/>
    <n v="0"/>
    <n v="237621258"/>
    <n v="0"/>
    <n v="0"/>
    <n v="0"/>
    <n v="0"/>
    <n v="0"/>
    <n v="0"/>
    <n v="0"/>
    <n v="0"/>
    <n v="0"/>
    <n v="0"/>
    <n v="0"/>
    <n v="0"/>
    <m/>
    <n v="536578742"/>
    <s v="RS"/>
  </r>
  <r>
    <x v="1"/>
    <s v="N"/>
    <s v="TRANSPORTE Y VIVIENDA"/>
    <s v="RURAL"/>
    <s v="CONECTIVIDAD"/>
    <s v="LLANQUIHUE"/>
    <s v="FRESIA"/>
    <n v="12"/>
    <x v="1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716629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559945000"/>
    <n v="0"/>
    <m/>
    <n v="706737258"/>
    <n v="0"/>
    <n v="706737258"/>
    <n v="0"/>
    <n v="0"/>
    <n v="0"/>
    <n v="0"/>
    <n v="0"/>
    <n v="0"/>
    <n v="0"/>
    <n v="0"/>
    <n v="0"/>
    <n v="0"/>
    <n v="0"/>
    <n v="0"/>
    <m/>
    <n v="185320774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RESIA"/>
    <m/>
    <m/>
    <m/>
    <m/>
    <m/>
    <m/>
    <m/>
    <n v="6201941000"/>
    <n v="1469573458"/>
    <m/>
    <n v="2556401150"/>
    <n v="476882445"/>
    <n v="2079518705"/>
    <n v="0"/>
    <n v="0"/>
    <n v="0"/>
    <n v="0"/>
    <n v="0"/>
    <n v="2580000"/>
    <n v="75335642"/>
    <n v="20374715"/>
    <n v="85776775"/>
    <n v="80335175"/>
    <n v="97410887"/>
    <n v="115069251"/>
    <m/>
    <n v="217596639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LLANQUIHUE"/>
    <s v="FRUTILLAR"/>
    <n v="13"/>
    <x v="2"/>
    <s v="EJECUCION"/>
    <n v="30484262"/>
    <m/>
    <s v="KARIN DEL CARMEN BARRIENTOS WINTER"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</r>
  <r>
    <x v="1"/>
    <s v="A"/>
    <s v="AGUA POTABLE Y ALCANTARILLADO"/>
    <s v="RURAL"/>
    <s v="AGUA POTABLE"/>
    <s v="LLANQUIHUE"/>
    <s v="FRUTILLAR"/>
    <n v="13"/>
    <x v="2"/>
    <s v="EJECUCION"/>
    <n v="30465246"/>
    <m/>
    <s v="PAULINA HUIDOBRO JARAMI"/>
    <s v="30465246EJECUCION"/>
    <m/>
    <s v="CONSTRUCCION RED DE APR SECTOR VILLA ALEGRE"/>
    <m/>
    <m/>
    <m/>
    <m/>
    <m/>
    <m/>
    <m/>
    <n v="175409000"/>
    <n v="148115391"/>
    <m/>
    <n v="27293609"/>
    <n v="3600000"/>
    <n v="23693609"/>
    <n v="0"/>
    <n v="0"/>
    <n v="0"/>
    <n v="0"/>
    <n v="0"/>
    <n v="0"/>
    <n v="0"/>
    <n v="0"/>
    <n v="0"/>
    <n v="1200000"/>
    <n v="1200000"/>
    <n v="1200000"/>
    <m/>
    <n v="0"/>
    <s v="RS"/>
  </r>
  <r>
    <x v="1"/>
    <s v="A"/>
    <s v="EDUCACIÓN Y CULTURA"/>
    <s v="RURAL"/>
    <s v="SOCIAL"/>
    <s v="LLANQUIHUE"/>
    <s v="FRUTILLAR"/>
    <n v="13"/>
    <x v="2"/>
    <s v="EJECUCION"/>
    <n v="40005302"/>
    <m/>
    <e v="#N/A"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</r>
  <r>
    <x v="1"/>
    <s v="A"/>
    <s v="TRANSPORTE Y VIVIENDA"/>
    <s v="RURAL"/>
    <s v="CONECTIVIDAD"/>
    <s v="LLANQUIHUE"/>
    <s v="FRUTILLAR"/>
    <n v="13"/>
    <x v="1"/>
    <s v="EJECUCION"/>
    <n v="30077934"/>
    <m/>
    <e v="#N/A"/>
    <s v="30077934EJECUCION"/>
    <m/>
    <s v="CONSTRUCCION CALLE NUEVA NUEVE DE FRUTILLAR"/>
    <m/>
    <m/>
    <m/>
    <m/>
    <m/>
    <m/>
    <m/>
    <n v="1461360000"/>
    <n v="26796157"/>
    <m/>
    <n v="816715492"/>
    <n v="816715492"/>
    <n v="0"/>
    <n v="0"/>
    <n v="0"/>
    <n v="0"/>
    <n v="0"/>
    <n v="0"/>
    <n v="108020617"/>
    <n v="153392100"/>
    <n v="185052534"/>
    <n v="170070988"/>
    <n v="200179253"/>
    <n v="0"/>
    <n v="0"/>
    <m/>
    <n v="617848351"/>
    <s v="RS"/>
  </r>
  <r>
    <x v="1"/>
    <s v="A"/>
    <s v="AGUA POTABLE Y ALCANTARILLADO"/>
    <s v="RURAL"/>
    <s v="SOCIAL"/>
    <s v="LLANQUIHUE"/>
    <s v="FRUTILLAR"/>
    <n v="13"/>
    <x v="2"/>
    <s v="EJECUCION"/>
    <n v="30485141"/>
    <m/>
    <e v="#N/A"/>
    <s v="30485141EJECUCION"/>
    <s v="2289-42-LQ19"/>
    <s v="CONSTRUCCION SISTEMA DE APR SECT. LOS RADALES, COMUNA FRUTILLAR"/>
    <m/>
    <m/>
    <m/>
    <m/>
    <m/>
    <m/>
    <m/>
    <n v="229003000"/>
    <n v="0"/>
    <m/>
    <n v="157561125"/>
    <n v="13908959"/>
    <n v="143652166"/>
    <n v="0"/>
    <n v="0"/>
    <n v="0"/>
    <n v="0"/>
    <n v="0"/>
    <n v="5036628"/>
    <n v="1600000"/>
    <n v="7272331"/>
    <n v="0"/>
    <n v="0"/>
    <n v="0"/>
    <n v="0"/>
    <m/>
    <n v="71441875"/>
    <s v="RS"/>
  </r>
  <r>
    <x v="2"/>
    <s v="A"/>
    <s v="MULTISECTORIAL"/>
    <s v="URBANO"/>
    <s v="SOCIAL"/>
    <s v="LLANQUIHUE"/>
    <s v="FRUTILLAR"/>
    <n v="13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FRUTILLAR"/>
    <n v="13"/>
    <x v="3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46340240"/>
    <n v="53659760"/>
    <n v="0"/>
    <n v="0"/>
    <n v="0"/>
    <n v="0"/>
    <n v="0"/>
    <n v="0"/>
    <n v="33502308"/>
    <n v="17866850"/>
    <n v="80706105"/>
    <n v="14264977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819285000"/>
    <n v="521109487"/>
    <m/>
    <n v="1608885287"/>
    <n v="1256934275"/>
    <n v="351951012"/>
    <n v="0"/>
    <n v="0"/>
    <n v="0"/>
    <n v="0"/>
    <n v="0"/>
    <n v="113057245"/>
    <n v="189616408"/>
    <n v="227597254"/>
    <n v="284043968"/>
    <n v="246159825"/>
    <n v="60385221"/>
    <n v="136074354"/>
    <m/>
    <n v="68929022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SOCIAL"/>
    <s v="LLANQUIHUE"/>
    <s v="FRUTILLAR"/>
    <n v="13"/>
    <x v="2"/>
    <s v="EJECUCION"/>
    <n v="30485139"/>
    <m/>
    <s v="KARIN DEL CARMEN BARRIENTOS WINTER"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218397000"/>
    <n v="0"/>
    <n v="21839700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RURAL"/>
    <s v="SOCIAL"/>
    <s v="LLANQUIHUE"/>
    <s v="FRUTILLAR"/>
    <n v="13"/>
    <x v="2"/>
    <s v="EJECUCION"/>
    <n v="30485133"/>
    <m/>
    <e v="#N/A"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341863000"/>
    <n v="0"/>
    <n v="341863000"/>
    <n v="0"/>
    <n v="0"/>
    <n v="0"/>
    <n v="0"/>
    <n v="0"/>
    <n v="0"/>
    <n v="0"/>
    <n v="0"/>
    <n v="0"/>
    <n v="0"/>
    <n v="0"/>
    <n v="0"/>
    <m/>
    <n v="107709000"/>
    <s v="RS"/>
  </r>
  <r>
    <x v="1"/>
    <s v="A"/>
    <s v="EDUCACIÓN Y CULTURA"/>
    <s v="URBANO"/>
    <s v="SOCIAL"/>
    <s v="LLANQUIHUE"/>
    <s v="FRUTILLAR"/>
    <n v="13"/>
    <x v="2"/>
    <s v="EJECUCION"/>
    <n v="30085259"/>
    <m/>
    <e v="#N/A"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759422906"/>
    <n v="0"/>
    <n v="759422906"/>
    <n v="0"/>
    <n v="0"/>
    <n v="0"/>
    <n v="0"/>
    <n v="0"/>
    <n v="0"/>
    <n v="0"/>
    <n v="0"/>
    <n v="0"/>
    <n v="0"/>
    <n v="0"/>
    <n v="0"/>
    <m/>
    <n v="5620487094"/>
    <s v="RS"/>
  </r>
  <r>
    <x v="1"/>
    <s v="A"/>
    <s v="AGUA POTABLE Y ALCANTARILLADO"/>
    <s v="RURAL"/>
    <s v="SOCIAL"/>
    <s v="LLANQUIHUE"/>
    <s v="FRUTILLAR"/>
    <n v="13"/>
    <x v="2"/>
    <s v="EJECUCION"/>
    <n v="30485115"/>
    <m/>
    <s v="KARIN DEL CARMEN BARRIENTOS WINTER"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233849472"/>
    <n v="0"/>
    <n v="233849472"/>
    <n v="0"/>
    <n v="0"/>
    <n v="0"/>
    <n v="0"/>
    <n v="0"/>
    <n v="0"/>
    <n v="0"/>
    <n v="0"/>
    <n v="0"/>
    <n v="0"/>
    <n v="0"/>
    <n v="0"/>
    <m/>
    <n v="191892528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7473621000"/>
    <n v="0"/>
    <m/>
    <n v="1553532378"/>
    <n v="0"/>
    <n v="1553532378"/>
    <n v="0"/>
    <n v="0"/>
    <n v="0"/>
    <n v="0"/>
    <n v="0"/>
    <n v="0"/>
    <n v="0"/>
    <n v="0"/>
    <n v="0"/>
    <n v="0"/>
    <n v="0"/>
    <n v="0"/>
    <m/>
    <n v="59200886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RUTILLAR"/>
    <m/>
    <m/>
    <m/>
    <m/>
    <m/>
    <m/>
    <m/>
    <n v="10292906000"/>
    <n v="521109487"/>
    <m/>
    <n v="3162417665"/>
    <n v="1256934275"/>
    <n v="1905483390"/>
    <n v="0"/>
    <n v="0"/>
    <n v="0"/>
    <n v="0"/>
    <n v="0"/>
    <n v="113057245"/>
    <n v="189616408"/>
    <n v="227597254"/>
    <n v="284043968"/>
    <n v="246159825"/>
    <n v="60385221"/>
    <n v="136074354"/>
    <m/>
    <n v="660937884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URBANO"/>
    <s v="SOCIAL"/>
    <s v="LLANQUIHUE"/>
    <s v="LLANQUIHUE"/>
    <n v="14"/>
    <x v="2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340475445"/>
    <n v="340475445"/>
    <n v="0"/>
    <m/>
    <m/>
    <m/>
    <m/>
    <m/>
    <n v="138450528"/>
    <n v="47172432"/>
    <n v="49512188"/>
    <n v="0"/>
    <n v="40577094"/>
    <n v="64763203"/>
    <n v="0"/>
    <m/>
    <n v="93150094"/>
    <s v="RS"/>
  </r>
  <r>
    <x v="1"/>
    <s v="A"/>
    <s v="AGUA POTABLE Y ALCANTARILLADO"/>
    <s v="RURAL"/>
    <s v="AGUA POTABLE"/>
    <s v="LLANQUIHUE"/>
    <s v="LLANQUIHUE"/>
    <n v="14"/>
    <x v="1"/>
    <s v="EJECUCION"/>
    <n v="40007476"/>
    <m/>
    <e v="#N/A"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55371110"/>
    <n v="19723055"/>
    <n v="35648055"/>
    <n v="0"/>
    <n v="0"/>
    <n v="0"/>
    <n v="0"/>
    <n v="0"/>
    <n v="1330000"/>
    <n v="17063055"/>
    <n v="0"/>
    <n v="1330000"/>
    <n v="0"/>
    <n v="0"/>
    <n v="0"/>
    <m/>
    <n v="329809890"/>
    <s v="RS"/>
  </r>
  <r>
    <x v="2"/>
    <s v="A"/>
    <s v="MULTISECTORIAL"/>
    <s v="URBANO"/>
    <s v="SOCIAL"/>
    <s v="LLANQUIHUE"/>
    <s v="LLANQUIHUE"/>
    <n v="14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LLANQUIHUE"/>
    <n v="14"/>
    <x v="3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51446313"/>
    <n v="48553687"/>
    <n v="0"/>
    <n v="0"/>
    <n v="0"/>
    <n v="0"/>
    <n v="0"/>
    <n v="4000185"/>
    <n v="9907625"/>
    <n v="18722865"/>
    <n v="53399067"/>
    <n v="0"/>
    <n v="65416571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200168095"/>
    <n v="3081361556"/>
    <m/>
    <n v="695846555"/>
    <n v="511644813"/>
    <n v="184201742"/>
    <n v="0"/>
    <n v="0"/>
    <n v="0"/>
    <n v="0"/>
    <n v="0"/>
    <n v="143780713"/>
    <n v="74143112"/>
    <n v="68235053"/>
    <n v="54729067"/>
    <n v="40577094"/>
    <n v="130179774"/>
    <n v="0"/>
    <m/>
    <n v="42295998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URBANO"/>
    <s v="SOCIAL"/>
    <s v="LLANQUIHUE"/>
    <s v="LLANQUIHUE"/>
    <n v="14"/>
    <x v="2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LLANQUIHUE"/>
    <m/>
    <m/>
    <m/>
    <m/>
    <m/>
    <m/>
    <m/>
    <n v="4282568095"/>
    <n v="3081361556"/>
    <m/>
    <n v="706685457"/>
    <n v="511644813"/>
    <n v="195040644"/>
    <n v="0"/>
    <n v="0"/>
    <n v="0"/>
    <n v="0"/>
    <n v="0"/>
    <n v="143780713"/>
    <n v="74143112"/>
    <n v="68235053"/>
    <n v="54729067"/>
    <n v="40577094"/>
    <n v="130179774"/>
    <n v="0"/>
    <m/>
    <n v="49452108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LLANQUIHUE"/>
    <s v="LOS MUERMOS"/>
    <n v="15"/>
    <x v="2"/>
    <s v="DISEÑO"/>
    <n v="30361529"/>
    <m/>
    <s v="KARIN DEL CARMEN BARRIENTOS WINTER"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</r>
  <r>
    <x v="1"/>
    <s v="A"/>
    <s v="TRANSPORTE Y VIVIENDA"/>
    <s v="RURAL"/>
    <s v="SOCIAL"/>
    <s v="LLANQUIHUE"/>
    <s v="LOS MUERMOS"/>
    <n v="15"/>
    <x v="1"/>
    <s v="EJECUCION"/>
    <n v="40004593"/>
    <m/>
    <s v="KARIN DEL CARMEN BARRIENTOS WINTER"/>
    <s v="40004593EJECUCION"/>
    <m/>
    <s v="CONSERVACION CAMINOS VECINALES, COMUNA LOS MUERMOS (C33)"/>
    <m/>
    <m/>
    <m/>
    <m/>
    <m/>
    <m/>
    <m/>
    <n v="583059000"/>
    <n v="352770860"/>
    <m/>
    <n v="230288140"/>
    <n v="230288070"/>
    <n v="70"/>
    <n v="0"/>
    <n v="0"/>
    <n v="0"/>
    <n v="0"/>
    <n v="0"/>
    <n v="0"/>
    <n v="0"/>
    <n v="0"/>
    <n v="42677639"/>
    <n v="43417701"/>
    <n v="74464993"/>
    <n v="69727737"/>
    <m/>
    <n v="0"/>
    <s v="RS*"/>
  </r>
  <r>
    <x v="1"/>
    <s v="A"/>
    <s v="AGUA POTABLE Y ALCANTARILLADO"/>
    <s v="RURAL"/>
    <s v="AGUA POTABLE"/>
    <s v="LLANQUIHUE"/>
    <s v="LOS MUERMOS"/>
    <n v="15"/>
    <x v="2"/>
    <s v="DISEÑO"/>
    <n v="30465403"/>
    <m/>
    <s v="KARIN DEL CARMEN BARRIENTOS WINTER"/>
    <s v="30465403DISEÑO"/>
    <m/>
    <s v="CONSTRUCCION SERVICIO APR SECTOR CUESTA LA VACA, C LOS MUERMOS"/>
    <m/>
    <m/>
    <m/>
    <m/>
    <m/>
    <m/>
    <m/>
    <n v="27413000"/>
    <n v="10036840"/>
    <m/>
    <n v="12555260"/>
    <n v="0"/>
    <n v="12555260"/>
    <n v="0"/>
    <n v="0"/>
    <n v="0"/>
    <n v="0"/>
    <n v="0"/>
    <n v="0"/>
    <n v="0"/>
    <n v="0"/>
    <n v="0"/>
    <n v="0"/>
    <n v="0"/>
    <n v="0"/>
    <m/>
    <n v="4820900"/>
    <s v="RS"/>
  </r>
  <r>
    <x v="1"/>
    <s v="A"/>
    <s v="AGUA POTABLE Y ALCANTARILLADO"/>
    <s v="RURAL"/>
    <s v="AGUA POTABLE"/>
    <s v="LLANQUIHUE"/>
    <s v="LOS MUERMOS"/>
    <n v="15"/>
    <x v="2"/>
    <s v="EJECUCION"/>
    <n v="30289475"/>
    <m/>
    <e v="#N/A"/>
    <s v="30289475EJECUCION"/>
    <s v="1522-18-LR19"/>
    <s v="CONSTRUCCION SERVICIO APR SAN CARLOS EL ÑADY"/>
    <m/>
    <m/>
    <m/>
    <m/>
    <m/>
    <m/>
    <m/>
    <n v="1114527000"/>
    <n v="0"/>
    <m/>
    <n v="873325686"/>
    <n v="784969129"/>
    <n v="88356557"/>
    <n v="0"/>
    <n v="0"/>
    <n v="0"/>
    <n v="0"/>
    <n v="0"/>
    <n v="112741228"/>
    <n v="130061989"/>
    <n v="129205773"/>
    <n v="234242369"/>
    <n v="7678985"/>
    <n v="104661331"/>
    <n v="66377454"/>
    <m/>
    <n v="241201314"/>
    <s v="RS"/>
  </r>
  <r>
    <x v="1"/>
    <s v="A"/>
    <s v="TRANSPORTE Y VIVIENDA"/>
    <s v="URBANO"/>
    <s v="SOCIAL"/>
    <s v="LLANQUIHUE"/>
    <s v="LOS MUERMOS"/>
    <n v="15"/>
    <x v="1"/>
    <s v="EJECUCION"/>
    <n v="40009545"/>
    <m/>
    <e v="#N/A"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433072215"/>
    <n v="313638230"/>
    <n v="119433985"/>
    <n v="0"/>
    <n v="0"/>
    <n v="0"/>
    <n v="0"/>
    <n v="0"/>
    <n v="0"/>
    <n v="81685603"/>
    <n v="79700957"/>
    <n v="65553297"/>
    <n v="47419115"/>
    <n v="39279258"/>
    <n v="0"/>
    <m/>
    <n v="93490785"/>
    <s v="RS*"/>
  </r>
  <r>
    <x v="2"/>
    <s v="A"/>
    <s v="MULTISECTORIAL"/>
    <s v="URBANO"/>
    <s v="SOCIAL"/>
    <s v="LLANQUIHUE"/>
    <s v="LOS MUERMOS"/>
    <n v="15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LOS MUERMOS"/>
    <n v="15"/>
    <x v="3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053614"/>
    <n v="145946386"/>
    <n v="0"/>
    <n v="0"/>
    <n v="0"/>
    <n v="0"/>
    <n v="0"/>
    <n v="0"/>
    <n v="0"/>
    <n v="31046508"/>
    <n v="23007106"/>
    <n v="0"/>
    <n v="0"/>
    <n v="0"/>
    <m/>
    <n v="0"/>
    <s v="RS**"/>
  </r>
  <r>
    <x v="3"/>
    <s v="N"/>
    <s v="TRANSPORTE Y VIVIENDA"/>
    <s v="RURAL"/>
    <s v="CONECTIVIDAD"/>
    <s v="LLANQUIHUE"/>
    <s v="LOS MUERMOS"/>
    <n v="15"/>
    <x v="1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</r>
  <r>
    <x v="1"/>
    <s v="A"/>
    <s v="AGUA POTABLE Y ALCANTARILLADO"/>
    <s v="RURAL"/>
    <s v="AGUA POTABLE"/>
    <s v="LLANQUIHUE"/>
    <s v="LOS MUERMOS"/>
    <n v="15"/>
    <x v="2"/>
    <s v="EJECUCION"/>
    <n v="30422722"/>
    <m/>
    <s v="KARIN DEL CARMEN BARRIENTOS WINTER"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653685000"/>
    <n v="0"/>
    <m/>
    <n v="159806159"/>
    <n v="42188593"/>
    <n v="117617566"/>
    <n v="0"/>
    <n v="0"/>
    <n v="0"/>
    <n v="0"/>
    <n v="0"/>
    <n v="40038593"/>
    <n v="2150000"/>
    <n v="0"/>
    <n v="0"/>
    <n v="0"/>
    <n v="0"/>
    <n v="0"/>
    <m/>
    <n v="493878841"/>
    <s v="RS"/>
  </r>
  <r>
    <x v="3"/>
    <s v="N"/>
    <s v="SALUD"/>
    <s v="URBANO"/>
    <s v="SOCIAL"/>
    <s v="LLANQUIHUE"/>
    <s v="LOS MUERMOS"/>
    <n v="15"/>
    <x v="2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92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920"/>
    <s v="RS*"/>
  </r>
  <r>
    <x v="1"/>
    <s v="A"/>
    <s v="MULTISECTORIAL"/>
    <s v="RURAL"/>
    <s v="SOCIAL"/>
    <s v="LLANQUIHUE"/>
    <s v="LOS MUERMOS"/>
    <n v="15"/>
    <x v="2"/>
    <s v="EJECUCION"/>
    <n v="30103323"/>
    <m/>
    <s v="KARIN DEL CARMEN BARRIENTOS WINTER"/>
    <s v="30103323EJECUCION"/>
    <m/>
    <s v="CONSTRUCCION CIERRE EX VERTEDERO MUNICIPAL LOS MUERMOS"/>
    <m/>
    <m/>
    <m/>
    <m/>
    <m/>
    <m/>
    <m/>
    <n v="207019010"/>
    <n v="99601553"/>
    <m/>
    <n v="107417457"/>
    <n v="0"/>
    <n v="107417457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701152930"/>
    <n v="468557253"/>
    <m/>
    <n v="2395286911"/>
    <n v="1687603630"/>
    <n v="707683281"/>
    <n v="0"/>
    <n v="0"/>
    <n v="0"/>
    <n v="0"/>
    <n v="0"/>
    <n v="152779821"/>
    <n v="290464592"/>
    <n v="239953238"/>
    <n v="551379405"/>
    <n v="98515801"/>
    <n v="218405582"/>
    <n v="136105191"/>
    <m/>
    <n v="8373087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TRANSPORTE Y VIVIENDA"/>
    <s v="URBANO"/>
    <s v="CONECTIVIDAD"/>
    <s v="LLANQUIHUE"/>
    <s v="LOS MUERMOS"/>
    <n v="15"/>
    <x v="1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25580000"/>
    <s v="RS"/>
  </r>
  <r>
    <x v="1"/>
    <s v="N"/>
    <s v="TRANSPORTE Y VIVIENDA"/>
    <s v="RURAL"/>
    <s v="SOCIAL"/>
    <s v="LLANQUIHUE"/>
    <s v="LOS MUERMOS"/>
    <n v="15"/>
    <x v="1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45000000"/>
    <n v="0"/>
    <n v="45000000"/>
    <n v="0"/>
    <n v="0"/>
    <n v="0"/>
    <n v="0"/>
    <n v="0"/>
    <n v="0"/>
    <n v="0"/>
    <n v="0"/>
    <n v="0"/>
    <n v="0"/>
    <n v="0"/>
    <n v="0"/>
    <m/>
    <n v="306704000"/>
    <s v="RS*"/>
  </r>
  <r>
    <x v="1"/>
    <s v="N"/>
    <s v="MULTISECTORIAL"/>
    <s v="URBANO"/>
    <s v="SOCIAL"/>
    <s v="LLANQUIHUE"/>
    <s v="LOS MUERMOS"/>
    <n v="15"/>
    <x v="2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6000000"/>
    <n v="0"/>
    <n v="6000000"/>
    <n v="0"/>
    <n v="0"/>
    <n v="0"/>
    <n v="0"/>
    <n v="0"/>
    <n v="0"/>
    <n v="0"/>
    <n v="0"/>
    <n v="0"/>
    <n v="0"/>
    <n v="0"/>
    <n v="0"/>
    <m/>
    <n v="13165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529934000"/>
    <n v="0"/>
    <m/>
    <n v="66000000"/>
    <n v="0"/>
    <n v="66000000"/>
    <n v="0"/>
    <n v="0"/>
    <n v="0"/>
    <n v="0"/>
    <n v="0"/>
    <n v="0"/>
    <n v="0"/>
    <n v="0"/>
    <n v="0"/>
    <n v="0"/>
    <n v="0"/>
    <n v="0"/>
    <m/>
    <n v="463934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LOS MUERMOS"/>
    <m/>
    <m/>
    <m/>
    <m/>
    <m/>
    <m/>
    <m/>
    <n v="4231086930"/>
    <n v="468557253"/>
    <m/>
    <n v="2461286911"/>
    <n v="1687603630"/>
    <n v="773683281"/>
    <n v="0"/>
    <n v="0"/>
    <n v="0"/>
    <n v="0"/>
    <n v="0"/>
    <n v="152779821"/>
    <n v="290464592"/>
    <n v="239953238"/>
    <n v="551379405"/>
    <n v="98515801"/>
    <n v="218405582"/>
    <n v="136105191"/>
    <m/>
    <n v="13012427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LLANQUIHUE"/>
    <s v="MAULLIN"/>
    <n v="16"/>
    <x v="1"/>
    <s v="EJECUCION"/>
    <n v="30117891"/>
    <m/>
    <s v="KARIN DEL CARMEN BARRIENTOS WINTER"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</r>
  <r>
    <x v="1"/>
    <s v="A"/>
    <s v="TRANSPORTE Y VIVIENDA"/>
    <s v="URBANO"/>
    <s v="SOCIAL"/>
    <s v="LLANQUIHUE"/>
    <s v="MAULLIN"/>
    <n v="16"/>
    <x v="1"/>
    <s v="EJECUCION"/>
    <n v="30390477"/>
    <m/>
    <e v="#N/A"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31092000"/>
    <n v="18426870"/>
    <n v="12665130"/>
    <n v="0"/>
    <n v="0"/>
    <n v="0"/>
    <n v="0"/>
    <n v="0"/>
    <n v="0"/>
    <n v="0"/>
    <n v="18426870"/>
    <n v="0"/>
    <n v="0"/>
    <n v="0"/>
    <n v="0"/>
    <m/>
    <n v="0"/>
    <s v="RS"/>
  </r>
  <r>
    <x v="1"/>
    <s v="N"/>
    <s v="TRANSPORTE Y VIVIENDA"/>
    <s v="RURAL"/>
    <s v="CONECTIVIDAD"/>
    <s v="LLANQUIHUE"/>
    <s v="MAULLIN"/>
    <n v="16"/>
    <x v="1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RURAL"/>
    <s v="SOCIAL"/>
    <s v="LLANQUIHUE"/>
    <s v="MAULLIN"/>
    <n v="16"/>
    <x v="2"/>
    <s v="EJECUCION"/>
    <n v="30115466"/>
    <m/>
    <s v="KARIN DEL CARMEN BARRIENTOS WINTER"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192840721"/>
    <n v="81601279"/>
    <n v="0"/>
    <n v="0"/>
    <n v="0"/>
    <n v="0"/>
    <n v="0"/>
    <n v="52546846"/>
    <n v="46265179"/>
    <n v="40581485"/>
    <n v="0"/>
    <n v="51108782"/>
    <n v="1235000"/>
    <n v="1103429"/>
    <m/>
    <n v="0"/>
    <s v="RE"/>
  </r>
  <r>
    <x v="3"/>
    <s v="A"/>
    <s v="TRANSPORTE Y VIVIENDA"/>
    <s v="RURAL"/>
    <s v="CONECTIVIDAD"/>
    <s v="LLANQUIHUE"/>
    <s v="MAULLIN"/>
    <n v="16"/>
    <x v="1"/>
    <s v="EJECUCION"/>
    <n v="40003228"/>
    <m/>
    <e v="#N/A"/>
    <s v="40003228EJECUCION"/>
    <s v="4086-12-H220"/>
    <s v="REPOSICION DE MOTONIVELADORA MUNICIPALIDAD DE MAULLIN (C33)"/>
    <m/>
    <m/>
    <m/>
    <m/>
    <m/>
    <m/>
    <m/>
    <n v="170000000"/>
    <n v="0"/>
    <m/>
    <n v="170000000"/>
    <n v="169999830"/>
    <n v="170"/>
    <n v="0"/>
    <n v="0"/>
    <n v="0"/>
    <n v="0"/>
    <n v="0"/>
    <n v="0"/>
    <n v="0"/>
    <n v="0"/>
    <n v="0"/>
    <n v="0"/>
    <n v="169999830"/>
    <n v="0"/>
    <m/>
    <n v="0"/>
    <s v="RS*"/>
  </r>
  <r>
    <x v="2"/>
    <s v="A"/>
    <s v="MULTISECTORIAL"/>
    <s v="URBANO"/>
    <s v="SOCIAL"/>
    <s v="LLANQUIHUE"/>
    <s v="MAULLIN"/>
    <n v="16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MAULLIN"/>
    <n v="16"/>
    <x v="3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939959"/>
    <n v="145060041"/>
    <n v="0"/>
    <n v="0"/>
    <n v="0"/>
    <n v="0"/>
    <n v="0"/>
    <n v="0"/>
    <n v="0"/>
    <n v="0"/>
    <n v="27514354"/>
    <n v="27425605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11843000"/>
    <n v="311373193"/>
    <m/>
    <n v="793219185"/>
    <n v="453892565"/>
    <n v="339326620"/>
    <n v="0"/>
    <n v="0"/>
    <n v="0"/>
    <n v="0"/>
    <n v="0"/>
    <n v="52546846"/>
    <n v="46265179"/>
    <n v="59008355"/>
    <n v="27514354"/>
    <n v="78534387"/>
    <n v="188920015"/>
    <n v="1103429"/>
    <m/>
    <n v="72506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N"/>
    <s v="DEFENSA Y SEGURIDAD"/>
    <s v="URBANO"/>
    <s v="SOCIAL"/>
    <s v="LLANQUIHUE"/>
    <s v="MAULLIN"/>
    <n v="16"/>
    <x v="2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MAULLIN"/>
    <m/>
    <m/>
    <m/>
    <m/>
    <m/>
    <m/>
    <m/>
    <n v="2014038624"/>
    <n v="311373193"/>
    <m/>
    <n v="1695414809"/>
    <n v="453892565"/>
    <n v="1241522244"/>
    <n v="0"/>
    <n v="0"/>
    <n v="0"/>
    <n v="0"/>
    <n v="0"/>
    <n v="52546846"/>
    <n v="46265179"/>
    <n v="59008355"/>
    <n v="27514354"/>
    <n v="78534387"/>
    <n v="188920015"/>
    <n v="1103429"/>
    <m/>
    <n v="72506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URBANO"/>
    <s v="SOCIAL"/>
    <s v="LLANQUIHUE"/>
    <s v="P.VARAS"/>
    <n v="17"/>
    <x v="2"/>
    <s v="EJECUCION"/>
    <n v="30064230"/>
    <s v="G"/>
    <s v="PAULINA HUIDOBRO JARAMI"/>
    <s v="30064230EJECUCION"/>
    <m/>
    <s v="REPOSICION ESTADIO EWALDO KLEIN DE PUERTO VARAS"/>
    <m/>
    <m/>
    <m/>
    <m/>
    <m/>
    <m/>
    <m/>
    <n v="2746936000"/>
    <n v="1002255904"/>
    <m/>
    <n v="953255040"/>
    <n v="74125963"/>
    <n v="879129077"/>
    <n v="0"/>
    <n v="0"/>
    <n v="0"/>
    <n v="0"/>
    <n v="0"/>
    <n v="0"/>
    <n v="0"/>
    <n v="0"/>
    <n v="2200000"/>
    <n v="2200000"/>
    <n v="67525963"/>
    <n v="2200000"/>
    <m/>
    <n v="791425056"/>
    <s v="RS"/>
  </r>
  <r>
    <x v="1"/>
    <s v="A"/>
    <s v="TRANSPORTE Y VIVIENDA"/>
    <s v="URBANO"/>
    <s v="CONECTIVIDAD"/>
    <s v="LLANQUIHUE"/>
    <s v="P.VARAS"/>
    <n v="17"/>
    <x v="1"/>
    <s v="EJECUCION"/>
    <n v="40005578"/>
    <m/>
    <s v="KARIN DEL CARMEN BARRIENTOS WINTER"/>
    <s v="40005578EJECUCION"/>
    <m/>
    <s v="* MEJORAMIENTO CALLE TERRAPLEN, PUERTO VARAS"/>
    <s v="* CERT. CORE 92 03.2020 - AUMENTA PPTO"/>
    <m/>
    <m/>
    <m/>
    <m/>
    <m/>
    <m/>
    <n v="258669418"/>
    <n v="31198653"/>
    <m/>
    <n v="76100000"/>
    <n v="1100000"/>
    <n v="75000000"/>
    <n v="0"/>
    <n v="0"/>
    <n v="0"/>
    <n v="0"/>
    <n v="0"/>
    <n v="1100000"/>
    <n v="0"/>
    <n v="0"/>
    <n v="0"/>
    <n v="0"/>
    <n v="0"/>
    <n v="0"/>
    <m/>
    <n v="151370765"/>
    <s v="RS"/>
  </r>
  <r>
    <x v="1"/>
    <s v="A"/>
    <s v="TRANSPORTE Y VIVIENDA"/>
    <s v="URBANO"/>
    <s v="CONECTIVIDAD"/>
    <s v="LLANQUIHUE"/>
    <s v="P.VARAS"/>
    <n v="17"/>
    <x v="1"/>
    <s v="EJECUCION"/>
    <n v="40001254"/>
    <m/>
    <s v="KARIN DEL CARMEN BARRIENTOS WINTER"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140045564"/>
    <n v="66985066"/>
    <n v="73060498"/>
    <n v="0"/>
    <n v="0"/>
    <n v="0"/>
    <n v="0"/>
    <n v="0"/>
    <n v="1133000"/>
    <n v="45295885"/>
    <n v="20556181"/>
    <n v="0"/>
    <n v="0"/>
    <n v="0"/>
    <n v="0"/>
    <m/>
    <n v="107166970"/>
    <s v="RS"/>
  </r>
  <r>
    <x v="1"/>
    <s v="A"/>
    <s v="EDUCACIÓN Y CULTURA"/>
    <s v="RURAL"/>
    <s v="SOCIAL"/>
    <s v="LLANQUIHUE"/>
    <s v="P.VARAS"/>
    <n v="17"/>
    <x v="2"/>
    <s v="EJECUCION"/>
    <n v="30066636"/>
    <m/>
    <s v="KARIN DEL CARMEN BARRIENTOS WINTER"/>
    <s v="30066636EJECUCION"/>
    <m/>
    <s v="REPOSICION ESCUELA EPSON ENSENADA"/>
    <s v="* CERT. CORE 278 12.09.19 - APRUEBA AUMENTO PPTO"/>
    <m/>
    <m/>
    <m/>
    <m/>
    <m/>
    <m/>
    <n v="2826817000"/>
    <n v="1720257350"/>
    <m/>
    <n v="342986334"/>
    <n v="205357195"/>
    <n v="137629139"/>
    <n v="0"/>
    <n v="0"/>
    <n v="0"/>
    <n v="0"/>
    <n v="0"/>
    <n v="27380960"/>
    <n v="0"/>
    <n v="123214316"/>
    <n v="54761919"/>
    <n v="0"/>
    <n v="0"/>
    <n v="0"/>
    <m/>
    <n v="763573316"/>
    <s v="RS"/>
  </r>
  <r>
    <x v="3"/>
    <s v="A"/>
    <s v="DEFENSA Y SEGURIDAD"/>
    <s v="RURAL"/>
    <s v="SOCIAL"/>
    <s v="LLANQUIHUE"/>
    <s v="P.VARAS"/>
    <n v="17"/>
    <x v="2"/>
    <s v="EJECUCION"/>
    <n v="30396974"/>
    <m/>
    <e v="#N/A"/>
    <s v="30396974EJECUCION"/>
    <m/>
    <s v="ADQUISICION LUMINARIAS LED ALUMBRADO PUBLICO, PUERTO VARAS (C33)"/>
    <m/>
    <m/>
    <m/>
    <m/>
    <m/>
    <m/>
    <m/>
    <n v="2414287000"/>
    <n v="1357741523"/>
    <m/>
    <n v="490000900"/>
    <n v="332259377"/>
    <n v="157741523"/>
    <n v="0"/>
    <n v="0"/>
    <n v="0"/>
    <n v="0"/>
    <n v="0"/>
    <n v="0"/>
    <n v="0"/>
    <n v="0"/>
    <n v="0"/>
    <n v="332259377"/>
    <n v="0"/>
    <n v="0"/>
    <m/>
    <n v="566544577"/>
    <s v="RS*"/>
  </r>
  <r>
    <x v="3"/>
    <s v="A"/>
    <s v="EDUCACIÓN Y CULTURA"/>
    <s v="URBANO"/>
    <s v="SOCIAL"/>
    <s v="LLANQUIHUE"/>
    <s v="P.VARAS"/>
    <n v="17"/>
    <x v="2"/>
    <s v="EJECUCION"/>
    <n v="30436694"/>
    <m/>
    <e v="#N/A"/>
    <s v="30436694EJECUCION"/>
    <m/>
    <s v="ADQUISICION EQUIPAMIENTO ESTABLECIMIENTOS EDUCACIONALES, PTO VARAS(C33)"/>
    <m/>
    <m/>
    <m/>
    <m/>
    <m/>
    <m/>
    <m/>
    <n v="488214000"/>
    <n v="80298900"/>
    <m/>
    <n v="407915070"/>
    <n v="0"/>
    <n v="407915070"/>
    <n v="0"/>
    <n v="0"/>
    <n v="0"/>
    <n v="0"/>
    <n v="0"/>
    <n v="0"/>
    <n v="0"/>
    <n v="0"/>
    <n v="0"/>
    <n v="0"/>
    <n v="0"/>
    <n v="0"/>
    <m/>
    <n v="30"/>
    <s v="RS*"/>
  </r>
  <r>
    <x v="1"/>
    <s v="A"/>
    <s v="TRANSPORTE Y VIVIENDA"/>
    <s v="URBANO"/>
    <s v="CONECTIVIDAD"/>
    <s v="LLANQUIHUE"/>
    <s v="P.VARAS"/>
    <n v="17"/>
    <x v="1"/>
    <s v="EJECUCION"/>
    <n v="40005278"/>
    <m/>
    <e v="#N/A"/>
    <s v="40005278EJECUCION"/>
    <m/>
    <s v="CONSERVACION VIAS URBANAS PUERTO VARAS (C33)"/>
    <m/>
    <m/>
    <m/>
    <m/>
    <m/>
    <m/>
    <m/>
    <n v="980817000"/>
    <n v="21532561"/>
    <m/>
    <n v="447057333"/>
    <n v="323318119"/>
    <n v="123739214"/>
    <n v="0"/>
    <n v="0"/>
    <n v="0"/>
    <n v="0"/>
    <n v="0"/>
    <n v="0"/>
    <n v="0"/>
    <n v="0"/>
    <n v="93397323"/>
    <n v="181252621"/>
    <n v="0"/>
    <n v="48668175"/>
    <m/>
    <n v="512227106"/>
    <s v="RS*"/>
  </r>
  <r>
    <x v="1"/>
    <s v="A"/>
    <s v="TRANSPORTE Y VIVIENDA"/>
    <s v="URBANO"/>
    <s v="SOCIAL"/>
    <s v="LLANQUIHUE"/>
    <s v="P.VARAS"/>
    <n v="17"/>
    <x v="1"/>
    <s v="EJECUCION"/>
    <n v="30485313"/>
    <m/>
    <e v="#N/A"/>
    <s v="30485313EJECUCION"/>
    <s v="2852-112-LR19"/>
    <s v="CONSERVACION PLAZA DE ARMAS Y SU ENTORNO, PUERTO VARAS (C33)"/>
    <m/>
    <m/>
    <m/>
    <m/>
    <m/>
    <m/>
    <m/>
    <n v="468032000"/>
    <n v="0"/>
    <m/>
    <n v="468032000"/>
    <n v="294209030"/>
    <n v="173822970"/>
    <n v="0"/>
    <n v="0"/>
    <n v="0"/>
    <n v="0"/>
    <n v="0"/>
    <n v="83369654"/>
    <n v="96635450"/>
    <n v="76593628"/>
    <n v="37610298"/>
    <n v="0"/>
    <n v="0"/>
    <n v="0"/>
    <m/>
    <n v="0"/>
    <s v="RS*"/>
  </r>
  <r>
    <x v="2"/>
    <s v="A"/>
    <s v="MULTISECTORIAL"/>
    <s v="URBANO"/>
    <s v="SOCIAL"/>
    <s v="LLANQUIHUE"/>
    <s v="P.VARAS"/>
    <n v="17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LLANQUIHUE"/>
    <s v="P.VARAS"/>
    <n v="17"/>
    <x v="3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91813611"/>
    <n v="108186389"/>
    <n v="0"/>
    <n v="0"/>
    <n v="0"/>
    <n v="0"/>
    <n v="0"/>
    <n v="1804209"/>
    <n v="0"/>
    <n v="0"/>
    <n v="37181846"/>
    <n v="0"/>
    <n v="52827556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0732014952"/>
    <n v="4214314891"/>
    <m/>
    <n v="3625392241"/>
    <n v="1389168361"/>
    <n v="2236223880"/>
    <n v="0"/>
    <n v="0"/>
    <n v="0"/>
    <n v="0"/>
    <n v="0"/>
    <n v="114787823"/>
    <n v="141931335"/>
    <n v="220364125"/>
    <n v="225151386"/>
    <n v="515711998"/>
    <n v="120353519"/>
    <n v="50868175"/>
    <m/>
    <n v="289230782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FENSA Y SEGURIDAD"/>
    <s v="URBANO"/>
    <s v="SOCIAL"/>
    <s v="LLANQUIHUE"/>
    <s v="P.VARAS"/>
    <n v="17"/>
    <x v="2"/>
    <s v="EJECUCION"/>
    <n v="30204522"/>
    <m/>
    <e v="#N/A"/>
    <s v="30204522EJECUCION"/>
    <s v="2852-31-LR20"/>
    <s v="REPOSICION CUARTEL SEXTA COMPAÑIA DE BOMBEROS"/>
    <m/>
    <m/>
    <m/>
    <s v="2505 30,08,19"/>
    <n v="1169057000"/>
    <m/>
    <m/>
    <n v="1237007000"/>
    <n v="0"/>
    <m/>
    <n v="348175103"/>
    <n v="0"/>
    <n v="348175103"/>
    <n v="0"/>
    <n v="0"/>
    <n v="0"/>
    <n v="0"/>
    <n v="0"/>
    <n v="0"/>
    <n v="0"/>
    <n v="0"/>
    <n v="0"/>
    <n v="0"/>
    <n v="0"/>
    <n v="0"/>
    <m/>
    <n v="888831897"/>
    <s v="RS"/>
  </r>
  <r>
    <x v="1"/>
    <s v="N"/>
    <s v="INDUSTRIA, COMERCIO, FINANZAS Y TURISMO"/>
    <s v="RURAL"/>
    <s v="TURISMO"/>
    <s v="LLANQUIHUE"/>
    <s v="P.VARAS"/>
    <n v="17"/>
    <x v="2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m/>
    <m/>
    <m/>
    <m/>
    <m/>
    <n v="0"/>
    <n v="0"/>
    <n v="0"/>
    <n v="0"/>
    <n v="0"/>
    <m/>
    <m/>
    <m/>
    <n v="288600000"/>
    <s v="RS"/>
  </r>
  <r>
    <x v="1"/>
    <s v="N"/>
    <s v="TRANSPORTE Y VIVIENDA"/>
    <s v="URBANO"/>
    <s v="CONECTIVIDAD"/>
    <s v="LLANQUIHUE"/>
    <s v="P.VARAS"/>
    <n v="17"/>
    <x v="1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12300000"/>
    <n v="0"/>
    <n v="12300000"/>
    <n v="0"/>
    <n v="0"/>
    <n v="0"/>
    <n v="0"/>
    <n v="0"/>
    <n v="0"/>
    <n v="0"/>
    <n v="0"/>
    <n v="0"/>
    <n v="0"/>
    <n v="0"/>
    <n v="0"/>
    <m/>
    <n v="233700000"/>
    <s v="RS"/>
  </r>
  <r>
    <x v="1"/>
    <s v="N"/>
    <s v="TRANSPORTE Y VIVIENDA"/>
    <s v="URBANO"/>
    <s v="SOCIAL"/>
    <s v="LLANQUIHUE"/>
    <s v="P.VARAS"/>
    <n v="17"/>
    <x v="1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7180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589607000"/>
    <n v="0"/>
    <m/>
    <n v="460475103"/>
    <n v="0"/>
    <n v="460475103"/>
    <n v="0"/>
    <n v="0"/>
    <n v="0"/>
    <n v="0"/>
    <n v="0"/>
    <n v="0"/>
    <n v="0"/>
    <n v="0"/>
    <n v="0"/>
    <n v="0"/>
    <n v="0"/>
    <n v="0"/>
    <m/>
    <n v="212913189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.VARAS"/>
    <m/>
    <m/>
    <m/>
    <m/>
    <m/>
    <m/>
    <m/>
    <n v="13321621952"/>
    <n v="4214314891"/>
    <m/>
    <n v="4085867344"/>
    <n v="1389168361"/>
    <n v="2696698983"/>
    <n v="0"/>
    <n v="0"/>
    <n v="0"/>
    <n v="0"/>
    <n v="0"/>
    <n v="114787823"/>
    <n v="141931335"/>
    <n v="220364125"/>
    <n v="225151386"/>
    <n v="515711998"/>
    <n v="120353519"/>
    <n v="50868175"/>
    <m/>
    <n v="502143971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LLANQUIHUE"/>
    <s v="PROV.LLANQUIHUE"/>
    <n v="18"/>
    <x v="7"/>
    <s v="EJECUCION"/>
    <n v="30342773"/>
    <s v="V"/>
    <s v="PAULINA HUIDOBRO JARAMI"/>
    <s v="30342773EJECUCION"/>
    <m/>
    <s v="MEJORAMIENTO RUTA V 69 SECTOR RALUN COCHAMO"/>
    <m/>
    <m/>
    <m/>
    <m/>
    <m/>
    <m/>
    <m/>
    <n v="7077521000"/>
    <n v="3408630569"/>
    <m/>
    <n v="1752412529"/>
    <n v="1705519135"/>
    <n v="46893394"/>
    <n v="0"/>
    <n v="0"/>
    <n v="0"/>
    <n v="0"/>
    <n v="0"/>
    <n v="77106606"/>
    <n v="44742626"/>
    <n v="100888405"/>
    <n v="284031169"/>
    <n v="367910604"/>
    <n v="327156331"/>
    <n v="503683394"/>
    <m/>
    <n v="1916477902"/>
    <s v="RE"/>
  </r>
  <r>
    <x v="1"/>
    <s v="A"/>
    <s v="SALUD"/>
    <s v="RURAL"/>
    <s v="SOCIAL"/>
    <s v="LLANQUIHUE"/>
    <s v="PROV.LLANQUIHUE"/>
    <n v="18"/>
    <x v="2"/>
    <s v="EJECUCION"/>
    <n v="30380331"/>
    <s v="SALUD"/>
    <s v="KARIN DEL CARMEN BARRIENTOS WINTER"/>
    <s v="30380331EJECUCION"/>
    <m/>
    <s v="CONSTRUCCION Y HABILITACION CENTRO DE DIALISIS HOSPITAL DE CALBUCO"/>
    <m/>
    <m/>
    <m/>
    <m/>
    <m/>
    <m/>
    <m/>
    <n v="1947580000"/>
    <n v="0"/>
    <m/>
    <n v="288831897"/>
    <n v="177066265"/>
    <n v="111765632"/>
    <n v="0"/>
    <n v="0"/>
    <n v="0"/>
    <n v="0"/>
    <n v="0"/>
    <n v="0"/>
    <n v="39431720"/>
    <n v="0"/>
    <n v="53722525"/>
    <n v="0"/>
    <n v="27825832"/>
    <n v="56086188"/>
    <m/>
    <n v="1658748103"/>
    <s v="RS"/>
  </r>
  <r>
    <x v="1"/>
    <s v="A"/>
    <s v="TRANSPORTE Y VIVIENDA"/>
    <s v="RURAL"/>
    <s v="CONECTIVIDAD"/>
    <s v="LLANQUIHUE"/>
    <s v="PROV.LLANQUIHUE"/>
    <n v="18"/>
    <x v="1"/>
    <s v="EJECUCION"/>
    <n v="30133755"/>
    <m/>
    <s v="GLORIA DEL CARMEN QUEZADA VELASQUEZ"/>
    <s v="30133755EJECUCION"/>
    <m/>
    <s v="CONSERVACION RED VIAL DE VARIOS CAMINOS PAVIMENTADOS AÑO 2013 (C33)"/>
    <m/>
    <m/>
    <m/>
    <m/>
    <m/>
    <m/>
    <m/>
    <n v="9774474000"/>
    <n v="4532551127"/>
    <m/>
    <n v="2895923713"/>
    <n v="2889531773"/>
    <n v="6391940"/>
    <n v="0"/>
    <n v="0"/>
    <n v="0"/>
    <n v="0"/>
    <n v="0"/>
    <n v="0"/>
    <n v="177140947"/>
    <n v="0"/>
    <n v="898024426"/>
    <n v="186853563"/>
    <n v="1252698058"/>
    <n v="374814779"/>
    <m/>
    <n v="2345999160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8799575000"/>
    <n v="7941181696"/>
    <m/>
    <n v="4937168139"/>
    <n v="4772117173"/>
    <n v="165050966"/>
    <n v="0"/>
    <n v="0"/>
    <n v="0"/>
    <n v="0"/>
    <n v="0"/>
    <n v="77106606"/>
    <n v="261315293"/>
    <n v="100888405"/>
    <n v="1235778120"/>
    <n v="554764167"/>
    <n v="1607680221"/>
    <n v="934584361"/>
    <m/>
    <n v="592122516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LLANQUIHUE"/>
    <s v="PROV.LLANQUIHUE"/>
    <n v="18"/>
    <x v="2"/>
    <s v="EJECUCION"/>
    <n v="30077481"/>
    <s v="G"/>
    <e v="#N/A"/>
    <s v="30077481EJECUCION"/>
    <s v="827-22-O119"/>
    <s v="RESTAURACION IGLESIA N. SRA. DE LA CANDELARIA (MN), CARELMAPU"/>
    <s v="* CORE 358 24.10.19 - AUMENTA PPTO ($ 2.057.540.000)"/>
    <m/>
    <m/>
    <m/>
    <m/>
    <m/>
    <m/>
    <n v="2057540000"/>
    <n v="0"/>
    <m/>
    <n v="87119019"/>
    <n v="0"/>
    <n v="87119019"/>
    <n v="0"/>
    <n v="0"/>
    <n v="0"/>
    <n v="0"/>
    <n v="0"/>
    <n v="0"/>
    <n v="0"/>
    <n v="0"/>
    <n v="0"/>
    <n v="0"/>
    <n v="0"/>
    <n v="0"/>
    <m/>
    <n v="1970420981"/>
    <s v="RS"/>
  </r>
  <r>
    <x v="1"/>
    <s v="A"/>
    <s v="DEFENSA Y SEGURIDAD"/>
    <s v="URBANO"/>
    <s v="SOCIAL"/>
    <s v="LLANQUIHUE"/>
    <s v="PROV.LLANQUIHUE"/>
    <n v="18"/>
    <x v="2"/>
    <s v="EJECUCION"/>
    <n v="30077182"/>
    <s v="G"/>
    <s v="KARIN DEL CARMEN BARRIENTOS WINTER"/>
    <s v="30077182EJECUCION"/>
    <m/>
    <s v="REPOSICION CUARTEL INVESTIGACIONES PUERTO VARAS"/>
    <m/>
    <m/>
    <m/>
    <m/>
    <m/>
    <m/>
    <m/>
    <n v="2369092000"/>
    <n v="9000000"/>
    <m/>
    <n v="103242800"/>
    <n v="0"/>
    <n v="103242800"/>
    <n v="0"/>
    <n v="0"/>
    <n v="0"/>
    <n v="0"/>
    <n v="0"/>
    <n v="0"/>
    <n v="0"/>
    <n v="0"/>
    <n v="0"/>
    <n v="0"/>
    <n v="0"/>
    <n v="0"/>
    <m/>
    <n v="2256849200"/>
    <s v="RS"/>
  </r>
  <r>
    <x v="1"/>
    <s v="N"/>
    <s v="TRANSPORTE Y VIVIENDA"/>
    <s v="URBANO"/>
    <s v="SOCIAL"/>
    <s v="LLANQUIHUE"/>
    <s v="PROV.LLANQUIHUE"/>
    <n v="18"/>
    <x v="2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</r>
  <r>
    <x v="1"/>
    <s v="N"/>
    <s v="TRANSPORTE Y VIVIENDA"/>
    <s v="URBANO"/>
    <s v="CONECTIVIDAD"/>
    <s v="LLANQUIHUE"/>
    <s v="PROV.LLANQUIHUE"/>
    <n v="18"/>
    <x v="1"/>
    <s v="EJECUCION"/>
    <n v="30127010"/>
    <s v="CIU.+HUM."/>
    <s v="PAULINA HUIDOBRO JARAMI"/>
    <s v="30127010EJECUCION"/>
    <m/>
    <s v="MEJORAMIENTO CALLE EL TENIENTE BARRIO INDUSTRIAL"/>
    <m/>
    <m/>
    <m/>
    <s v="796 19,03,20"/>
    <n v="3678096000"/>
    <m/>
    <m/>
    <n v="3678102000"/>
    <n v="0"/>
    <m/>
    <n v="116467113"/>
    <n v="0"/>
    <n v="116467113"/>
    <n v="0"/>
    <n v="0"/>
    <n v="0"/>
    <n v="0"/>
    <n v="0"/>
    <n v="0"/>
    <n v="0"/>
    <n v="0"/>
    <n v="0"/>
    <n v="0"/>
    <n v="0"/>
    <n v="0"/>
    <m/>
    <n v="3561634887"/>
    <s v="RS"/>
  </r>
  <r>
    <x v="3"/>
    <s v="N"/>
    <s v="DEFENSA Y SEGURIDAD"/>
    <s v="RURAL"/>
    <s v="SOCIAL"/>
    <s v="LLANQUIHUE"/>
    <s v="PROV.LLANQUIHUE"/>
    <n v="18"/>
    <x v="2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105867000"/>
    <n v="0"/>
    <n v="105867000"/>
    <n v="0"/>
    <n v="0"/>
    <n v="0"/>
    <n v="0"/>
    <n v="0"/>
    <n v="0"/>
    <n v="0"/>
    <n v="0"/>
    <n v="0"/>
    <n v="0"/>
    <n v="0"/>
    <n v="0"/>
    <m/>
    <n v="0"/>
    <s v="RS*"/>
  </r>
  <r>
    <x v="1"/>
    <s v="N"/>
    <s v="TRANSPORTE Y VIVIENDA"/>
    <s v="URBANO"/>
    <s v="CONECTIVIDAD"/>
    <s v="LLANQUIHUE"/>
    <s v="PROV.LLANQUIHUE"/>
    <n v="18"/>
    <x v="1"/>
    <s v="DISEÑO"/>
    <n v="30437675"/>
    <s v="CIU.+HUM."/>
    <s v="PAULINA HUIDOBRO JARAMI"/>
    <s v="30437675DISEÑO"/>
    <m/>
    <s v="CONSTRUCCION INTERTERRAZAS PUERTO MONTT, ETAPA I"/>
    <m/>
    <m/>
    <m/>
    <s v="798 19,03,20"/>
    <n v="500000000"/>
    <m/>
    <m/>
    <n v="50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250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9145944000"/>
    <n v="9000000"/>
    <m/>
    <n v="662745016"/>
    <n v="49084"/>
    <n v="662695932"/>
    <n v="0"/>
    <n v="0"/>
    <n v="0"/>
    <n v="0"/>
    <n v="0"/>
    <n v="49084"/>
    <n v="0"/>
    <n v="0"/>
    <n v="0"/>
    <n v="0"/>
    <n v="0"/>
    <n v="0"/>
    <m/>
    <n v="847419898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LES"/>
    <m/>
    <m/>
    <m/>
    <m/>
    <m/>
    <m/>
    <m/>
    <n v="27945519000"/>
    <n v="7950181696"/>
    <m/>
    <n v="5599913155"/>
    <n v="4772166257"/>
    <n v="827746898"/>
    <n v="0"/>
    <n v="0"/>
    <n v="0"/>
    <n v="0"/>
    <n v="0"/>
    <n v="77155690"/>
    <n v="261315293"/>
    <n v="100888405"/>
    <n v="1235778120"/>
    <n v="554764167"/>
    <n v="1607680221"/>
    <n v="934584361"/>
    <m/>
    <n v="1439542414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LLANQUIHUE"/>
    <m/>
    <m/>
    <m/>
    <m/>
    <m/>
    <m/>
    <m/>
    <n v="113404416519"/>
    <n v="28678511839"/>
    <m/>
    <n v="25307496695"/>
    <n v="11161729473"/>
    <n v="14145767222"/>
    <n v="0"/>
    <n v="0"/>
    <n v="0"/>
    <n v="0"/>
    <n v="0"/>
    <n v="717077288"/>
    <n v="1204348659"/>
    <n v="978734537"/>
    <n v="2578626076"/>
    <n v="1656614987"/>
    <n v="2609233375"/>
    <n v="1417094551"/>
    <m/>
    <n v="5941840798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CHILOE"/>
    <s v="ANCUD"/>
    <n v="19"/>
    <x v="2"/>
    <s v="EJECUCION"/>
    <n v="30085972"/>
    <m/>
    <s v="FRANCISCA MONTECINO  OPAZO"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URBANO"/>
    <s v="AGUA POTABLE"/>
    <s v="CHILOE"/>
    <s v="ANCUD"/>
    <n v="19"/>
    <x v="2"/>
    <s v="EJECUCION"/>
    <n v="30341232"/>
    <m/>
    <s v="HARRY FRANKLIN  MONSALVE FUENTES"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0"/>
    <n v="27448301"/>
    <n v="0"/>
    <n v="0"/>
    <n v="0"/>
    <n v="0"/>
    <n v="0"/>
    <n v="0"/>
    <n v="0"/>
    <n v="0"/>
    <n v="0"/>
    <n v="0"/>
    <n v="0"/>
    <n v="0"/>
    <m/>
    <n v="44657275"/>
    <s v="RS"/>
  </r>
  <r>
    <x v="1"/>
    <s v="A"/>
    <s v="AGUA POTABLE Y ALCANTARILLADO"/>
    <s v="URBANO"/>
    <s v="AGUA POTABLE"/>
    <s v="CHILOE"/>
    <s v="ANCUD"/>
    <n v="19"/>
    <x v="2"/>
    <s v="EJECUCION"/>
    <n v="30476333"/>
    <m/>
    <s v="HARRY FRANKLIN  MONSALVE FUENTES"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</r>
  <r>
    <x v="1"/>
    <s v="A"/>
    <s v="DEPORTE"/>
    <s v="URBANO"/>
    <s v="SOCIAL"/>
    <s v="CHILOE"/>
    <s v="ANCUD"/>
    <n v="19"/>
    <x v="2"/>
    <s v="EJECUCION"/>
    <n v="30486350"/>
    <m/>
    <s v="HARRY FRANKLIN  MONSALVE FUENTES"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m/>
    <m/>
    <m/>
    <m/>
    <m/>
    <n v="0"/>
    <n v="0"/>
    <n v="0"/>
    <n v="0"/>
    <n v="0"/>
    <n v="15371804"/>
    <n v="0"/>
    <m/>
    <n v="0"/>
    <s v="RS*"/>
  </r>
  <r>
    <x v="1"/>
    <s v="A"/>
    <s v="AGUA POTABLE Y ALCANTARILLADO"/>
    <s v="RURAL"/>
    <s v="AGUA POTABLE"/>
    <s v="CHILOE"/>
    <s v="ANCUD"/>
    <n v="19"/>
    <x v="2"/>
    <s v="EJECUCION"/>
    <n v="30109898"/>
    <m/>
    <e v="#N/A"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540394269"/>
    <n v="217345732"/>
    <n v="323048537"/>
    <n v="0"/>
    <n v="0"/>
    <n v="0"/>
    <n v="0"/>
    <n v="0"/>
    <n v="82349998"/>
    <n v="56913014"/>
    <n v="0"/>
    <n v="0"/>
    <n v="78082720"/>
    <n v="0"/>
    <n v="0"/>
    <m/>
    <n v="121211731"/>
    <s v="RS"/>
  </r>
  <r>
    <x v="2"/>
    <s v="A"/>
    <s v="MULTISECTORIAL"/>
    <s v="URBANO"/>
    <s v="SOCIAL"/>
    <s v="CHILOE"/>
    <s v="ANCUD"/>
    <n v="19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ANCUD"/>
    <n v="19"/>
    <x v="3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70294738"/>
    <n v="129705262"/>
    <n v="0"/>
    <n v="0"/>
    <n v="0"/>
    <n v="0"/>
    <n v="0"/>
    <n v="0"/>
    <n v="0"/>
    <n v="0"/>
    <n v="0"/>
    <n v="70294738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576690768"/>
    <n v="2122659030"/>
    <m/>
    <n v="1288162732"/>
    <n v="704375410"/>
    <n v="583787322"/>
    <n v="0"/>
    <n v="0"/>
    <n v="0"/>
    <n v="0"/>
    <n v="0"/>
    <n v="82349998"/>
    <n v="56913014"/>
    <n v="0"/>
    <n v="21109805"/>
    <n v="150677458"/>
    <n v="175119431"/>
    <n v="218205704"/>
    <m/>
    <n v="16586900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URBANO"/>
    <s v="AGUA POTABLE"/>
    <s v="CHILOE"/>
    <s v="ANCUD"/>
    <n v="19"/>
    <x v="2"/>
    <s v="EJECUCION"/>
    <n v="40009233"/>
    <m/>
    <e v="#N/A"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44233927"/>
    <n v="0"/>
    <n v="44233927"/>
    <n v="0"/>
    <n v="0"/>
    <n v="0"/>
    <n v="0"/>
    <n v="0"/>
    <n v="0"/>
    <n v="0"/>
    <n v="0"/>
    <n v="0"/>
    <n v="0"/>
    <n v="0"/>
    <n v="0"/>
    <m/>
    <n v="614861073"/>
    <s v="RS"/>
  </r>
  <r>
    <x v="1"/>
    <s v="A"/>
    <s v="SALUD"/>
    <s v="RURAL"/>
    <s v="SOCIAL"/>
    <s v="CHILOE"/>
    <s v="ANCUD"/>
    <n v="19"/>
    <x v="2"/>
    <s v="EJECUCION"/>
    <n v="30093349"/>
    <s v="SALUD"/>
    <s v="FRANCISCA MONTECINO  OPAZO"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463580000"/>
    <s v="RS"/>
  </r>
  <r>
    <x v="1"/>
    <s v="N"/>
    <s v="AGUA POTABLE Y ALCANTARILLADO"/>
    <s v="RURAL"/>
    <s v="AGUA POTABLE"/>
    <s v="CHILOE"/>
    <s v="ANCUD"/>
    <n v="19"/>
    <x v="2"/>
    <s v="EJECUCION"/>
    <n v="30116708"/>
    <m/>
    <s v="FRANCISCA MONTECINO  OPAZO"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28332450"/>
    <n v="0"/>
    <n v="28332450"/>
    <n v="0"/>
    <n v="0"/>
    <n v="0"/>
    <n v="0"/>
    <n v="0"/>
    <n v="0"/>
    <n v="0"/>
    <n v="0"/>
    <n v="0"/>
    <n v="0"/>
    <n v="0"/>
    <n v="0"/>
    <m/>
    <n v="813921550"/>
    <s v="RS"/>
  </r>
  <r>
    <x v="1"/>
    <s v="N"/>
    <s v="AGUA POTABLE Y ALCANTARILLADO"/>
    <s v="URBANO"/>
    <s v="ALCANTARILLADO"/>
    <s v="CHILOE"/>
    <s v="ANCUD"/>
    <n v="19"/>
    <x v="2"/>
    <s v="EJECUCION"/>
    <n v="40017416"/>
    <s v="AC. COMPL."/>
    <s v="FRANCISCA MONTECINO  OPAZO"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406672000"/>
    <n v="0"/>
    <n v="406672000"/>
    <m/>
    <m/>
    <m/>
    <m/>
    <m/>
    <n v="0"/>
    <n v="0"/>
    <n v="0"/>
    <n v="0"/>
    <n v="0"/>
    <n v="0"/>
    <n v="0"/>
    <m/>
    <n v="0"/>
    <s v="RS"/>
  </r>
  <r>
    <x v="1"/>
    <s v="N"/>
    <s v="EDUCACIÓN Y CULTURA"/>
    <s v="URBANO"/>
    <s v="SOCIAL"/>
    <s v="CHILOE"/>
    <s v="ANCUD"/>
    <n v="19"/>
    <x v="2"/>
    <s v="EJECUCION"/>
    <n v="40001823"/>
    <m/>
    <s v="FRANCISCA MONTECINO  OPAZO"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7500000"/>
    <n v="0"/>
    <n v="7500000"/>
    <n v="0"/>
    <n v="0"/>
    <n v="0"/>
    <n v="0"/>
    <n v="0"/>
    <n v="0"/>
    <n v="0"/>
    <n v="0"/>
    <n v="0"/>
    <n v="0"/>
    <n v="0"/>
    <n v="0"/>
    <m/>
    <n v="217728000"/>
    <s v="RS"/>
  </r>
  <r>
    <x v="1"/>
    <s v="N"/>
    <s v="ENERGIA"/>
    <s v="RURAL"/>
    <s v="ENERGIA"/>
    <s v="CHILOE"/>
    <s v="ANCUD"/>
    <n v="19"/>
    <x v="2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0"/>
    <n v="310199000"/>
    <m/>
    <m/>
    <m/>
    <m/>
    <m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007028000"/>
    <n v="0"/>
    <m/>
    <n v="896937377"/>
    <n v="0"/>
    <n v="896937377"/>
    <n v="0"/>
    <n v="0"/>
    <n v="0"/>
    <n v="0"/>
    <n v="0"/>
    <n v="0"/>
    <n v="0"/>
    <n v="0"/>
    <n v="0"/>
    <n v="0"/>
    <n v="0"/>
    <n v="0"/>
    <m/>
    <n v="211009062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ANCUD"/>
    <m/>
    <m/>
    <m/>
    <m/>
    <m/>
    <m/>
    <m/>
    <n v="6583718768"/>
    <n v="2122659030"/>
    <m/>
    <n v="2185100109"/>
    <n v="704375410"/>
    <n v="1480724699"/>
    <n v="0"/>
    <n v="0"/>
    <n v="0"/>
    <n v="0"/>
    <n v="0"/>
    <n v="82349998"/>
    <n v="56913014"/>
    <n v="0"/>
    <n v="21109805"/>
    <n v="150677458"/>
    <n v="175119431"/>
    <n v="218205704"/>
    <m/>
    <n v="227595962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CONECTIVIDAD"/>
    <s v="CHILOE"/>
    <s v="CASTRO"/>
    <n v="20"/>
    <x v="1"/>
    <s v="EJECUCION"/>
    <n v="30485135"/>
    <m/>
    <s v="FRANCISCA MONTECINO  OPAZO"/>
    <s v="30485135EJECUCION"/>
    <m/>
    <s v="CONSERVACION VEREDAS CASTRO ALTO, COMUNA DE CASTRO (C33)"/>
    <m/>
    <m/>
    <m/>
    <m/>
    <m/>
    <m/>
    <m/>
    <n v="457733000"/>
    <n v="0"/>
    <m/>
    <n v="444723548"/>
    <n v="435946053"/>
    <n v="8777495"/>
    <n v="0"/>
    <n v="0"/>
    <n v="0"/>
    <n v="0"/>
    <n v="0"/>
    <n v="0"/>
    <n v="0"/>
    <n v="103844241"/>
    <n v="0"/>
    <n v="0"/>
    <n v="94313272"/>
    <n v="237788540"/>
    <m/>
    <n v="13009452"/>
    <s v="RS*"/>
  </r>
  <r>
    <x v="1"/>
    <s v="A"/>
    <s v="AGUA POTABLE Y ALCANTARILLADO"/>
    <s v="URBANO"/>
    <s v="AGUA POTABLE"/>
    <s v="CHILOE"/>
    <s v="CASTRO"/>
    <n v="20"/>
    <x v="2"/>
    <s v="EJECUCION"/>
    <n v="30121787"/>
    <m/>
    <s v="HARRY FRANKLIN  MONSALVE FUENTES"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URBANO"/>
    <s v="SOCIAL"/>
    <s v="CHILOE"/>
    <s v="CASTRO"/>
    <n v="20"/>
    <x v="2"/>
    <s v="DISEÑO"/>
    <n v="30076949"/>
    <m/>
    <s v="FRANCISCA MONTECINO  OPAZO"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81586005"/>
    <n v="148384968"/>
    <n v="0"/>
    <n v="0"/>
    <n v="0"/>
    <n v="0"/>
    <n v="0"/>
    <n v="0"/>
    <n v="0"/>
    <n v="46620574"/>
    <n v="0"/>
    <n v="34965431"/>
    <n v="0"/>
    <n v="0"/>
    <m/>
    <n v="102168027"/>
    <s v="RS"/>
  </r>
  <r>
    <x v="1"/>
    <s v="A"/>
    <s v="TRANSPORTE Y VIVIENDA"/>
    <s v="URBANO"/>
    <s v="CONECTIVIDAD"/>
    <s v="CHILOE"/>
    <s v="CASTRO"/>
    <n v="20"/>
    <x v="1"/>
    <s v="EJECUCION"/>
    <n v="40003369"/>
    <m/>
    <s v="FRANCISCA MONTECINO  OPAZO"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</r>
  <r>
    <x v="4"/>
    <s v="N"/>
    <s v="ENERGIA"/>
    <s v="RURAL"/>
    <s v="ENERGIA"/>
    <s v="CHILOE"/>
    <s v="CASTRO"/>
    <n v="20"/>
    <x v="5"/>
    <s v="EJECUCION"/>
    <n v="30382027"/>
    <m/>
    <m/>
    <s v="30382027EJECUCION"/>
    <m/>
    <s v="SUBSIDIO OPERACIÓN SIST. AUTOGENERACION ISLA QUEHUI"/>
    <m/>
    <m/>
    <m/>
    <m/>
    <m/>
    <m/>
    <m/>
    <n v="50892340"/>
    <n v="0"/>
    <m/>
    <n v="50892340"/>
    <n v="50892340"/>
    <n v="0"/>
    <m/>
    <m/>
    <m/>
    <m/>
    <m/>
    <n v="0"/>
    <n v="0"/>
    <n v="0"/>
    <n v="50892340"/>
    <m/>
    <m/>
    <m/>
    <m/>
    <n v="0"/>
    <s v="RS***"/>
  </r>
  <r>
    <x v="1"/>
    <s v="A"/>
    <s v="INDUSTRIA, COMERCIO, FINANZAS Y TURISMO"/>
    <s v="URBANO"/>
    <s v="FOMENTO PRODUCTIVO"/>
    <s v="CHILOE"/>
    <s v="CASTRO"/>
    <n v="20"/>
    <x v="2"/>
    <s v="EJECUCION"/>
    <n v="30076663"/>
    <m/>
    <e v="#N/A"/>
    <s v="30076663EJECUCION"/>
    <s v="966131-55-LR19"/>
    <s v="CONSERVACION FERIA LILLO COMUNA CASTRO (C33)"/>
    <m/>
    <m/>
    <m/>
    <m/>
    <m/>
    <m/>
    <m/>
    <n v="564532000"/>
    <n v="0"/>
    <m/>
    <n v="366700027"/>
    <n v="122263164"/>
    <n v="244436863"/>
    <n v="0"/>
    <n v="0"/>
    <n v="0"/>
    <n v="0"/>
    <n v="0"/>
    <n v="115983164"/>
    <n v="1570000"/>
    <n v="1570000"/>
    <n v="3140000"/>
    <n v="0"/>
    <n v="0"/>
    <n v="0"/>
    <m/>
    <n v="197831973"/>
    <s v="RS*"/>
  </r>
  <r>
    <x v="2"/>
    <s v="A"/>
    <s v="MULTISECTORIAL"/>
    <s v="URBANO"/>
    <s v="SOCIAL"/>
    <s v="CHILOE"/>
    <s v="CASTRO"/>
    <n v="20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CASTRO"/>
    <n v="20"/>
    <x v="3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49257331"/>
    <n v="150742669"/>
    <n v="0"/>
    <n v="0"/>
    <n v="0"/>
    <n v="0"/>
    <n v="0"/>
    <n v="0"/>
    <n v="17517562"/>
    <n v="23102764"/>
    <n v="8637005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004520650"/>
    <n v="747772307"/>
    <m/>
    <n v="1679297244"/>
    <n v="1025503246"/>
    <n v="653793998"/>
    <n v="0"/>
    <n v="0"/>
    <n v="0"/>
    <n v="0"/>
    <n v="0"/>
    <n v="179755617"/>
    <n v="19087562"/>
    <n v="252239289"/>
    <n v="126481854"/>
    <n v="115837112"/>
    <n v="94313272"/>
    <n v="237788540"/>
    <m/>
    <n v="57745109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URBANO"/>
    <s v="SOCIAL"/>
    <s v="CHILOE"/>
    <s v="CASTRO"/>
    <n v="20"/>
    <x v="2"/>
    <s v="EJECUCION"/>
    <n v="20140221"/>
    <m/>
    <e v="#N/A"/>
    <s v="20140221EJECUCION"/>
    <s v="966131-80-LR19"/>
    <s v="REPOSICION POSTA DE SALUD RURAL DE LA ISLA CHELIN, CASTRO"/>
    <m/>
    <m/>
    <m/>
    <m/>
    <m/>
    <m/>
    <m/>
    <n v="600518000"/>
    <n v="0"/>
    <m/>
    <n v="200518000"/>
    <n v="0"/>
    <n v="200518000"/>
    <n v="0"/>
    <n v="0"/>
    <n v="0"/>
    <n v="0"/>
    <n v="0"/>
    <n v="0"/>
    <n v="0"/>
    <n v="0"/>
    <n v="0"/>
    <n v="0"/>
    <n v="0"/>
    <n v="0"/>
    <m/>
    <n v="400000000"/>
    <s v="RS"/>
  </r>
  <r>
    <x v="1"/>
    <s v="A"/>
    <s v="MULTISECTORIAL"/>
    <s v="URBANO"/>
    <s v="CONECTIVIDAD"/>
    <s v="CHILOE"/>
    <s v="CASTRO"/>
    <n v="20"/>
    <x v="1"/>
    <s v="EJECUCION"/>
    <n v="40002877"/>
    <m/>
    <s v="HARRY FRANKLIN  MONSALVE FUENTES"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77451099"/>
    <n v="0"/>
    <n v="77451099"/>
    <n v="0"/>
    <n v="0"/>
    <n v="0"/>
    <n v="0"/>
    <n v="0"/>
    <n v="0"/>
    <n v="0"/>
    <n v="0"/>
    <n v="0"/>
    <n v="0"/>
    <n v="0"/>
    <n v="0"/>
    <m/>
    <n v="3701904901"/>
    <s v="RS"/>
  </r>
  <r>
    <x v="1"/>
    <s v="N"/>
    <s v="EDUCACIÓN Y CULTURA"/>
    <s v="URBANO"/>
    <s v="SOCIAL"/>
    <s v="CHILOE"/>
    <s v="CASTRO"/>
    <n v="20"/>
    <x v="2"/>
    <s v="DISEÑO"/>
    <n v="40005957"/>
    <m/>
    <m/>
    <s v="40005957DISEÑO"/>
    <m/>
    <s v="* REPOSICION MUSEO MUNICIPAL Y BIBLIOTECA PUBLICA"/>
    <m/>
    <m/>
    <m/>
    <m/>
    <m/>
    <m/>
    <m/>
    <n v="139625000"/>
    <n v="0"/>
    <m/>
    <n v="5324600"/>
    <n v="0"/>
    <n v="5324600"/>
    <n v="0"/>
    <n v="0"/>
    <n v="0"/>
    <n v="0"/>
    <n v="0"/>
    <n v="0"/>
    <n v="0"/>
    <n v="0"/>
    <n v="0"/>
    <n v="0"/>
    <n v="0"/>
    <n v="0"/>
    <m/>
    <n v="134300400"/>
    <s v="RS"/>
  </r>
  <r>
    <x v="3"/>
    <s v="N"/>
    <s v="MULTISECTORIAL"/>
    <s v="URBANO"/>
    <s v="SOCIAL"/>
    <s v="CHILOE"/>
    <s v="CASTRO"/>
    <n v="21"/>
    <x v="2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233710000"/>
    <n v="0"/>
    <n v="233710000"/>
    <n v="0"/>
    <n v="0"/>
    <n v="0"/>
    <n v="0"/>
    <n v="0"/>
    <n v="0"/>
    <n v="0"/>
    <n v="0"/>
    <n v="0"/>
    <n v="0"/>
    <n v="0"/>
    <n v="0"/>
    <m/>
    <n v="417815000"/>
    <s v="RS*"/>
  </r>
  <r>
    <x v="1"/>
    <s v="N"/>
    <s v="TRANSPORTE Y VIVIENDA"/>
    <s v="URBANO"/>
    <s v="CONECTIVIDAD"/>
    <s v="CHILOE"/>
    <s v="CASTRO"/>
    <n v="22"/>
    <x v="1"/>
    <s v="EJECUCION"/>
    <n v="40014732"/>
    <m/>
    <m/>
    <s v="40014732EJECUCION"/>
    <m/>
    <s v="CONSERVACION CAMINOS RURALES Y URBANOS SECTOR TEN TEN Y LA CHACRAN (C33)"/>
    <m/>
    <m/>
    <m/>
    <m/>
    <m/>
    <m/>
    <m/>
    <n v="158000000"/>
    <n v="0"/>
    <m/>
    <n v="7900000"/>
    <n v="0"/>
    <n v="7900000"/>
    <n v="0"/>
    <n v="0"/>
    <n v="0"/>
    <n v="0"/>
    <n v="0"/>
    <n v="0"/>
    <n v="0"/>
    <n v="0"/>
    <n v="0"/>
    <n v="0"/>
    <n v="0"/>
    <n v="0"/>
    <m/>
    <n v="15010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5329024000"/>
    <n v="0"/>
    <m/>
    <n v="524903699"/>
    <n v="0"/>
    <n v="524903699"/>
    <n v="0"/>
    <n v="0"/>
    <n v="0"/>
    <n v="0"/>
    <n v="0"/>
    <n v="0"/>
    <n v="0"/>
    <n v="0"/>
    <n v="0"/>
    <n v="0"/>
    <n v="0"/>
    <n v="0"/>
    <m/>
    <n v="480412030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ASTRO"/>
    <m/>
    <m/>
    <m/>
    <m/>
    <m/>
    <m/>
    <m/>
    <n v="8333544650"/>
    <n v="747772307"/>
    <m/>
    <n v="2204200943"/>
    <n v="1025503246"/>
    <n v="1178697697"/>
    <n v="0"/>
    <n v="0"/>
    <n v="0"/>
    <n v="0"/>
    <n v="0"/>
    <n v="179755617"/>
    <n v="19087562"/>
    <n v="252239289"/>
    <n v="126481854"/>
    <n v="115837112"/>
    <n v="94313272"/>
    <n v="237788540"/>
    <m/>
    <n v="53815714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A"/>
    <s v="AGUA POTABLE Y ALCANTARILLADO"/>
    <s v="RURAL"/>
    <s v="AGUA POTABLE"/>
    <s v="CHILOE"/>
    <s v="CHONCHI"/>
    <n v="21"/>
    <x v="8"/>
    <s v="EJECUCION"/>
    <n v="30091901"/>
    <m/>
    <s v="HARRY FRANKLIN  MONSALVE FUENTES"/>
    <s v="30091901EJECUCION"/>
    <m/>
    <s v="* MEJORAMIENTO Y AMPLIACION  APR DE HUILLINCO"/>
    <s v="* CERT. CORE 45 07.02.20 - ACTUALIZA COSTO"/>
    <m/>
    <m/>
    <m/>
    <m/>
    <m/>
    <m/>
    <n v="597480684"/>
    <n v="421356397"/>
    <m/>
    <n v="133443603"/>
    <n v="78611350"/>
    <n v="54832253"/>
    <n v="0"/>
    <n v="0"/>
    <n v="0"/>
    <n v="0"/>
    <n v="0"/>
    <n v="0"/>
    <n v="29372549"/>
    <n v="0"/>
    <n v="0"/>
    <n v="0"/>
    <n v="0"/>
    <n v="49238801"/>
    <m/>
    <n v="42680684"/>
    <s v="RS"/>
  </r>
  <r>
    <x v="1"/>
    <s v="A"/>
    <s v="DEFENSA Y SEGURIDAD"/>
    <s v="RURAL"/>
    <s v="SOCIAL"/>
    <s v="CHILOE"/>
    <s v="CHONCHI"/>
    <n v="21"/>
    <x v="2"/>
    <s v="EJECUCION"/>
    <n v="30126506"/>
    <m/>
    <s v="HARRY FRANKLIN  MONSALVE FUENTES"/>
    <s v="30126506EJECUCION"/>
    <m/>
    <s v="CONSTRUCCION CUARTEL 2° COMPAÑIA BOMBEROS DE LA COMUNA DE CHONCHI"/>
    <m/>
    <m/>
    <m/>
    <m/>
    <m/>
    <m/>
    <m/>
    <n v="644396000"/>
    <n v="126246486"/>
    <m/>
    <n v="313832800"/>
    <n v="131269737"/>
    <n v="182563063"/>
    <n v="0"/>
    <n v="0"/>
    <n v="0"/>
    <n v="0"/>
    <n v="0"/>
    <n v="0"/>
    <n v="0"/>
    <n v="1800000"/>
    <n v="3600000"/>
    <n v="1800000"/>
    <n v="86045461"/>
    <n v="38024276"/>
    <m/>
    <n v="204316714"/>
    <s v="RS"/>
  </r>
  <r>
    <x v="3"/>
    <s v="A"/>
    <s v="MULTISECTORIAL"/>
    <s v="RURAL"/>
    <s v="SOCIAL"/>
    <s v="CHILOE"/>
    <s v="CHONCHI"/>
    <n v="21"/>
    <x v="2"/>
    <s v="EJECUCION"/>
    <n v="30208122"/>
    <m/>
    <s v="FRANCISCA MONTECINO  OPAZO"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</r>
  <r>
    <x v="5"/>
    <s v="A"/>
    <s v="TRANSPORTE Y VIVIENDA"/>
    <s v="RURAL"/>
    <s v="SOCIAL"/>
    <s v="CHILOE"/>
    <s v="CHONCHI"/>
    <n v="21"/>
    <x v="2"/>
    <s v="EJECUCION"/>
    <n v="30126522"/>
    <m/>
    <s v="FRANCISCA MONTECINO  OPAZO"/>
    <s v="30126522EJECUCION"/>
    <m/>
    <s v="ACTUALIZACION PLAN REGULADOR COMUNA DE CHONCHI (C33)"/>
    <m/>
    <m/>
    <m/>
    <m/>
    <m/>
    <m/>
    <m/>
    <n v="120000000"/>
    <n v="60000000"/>
    <m/>
    <n v="60000000"/>
    <n v="50000000"/>
    <n v="10000000"/>
    <n v="0"/>
    <n v="0"/>
    <n v="0"/>
    <n v="0"/>
    <n v="0"/>
    <n v="25000000"/>
    <n v="0"/>
    <n v="0"/>
    <n v="0"/>
    <n v="0"/>
    <n v="25000000"/>
    <n v="0"/>
    <m/>
    <n v="0"/>
    <s v="RS*"/>
  </r>
  <r>
    <x v="1"/>
    <s v="A"/>
    <s v="EDUCACIÓN Y CULTURA"/>
    <s v="RURAL"/>
    <s v="SOCIAL"/>
    <s v="CHILOE"/>
    <s v="CHONCHI"/>
    <n v="21"/>
    <x v="2"/>
    <s v="DISEÑO"/>
    <n v="20157700"/>
    <m/>
    <s v="HARRY FRANKLIN  MONSALVE FUENTES"/>
    <s v="20157700DISEÑO"/>
    <m/>
    <s v="REPOSICION ESCUELA RURAL DE QUITRIPULLI"/>
    <m/>
    <m/>
    <m/>
    <m/>
    <m/>
    <m/>
    <m/>
    <n v="62758000"/>
    <n v="38544070"/>
    <m/>
    <n v="24213930"/>
    <n v="23855381"/>
    <n v="358549"/>
    <n v="0"/>
    <n v="0"/>
    <n v="0"/>
    <n v="0"/>
    <n v="0"/>
    <n v="0"/>
    <n v="0"/>
    <n v="0"/>
    <n v="0"/>
    <n v="0"/>
    <n v="0"/>
    <n v="23855381"/>
    <m/>
    <n v="0"/>
    <s v="RS"/>
  </r>
  <r>
    <x v="1"/>
    <s v="A"/>
    <s v="AGUA POTABLE Y ALCANTARILLADO"/>
    <s v="RURAL"/>
    <s v="AGUA POTABLE"/>
    <s v="CHILOE"/>
    <s v="CHONCHI"/>
    <n v="21"/>
    <x v="2"/>
    <s v="EJECUCION"/>
    <n v="30466394"/>
    <m/>
    <s v="FRANCISCA MONTECINO  OPAZO"/>
    <s v="30466394EJECUCION"/>
    <m/>
    <s v="CONSTRUCCION SISTEMA APR DE TARAHUIN, CHONCHI"/>
    <m/>
    <m/>
    <m/>
    <m/>
    <m/>
    <m/>
    <m/>
    <n v="483702000"/>
    <n v="233771289"/>
    <m/>
    <n v="249930711"/>
    <n v="125751201"/>
    <n v="124179510"/>
    <n v="0"/>
    <n v="0"/>
    <n v="0"/>
    <n v="0"/>
    <n v="0"/>
    <n v="23775593"/>
    <n v="0"/>
    <n v="15423454"/>
    <n v="18147894"/>
    <n v="36791677"/>
    <n v="14320197"/>
    <n v="17292386"/>
    <m/>
    <n v="0"/>
    <s v="RS"/>
  </r>
  <r>
    <x v="1"/>
    <s v="A"/>
    <s v="EDUCACIÓN Y CULTURA"/>
    <s v="RURAL"/>
    <s v="SOCIAL"/>
    <s v="CHILOE"/>
    <s v="CHONCHI"/>
    <n v="21"/>
    <x v="2"/>
    <s v="DISEÑO"/>
    <n v="30126487"/>
    <m/>
    <e v="#N/A"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</r>
  <r>
    <x v="1"/>
    <s v="A"/>
    <s v="SALUD"/>
    <s v="RURAL"/>
    <s v="SOCIAL"/>
    <s v="CHILOE"/>
    <s v="CHONCHI"/>
    <n v="21"/>
    <x v="2"/>
    <s v="EJECUCION"/>
    <n v="30476688"/>
    <s v="SALUD"/>
    <s v="HARRY FRANKLIN  MONSALVE FUENTES"/>
    <s v="30476688EJECUCION"/>
    <s v="4318-34-LR19"/>
    <s v="REPOSICION POSTA SALUD RURAL CUCAO, COMUNA CHONCHI"/>
    <m/>
    <m/>
    <m/>
    <m/>
    <m/>
    <m/>
    <m/>
    <n v="543264000"/>
    <n v="0"/>
    <m/>
    <n v="243264000"/>
    <n v="45952294"/>
    <n v="197311706"/>
    <n v="0"/>
    <n v="0"/>
    <n v="0"/>
    <n v="0"/>
    <n v="0"/>
    <n v="0"/>
    <n v="0"/>
    <n v="1944444"/>
    <n v="23894501"/>
    <n v="16224461"/>
    <n v="3888888"/>
    <n v="0"/>
    <m/>
    <n v="300000000"/>
    <s v="RS"/>
  </r>
  <r>
    <x v="1"/>
    <s v="A"/>
    <s v="DEPORTE"/>
    <s v="RURAL"/>
    <s v="SOCIAL"/>
    <s v="CHILOE"/>
    <s v="CHONCHI"/>
    <n v="21"/>
    <x v="2"/>
    <s v="DISEÑO"/>
    <n v="30484959"/>
    <m/>
    <e v="#N/A"/>
    <s v="30484959DISEÑO"/>
    <s v="4318-41-LP19"/>
    <s v="CONSTRUCCION CENTRO DEPORTIVO MUNICIPAL COMUNA DE CHONCHI"/>
    <m/>
    <m/>
    <m/>
    <m/>
    <m/>
    <m/>
    <m/>
    <n v="75000000"/>
    <n v="0"/>
    <m/>
    <n v="75000000"/>
    <n v="30600000"/>
    <n v="44400000"/>
    <n v="0"/>
    <n v="0"/>
    <n v="0"/>
    <n v="0"/>
    <n v="0"/>
    <n v="0"/>
    <n v="0"/>
    <n v="20400000"/>
    <n v="0"/>
    <n v="10200000"/>
    <n v="0"/>
    <n v="0"/>
    <m/>
    <n v="0"/>
    <s v="RS"/>
  </r>
  <r>
    <x v="1"/>
    <s v="A"/>
    <s v="TRANSPORTE Y VIVIENDA"/>
    <s v="RURAL"/>
    <s v="CONECTIVIDAD"/>
    <s v="CHILOE"/>
    <s v="CHONCHI"/>
    <n v="21"/>
    <x v="1"/>
    <s v="EJECUCION"/>
    <n v="40006762"/>
    <m/>
    <e v="#N/A"/>
    <s v="40006762EJECUCION"/>
    <s v="4318-44-LR19"/>
    <s v="CONSERVACION CAMINOS NO ENROLADOS COMUNA DE CHONCHI (C33)"/>
    <m/>
    <m/>
    <m/>
    <m/>
    <m/>
    <m/>
    <m/>
    <n v="588576000"/>
    <n v="0"/>
    <m/>
    <n v="390235378"/>
    <n v="390235378"/>
    <n v="0"/>
    <n v="0"/>
    <n v="0"/>
    <n v="0"/>
    <n v="0"/>
    <n v="0"/>
    <n v="83980522"/>
    <n v="103983204"/>
    <n v="143762495"/>
    <n v="4000000"/>
    <n v="54509157"/>
    <n v="0"/>
    <n v="0"/>
    <m/>
    <n v="198340622"/>
    <s v="RS*"/>
  </r>
  <r>
    <x v="2"/>
    <s v="A"/>
    <s v="MULTISECTORIAL"/>
    <s v="URBANO"/>
    <s v="SOCIAL"/>
    <s v="CHILOE"/>
    <s v="CHONCHI"/>
    <n v="21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CHONCHI"/>
    <n v="21"/>
    <x v="3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146804052"/>
    <n v="53195948"/>
    <n v="0"/>
    <n v="0"/>
    <n v="0"/>
    <n v="0"/>
    <n v="0"/>
    <n v="9323445"/>
    <n v="27148180"/>
    <n v="0"/>
    <n v="25999195"/>
    <n v="0"/>
    <n v="84333232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3523030684"/>
    <n v="879918242"/>
    <m/>
    <n v="1897774422"/>
    <n v="1104462393"/>
    <n v="793312029"/>
    <n v="0"/>
    <n v="0"/>
    <n v="0"/>
    <n v="0"/>
    <n v="0"/>
    <n v="142079560"/>
    <n v="160503933"/>
    <n v="183330393"/>
    <n v="99353590"/>
    <n v="131381295"/>
    <n v="213587778"/>
    <n v="174225844"/>
    <m/>
    <n v="74533802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N"/>
    <s v="MULTISECTORIAL"/>
    <s v="URBANO"/>
    <s v="SOCIAL"/>
    <s v="CHILOE"/>
    <s v="CHONCHI"/>
    <n v="21"/>
    <x v="2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HONCHI"/>
    <m/>
    <m/>
    <m/>
    <m/>
    <m/>
    <m/>
    <m/>
    <n v="3773030684"/>
    <n v="879918242"/>
    <m/>
    <n v="2124388605"/>
    <n v="1104462393"/>
    <n v="1019926212"/>
    <n v="0"/>
    <n v="0"/>
    <n v="0"/>
    <n v="0"/>
    <n v="0"/>
    <n v="142079560"/>
    <n v="160503933"/>
    <n v="183330393"/>
    <n v="99353590"/>
    <n v="131381295"/>
    <n v="213587778"/>
    <n v="174225844"/>
    <m/>
    <n v="76872383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CURACO DE VÉLEZ"/>
    <n v="22"/>
    <x v="2"/>
    <s v="DISEÑO"/>
    <n v="30095333"/>
    <m/>
    <s v="FRANCISCA MONTECINO  OPAZO"/>
    <s v="30095333DISEÑO"/>
    <m/>
    <s v="REPOSICION ESTADIO MUNICIPAL CURACO DE VELEZ"/>
    <m/>
    <m/>
    <m/>
    <m/>
    <m/>
    <m/>
    <m/>
    <n v="178850000"/>
    <n v="155316500"/>
    <m/>
    <n v="21658500"/>
    <n v="0"/>
    <n v="21658500"/>
    <n v="0"/>
    <n v="0"/>
    <n v="0"/>
    <n v="0"/>
    <n v="0"/>
    <n v="0"/>
    <n v="0"/>
    <n v="0"/>
    <n v="0"/>
    <n v="0"/>
    <n v="0"/>
    <n v="0"/>
    <m/>
    <n v="1875000"/>
    <s v="RS"/>
  </r>
  <r>
    <x v="1"/>
    <s v="A"/>
    <s v="SALUD"/>
    <s v="RURAL"/>
    <s v="SOCIAL"/>
    <s v="CHILOE"/>
    <s v="CURACO DE VÉLEZ"/>
    <n v="22"/>
    <x v="2"/>
    <s v="EJECUCION"/>
    <n v="30135738"/>
    <s v="SALUD"/>
    <s v="HARRY FRANKLIN  MONSALVE FUENTES"/>
    <s v="30135738EJECUCION"/>
    <m/>
    <s v="REPOSICION POSTA DE SALUD HUYAR ALTO"/>
    <m/>
    <m/>
    <m/>
    <m/>
    <m/>
    <m/>
    <m/>
    <n v="575525000"/>
    <n v="537497538"/>
    <m/>
    <n v="38027462"/>
    <n v="23471430"/>
    <n v="14556032"/>
    <n v="0"/>
    <n v="0"/>
    <n v="0"/>
    <n v="0"/>
    <n v="0"/>
    <n v="0"/>
    <n v="23471430"/>
    <n v="0"/>
    <n v="0"/>
    <n v="0"/>
    <n v="0"/>
    <n v="0"/>
    <m/>
    <n v="0"/>
    <s v="RS"/>
  </r>
  <r>
    <x v="1"/>
    <s v="A"/>
    <s v="SALUD"/>
    <s v="RURAL"/>
    <s v="SOCIAL"/>
    <s v="CHILOE"/>
    <s v="CURACO DE VÉLEZ"/>
    <n v="22"/>
    <x v="2"/>
    <s v="EJECUCION"/>
    <n v="30135739"/>
    <s v="SALUD"/>
    <e v="#N/A"/>
    <s v="30135739EJECUCION"/>
    <m/>
    <s v="REPOSICION POSTA DE SALUD DE PALQUI"/>
    <m/>
    <m/>
    <m/>
    <m/>
    <m/>
    <m/>
    <m/>
    <n v="571440000"/>
    <n v="42821820"/>
    <m/>
    <n v="371440000"/>
    <n v="351263065"/>
    <n v="20176935"/>
    <n v="0"/>
    <n v="0"/>
    <n v="0"/>
    <n v="0"/>
    <n v="0"/>
    <n v="64602977"/>
    <n v="40186025"/>
    <n v="110687671"/>
    <n v="1903000"/>
    <n v="49224958"/>
    <n v="84658434"/>
    <n v="0"/>
    <m/>
    <n v="157178180"/>
    <s v="RS"/>
  </r>
  <r>
    <x v="2"/>
    <s v="A"/>
    <s v="MULTISECTORIAL"/>
    <s v="URBANO"/>
    <s v="SOCIAL"/>
    <s v="CHILOE"/>
    <s v="CURACO DE VÉLEZ"/>
    <n v="22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CURACO DE VÉLEZ"/>
    <n v="22"/>
    <x v="3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07103667"/>
    <n v="92896333"/>
    <n v="0"/>
    <n v="0"/>
    <n v="0"/>
    <n v="0"/>
    <n v="0"/>
    <n v="8476830"/>
    <n v="24420645"/>
    <n v="2115172"/>
    <n v="24308361"/>
    <n v="47782659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625815000"/>
    <n v="735635858"/>
    <m/>
    <n v="731125962"/>
    <n v="481838162"/>
    <n v="249287800"/>
    <n v="0"/>
    <n v="0"/>
    <n v="0"/>
    <n v="0"/>
    <n v="0"/>
    <n v="73079807"/>
    <n v="88078100"/>
    <n v="112802843"/>
    <n v="26211361"/>
    <n v="97007617"/>
    <n v="84658434"/>
    <n v="0"/>
    <m/>
    <n v="1590531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N"/>
    <s v="TRANSPORTE Y VIVIENDA"/>
    <s v="RURAL"/>
    <s v="CONECTIVIDAD"/>
    <s v="CHILOE"/>
    <s v="CURACO DE VÉLEZ"/>
    <n v="22"/>
    <x v="1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.VELEZ"/>
    <m/>
    <m/>
    <m/>
    <m/>
    <m/>
    <m/>
    <m/>
    <n v="1712315000"/>
    <n v="735635858"/>
    <m/>
    <n v="817625962"/>
    <n v="481838162"/>
    <n v="335787800"/>
    <n v="0"/>
    <n v="0"/>
    <n v="0"/>
    <n v="0"/>
    <n v="0"/>
    <n v="73079807"/>
    <n v="88078100"/>
    <n v="112802843"/>
    <n v="26211361"/>
    <n v="97007617"/>
    <n v="84658434"/>
    <n v="0"/>
    <m/>
    <n v="15905318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LCANTARILLADO"/>
    <s v="CHILOE"/>
    <s v="DALCAHUE"/>
    <n v="23"/>
    <x v="2"/>
    <s v="EJECUCION"/>
    <n v="30395727"/>
    <m/>
    <s v="FRANCISCA MONTECINO  OPAZO"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</r>
  <r>
    <x v="1"/>
    <s v="A"/>
    <s v="DEPORTE"/>
    <s v="RURAL"/>
    <s v="SOCIAL"/>
    <s v="CHILOE"/>
    <s v="DALCAHUE"/>
    <n v="23"/>
    <x v="2"/>
    <s v="EJECUCION"/>
    <n v="30134014"/>
    <m/>
    <s v="HARRY FRANKLIN  MONSALVE FUENTES"/>
    <s v="30134014EJECUCION"/>
    <m/>
    <s v="CONSTRUCCION GIMNASIO TENAUN"/>
    <m/>
    <m/>
    <m/>
    <m/>
    <m/>
    <m/>
    <m/>
    <n v="368365000"/>
    <n v="63846643"/>
    <m/>
    <n v="23739456"/>
    <n v="0"/>
    <n v="23739456"/>
    <n v="0"/>
    <n v="0"/>
    <n v="0"/>
    <n v="0"/>
    <n v="0"/>
    <n v="0"/>
    <n v="0"/>
    <n v="0"/>
    <n v="0"/>
    <n v="0"/>
    <n v="0"/>
    <n v="0"/>
    <m/>
    <n v="280778901"/>
    <s v="RS"/>
  </r>
  <r>
    <x v="1"/>
    <s v="A"/>
    <s v="MULTISECTORIAL"/>
    <s v="URBANO"/>
    <s v="SOCIAL"/>
    <s v="CHILOE"/>
    <s v="DALCAHUE"/>
    <n v="23"/>
    <x v="2"/>
    <s v="DISEÑO"/>
    <n v="30129912"/>
    <m/>
    <s v="HARRY FRANKLIN  MONSALVE FUENTES"/>
    <s v="30129912DISEÑO"/>
    <m/>
    <s v="CONSTRUCCION CENTRO CIVICO DE DALCAHUE"/>
    <m/>
    <m/>
    <m/>
    <m/>
    <m/>
    <m/>
    <m/>
    <n v="96890200"/>
    <n v="58512850"/>
    <m/>
    <n v="38377350"/>
    <n v="0"/>
    <n v="38377350"/>
    <n v="0"/>
    <n v="0"/>
    <n v="0"/>
    <n v="0"/>
    <n v="0"/>
    <n v="0"/>
    <n v="0"/>
    <n v="0"/>
    <n v="0"/>
    <n v="0"/>
    <n v="0"/>
    <n v="0"/>
    <m/>
    <n v="0"/>
    <s v="RS"/>
  </r>
  <r>
    <x v="1"/>
    <s v="A"/>
    <s v="AGUA POTABLE Y ALCANTARILLADO"/>
    <s v="RURAL"/>
    <s v="ALCANTARILLADO"/>
    <s v="CHILOE"/>
    <s v="DALCAHUE"/>
    <n v="23"/>
    <x v="2"/>
    <s v="EJECUCION"/>
    <n v="30485152"/>
    <m/>
    <s v="HARRY FRANKLIN  MONSALVE FUENTES"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18873114"/>
    <n v="170940708"/>
    <n v="47932406"/>
    <n v="0"/>
    <n v="0"/>
    <n v="0"/>
    <n v="0"/>
    <n v="0"/>
    <n v="22019054"/>
    <n v="1550000"/>
    <n v="33840093"/>
    <n v="48788029"/>
    <n v="1550000"/>
    <n v="25843859"/>
    <n v="37349673"/>
    <m/>
    <n v="18668319"/>
    <s v="RS"/>
  </r>
  <r>
    <x v="2"/>
    <s v="A"/>
    <s v="MULTISECTORIAL"/>
    <s v="URBANO"/>
    <s v="SOCIAL"/>
    <s v="CHILOE"/>
    <s v="DALCAHUE"/>
    <n v="23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DALCAHUE"/>
    <n v="23"/>
    <x v="3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56931211"/>
    <n v="43068789"/>
    <n v="0"/>
    <n v="0"/>
    <n v="0"/>
    <n v="0"/>
    <n v="0"/>
    <n v="0"/>
    <n v="156931211"/>
    <n v="0"/>
    <n v="0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689195384"/>
    <n v="722327363"/>
    <m/>
    <n v="667420801"/>
    <n v="405934629"/>
    <n v="261486172"/>
    <n v="0"/>
    <n v="0"/>
    <n v="0"/>
    <n v="0"/>
    <n v="0"/>
    <n v="22019054"/>
    <n v="158481211"/>
    <n v="33840093"/>
    <n v="62353831"/>
    <n v="1550000"/>
    <n v="46733862"/>
    <n v="80956578"/>
    <m/>
    <n v="29944722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CHILOE"/>
    <s v="DALCAHUE"/>
    <n v="23"/>
    <x v="9"/>
    <s v="EJECUCION"/>
    <n v="40004659"/>
    <m/>
    <s v="FRANCISCA MONTECINO  OPAZO"/>
    <s v="40004659EJECUCION"/>
    <s v="3520-5-LR20"/>
    <s v="CONSTRUCCION SISTEMA APR SECTOR BUTALCURA"/>
    <m/>
    <m/>
    <m/>
    <s v="2698 23,09,19"/>
    <n v="317511000"/>
    <m/>
    <m/>
    <n v="320000000"/>
    <n v="0"/>
    <m/>
    <n v="148204315"/>
    <n v="0"/>
    <n v="148204315"/>
    <n v="0"/>
    <n v="0"/>
    <n v="0"/>
    <n v="0"/>
    <n v="0"/>
    <n v="0"/>
    <n v="0"/>
    <n v="0"/>
    <n v="0"/>
    <n v="0"/>
    <n v="0"/>
    <n v="0"/>
    <m/>
    <n v="171795685"/>
    <s v="RS"/>
  </r>
  <r>
    <x v="1"/>
    <s v="N"/>
    <s v="DEPORTE"/>
    <s v="RURAL"/>
    <s v="SOCIAL"/>
    <s v="CHILOE"/>
    <s v="DALCAHUE"/>
    <n v="23"/>
    <x v="2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1049950"/>
    <n v="0"/>
    <n v="1049950"/>
    <n v="0"/>
    <n v="0"/>
    <n v="0"/>
    <n v="0"/>
    <n v="0"/>
    <n v="0"/>
    <n v="0"/>
    <n v="0"/>
    <n v="0"/>
    <n v="0"/>
    <n v="0"/>
    <n v="0"/>
    <m/>
    <n v="19949050"/>
    <s v="RS"/>
  </r>
  <r>
    <x v="1"/>
    <s v="N"/>
    <s v="EDUCACIÓN Y CULTURA"/>
    <s v="RURAL"/>
    <s v="SOCIAL"/>
    <s v="CHILOE"/>
    <s v="DALCAHUE"/>
    <n v="23"/>
    <x v="4"/>
    <s v="EJECUCION"/>
    <n v="30134013"/>
    <m/>
    <s v="HARRY FRANKLIN  MONSALVE FUENTES"/>
    <s v="30134013EJECUCION"/>
    <s v="3520-15-LR20"/>
    <s v="REPOSICION ESCUELA TEHUACO - QUETALCO COMUNA DE DALCAHUE"/>
    <m/>
    <m/>
    <m/>
    <m/>
    <m/>
    <m/>
    <m/>
    <n v="758577000"/>
    <n v="0"/>
    <m/>
    <n v="112518688"/>
    <n v="0"/>
    <n v="112518688"/>
    <n v="0"/>
    <n v="0"/>
    <n v="0"/>
    <n v="0"/>
    <n v="0"/>
    <n v="0"/>
    <n v="0"/>
    <n v="0"/>
    <n v="0"/>
    <n v="0"/>
    <n v="0"/>
    <n v="0"/>
    <m/>
    <n v="646058312"/>
    <s v="RS"/>
  </r>
  <r>
    <x v="1"/>
    <s v="N"/>
    <s v="EDUCACIÓN Y CULTURA"/>
    <s v="URBANO"/>
    <s v="SOCIAL"/>
    <s v="CHILOE"/>
    <s v="DALCAHUE"/>
    <n v="23"/>
    <x v="4"/>
    <s v="EJECUCION"/>
    <n v="30419547"/>
    <m/>
    <s v="FRANCISCA MONTECINO  OPAZO"/>
    <s v="30419547EJECUCION"/>
    <m/>
    <s v="MEJORAMIENTO INTEGRAL ESCUELA BASICA DE DALCAHUE"/>
    <m/>
    <m/>
    <m/>
    <m/>
    <m/>
    <m/>
    <m/>
    <n v="239685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139685000"/>
    <s v="RS"/>
  </r>
  <r>
    <x v="1"/>
    <s v="N"/>
    <s v="TRANSPORTE Y VIVIENDA"/>
    <s v="URBANO"/>
    <s v="CONECTIVIDAD"/>
    <s v="CHILOE"/>
    <s v="DALCAHUE"/>
    <n v="23"/>
    <x v="1"/>
    <s v="EJECUCION"/>
    <n v="40013905"/>
    <m/>
    <m/>
    <s v="40013905EJECUCION"/>
    <m/>
    <s v="PAVIMENTACION DIVERSOS SECTORES"/>
    <m/>
    <m/>
    <m/>
    <m/>
    <m/>
    <m/>
    <m/>
    <n v="450000000"/>
    <n v="0"/>
    <m/>
    <n v="22500000"/>
    <n v="0"/>
    <n v="22500000"/>
    <n v="0"/>
    <n v="0"/>
    <n v="0"/>
    <n v="0"/>
    <n v="0"/>
    <n v="0"/>
    <n v="0"/>
    <n v="0"/>
    <n v="0"/>
    <n v="0"/>
    <n v="0"/>
    <n v="0"/>
    <m/>
    <n v="4275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789261000"/>
    <n v="0"/>
    <m/>
    <n v="384272953"/>
    <n v="0"/>
    <n v="384272953"/>
    <n v="0"/>
    <n v="0"/>
    <n v="0"/>
    <n v="0"/>
    <n v="0"/>
    <n v="0"/>
    <n v="0"/>
    <n v="0"/>
    <n v="0"/>
    <n v="0"/>
    <n v="0"/>
    <n v="0"/>
    <m/>
    <n v="140498804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DALCAHUE"/>
    <m/>
    <m/>
    <m/>
    <m/>
    <m/>
    <m/>
    <m/>
    <n v="3478456384"/>
    <n v="722327363"/>
    <m/>
    <n v="1051693754"/>
    <n v="405934629"/>
    <n v="645759125"/>
    <n v="0"/>
    <n v="0"/>
    <n v="0"/>
    <n v="0"/>
    <n v="0"/>
    <n v="22019054"/>
    <n v="158481211"/>
    <n v="33840093"/>
    <n v="62353831"/>
    <n v="1550000"/>
    <n v="46733862"/>
    <n v="80956578"/>
    <m/>
    <n v="1704435267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SOCIAL"/>
    <s v="CHILOE"/>
    <s v="PUQUELDON"/>
    <n v="24"/>
    <x v="2"/>
    <s v="EJECUCION"/>
    <n v="30466153"/>
    <m/>
    <e v="#N/A"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</r>
  <r>
    <x v="1"/>
    <s v="A"/>
    <s v="SALUD"/>
    <s v="RURAL"/>
    <s v="SOCIAL"/>
    <s v="CHILOE"/>
    <s v="PUQUELDON"/>
    <n v="24"/>
    <x v="2"/>
    <s v="EJECUCION"/>
    <n v="30042613"/>
    <s v="SALUD"/>
    <e v="#N/A"/>
    <s v="30042613EJECUCION"/>
    <m/>
    <s v="NORMALIZACION CONSULTORIO RURAL PUQUELDON"/>
    <m/>
    <m/>
    <m/>
    <m/>
    <m/>
    <m/>
    <m/>
    <n v="3472101337"/>
    <n v="2618173447"/>
    <m/>
    <n v="828009198"/>
    <n v="0"/>
    <n v="828009198"/>
    <n v="0"/>
    <n v="0"/>
    <n v="0"/>
    <n v="0"/>
    <n v="0"/>
    <n v="0"/>
    <n v="0"/>
    <n v="0"/>
    <n v="0"/>
    <n v="0"/>
    <n v="0"/>
    <n v="0"/>
    <m/>
    <n v="25918692"/>
    <s v="RS"/>
  </r>
  <r>
    <x v="1"/>
    <s v="A"/>
    <s v="TRANSPORTE Y VIVIENDA"/>
    <s v="RURAL"/>
    <s v="CONECTIVIDAD"/>
    <s v="CHILOE"/>
    <s v="PUQUELDON"/>
    <n v="24"/>
    <x v="1"/>
    <s v="EJECUCION"/>
    <n v="40006078"/>
    <m/>
    <e v="#N/A"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486769170"/>
    <n v="1600000"/>
    <n v="485169170"/>
    <n v="0"/>
    <n v="0"/>
    <n v="0"/>
    <n v="0"/>
    <n v="0"/>
    <n v="1600000"/>
    <n v="0"/>
    <n v="0"/>
    <n v="0"/>
    <n v="0"/>
    <n v="0"/>
    <n v="0"/>
    <m/>
    <n v="180061830"/>
    <s v="RS*"/>
  </r>
  <r>
    <x v="2"/>
    <s v="A"/>
    <s v="MULTISECTORIAL"/>
    <s v="URBANO"/>
    <s v="SOCIAL"/>
    <s v="CHILOE"/>
    <s v="PUQUELDON"/>
    <n v="24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PUQUELDON"/>
    <n v="24"/>
    <x v="3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72712983"/>
    <n v="127287017"/>
    <n v="0"/>
    <n v="0"/>
    <n v="0"/>
    <n v="0"/>
    <n v="0"/>
    <n v="0"/>
    <n v="11809721"/>
    <n v="0"/>
    <n v="60903262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UQUELDON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URBANO"/>
    <s v="SOCIAL"/>
    <s v="CHILOE"/>
    <s v="QUEILEN"/>
    <n v="25"/>
    <x v="1"/>
    <s v="EJECUCION"/>
    <n v="40004579"/>
    <m/>
    <e v="#N/A"/>
    <s v="40004579EJECUCION"/>
    <m/>
    <s v="ADQUISICION CAMIONETAS PARA DIVERSAS OFICINAS MUNICIPALES (C33)"/>
    <m/>
    <m/>
    <m/>
    <m/>
    <m/>
    <m/>
    <m/>
    <n v="93784000"/>
    <n v="0"/>
    <m/>
    <n v="93784000"/>
    <n v="76472052"/>
    <n v="17311948"/>
    <n v="0"/>
    <n v="0"/>
    <n v="0"/>
    <n v="0"/>
    <n v="0"/>
    <n v="0"/>
    <n v="76472052"/>
    <n v="0"/>
    <n v="0"/>
    <n v="0"/>
    <n v="0"/>
    <n v="0"/>
    <m/>
    <n v="0"/>
    <s v="RS*"/>
  </r>
  <r>
    <x v="1"/>
    <s v="A"/>
    <s v="EDUCACIÓN Y CULTURA"/>
    <s v="RURAL"/>
    <s v="SOCIAL"/>
    <s v="CHILOE"/>
    <s v="QUEILEN"/>
    <n v="25"/>
    <x v="2"/>
    <s v="EJECUCION"/>
    <n v="30343540"/>
    <m/>
    <s v="FRANCISCA MONTECINO  OPAZO"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DEPORTE"/>
    <s v="RURAL"/>
    <s v="SOCIAL"/>
    <s v="CHILOE"/>
    <s v="QUEILEN"/>
    <n v="25"/>
    <x v="2"/>
    <s v="EJECUCION"/>
    <n v="30480757"/>
    <m/>
    <s v="FRANCISCA MONTECINO  OPAZO"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</r>
  <r>
    <x v="1"/>
    <s v="A"/>
    <s v="SALUD"/>
    <s v="RURAL"/>
    <s v="SOCIAL"/>
    <s v="CHILOE"/>
    <s v="QUEILEN"/>
    <n v="25"/>
    <x v="2"/>
    <s v="EJECUCION"/>
    <n v="30078798"/>
    <s v="SALUD"/>
    <s v="HARRY FRANKLIN  MONSALVE FUENTES"/>
    <s v="30078798EJECUCION"/>
    <m/>
    <s v="REPOSICION POSTA DE SALUD RURAL DE PIO PIO, COMUNA DE QUEILEN"/>
    <m/>
    <m/>
    <m/>
    <s v="979 27,04,20"/>
    <n v="23622000"/>
    <m/>
    <m/>
    <n v="487098000"/>
    <n v="140554528"/>
    <m/>
    <n v="310545507"/>
    <n v="310545507"/>
    <n v="0"/>
    <n v="0"/>
    <n v="0"/>
    <n v="0"/>
    <n v="0"/>
    <n v="0"/>
    <n v="0"/>
    <n v="22612490"/>
    <n v="41650296"/>
    <n v="0"/>
    <n v="48715866"/>
    <n v="48756690"/>
    <n v="148810165"/>
    <m/>
    <n v="35997965"/>
    <s v="RS"/>
  </r>
  <r>
    <x v="2"/>
    <s v="A"/>
    <s v="MULTISECTORIAL"/>
    <s v="URBANO"/>
    <s v="SOCIAL"/>
    <s v="CHILOE"/>
    <s v="QUEILEN"/>
    <n v="25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QUEILEN"/>
    <n v="25"/>
    <x v="3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1137653"/>
    <n v="188862347"/>
    <n v="0"/>
    <n v="0"/>
    <n v="0"/>
    <n v="0"/>
    <n v="0"/>
    <n v="0"/>
    <n v="0"/>
    <n v="0"/>
    <n v="11137653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362187239"/>
    <n v="1498326510"/>
    <m/>
    <n v="827862764"/>
    <n v="472916222"/>
    <n v="354946542"/>
    <n v="0"/>
    <n v="0"/>
    <n v="0"/>
    <n v="0"/>
    <n v="0"/>
    <n v="0"/>
    <n v="99084542"/>
    <n v="41650296"/>
    <n v="26588006"/>
    <n v="48715866"/>
    <n v="78002145"/>
    <n v="178875367"/>
    <m/>
    <n v="3599796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DEPORTE"/>
    <s v="URBANO"/>
    <s v="SOCIAL"/>
    <s v="CHILOE"/>
    <s v="QUEILEN"/>
    <n v="25"/>
    <x v="2"/>
    <s v="EJECUCION"/>
    <n v="40002386"/>
    <m/>
    <m/>
    <s v="40002386EJECUCION"/>
    <m/>
    <s v="MEJORAMIENTO INTEGRAL ESTADIO MUNICIPAL DE QUEILEN"/>
    <m/>
    <m/>
    <m/>
    <m/>
    <m/>
    <m/>
    <m/>
    <n v="1159931000"/>
    <n v="0"/>
    <m/>
    <n v="118306731"/>
    <n v="0"/>
    <n v="118306731"/>
    <n v="0"/>
    <n v="0"/>
    <n v="0"/>
    <n v="0"/>
    <n v="0"/>
    <n v="0"/>
    <n v="0"/>
    <n v="0"/>
    <n v="0"/>
    <n v="0"/>
    <n v="0"/>
    <n v="0"/>
    <m/>
    <n v="1041624269"/>
    <s v="RS"/>
  </r>
  <r>
    <x v="1"/>
    <s v="N"/>
    <s v="ENERGIA"/>
    <s v="RURAL"/>
    <s v="ENERGIA"/>
    <s v="CHILOE"/>
    <s v="QUEILEN"/>
    <n v="25"/>
    <x v="2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0"/>
    <n v="23867200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398603000"/>
    <n v="0"/>
    <m/>
    <n v="356978731"/>
    <n v="0"/>
    <n v="356978731"/>
    <n v="0"/>
    <n v="0"/>
    <n v="0"/>
    <n v="0"/>
    <n v="0"/>
    <n v="0"/>
    <n v="0"/>
    <n v="0"/>
    <n v="0"/>
    <n v="0"/>
    <n v="0"/>
    <n v="0"/>
    <m/>
    <n v="1041624269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ILEN"/>
    <m/>
    <m/>
    <m/>
    <m/>
    <m/>
    <m/>
    <m/>
    <n v="3760790239"/>
    <n v="1498326510"/>
    <m/>
    <n v="1184841495"/>
    <n v="472916222"/>
    <n v="711925273"/>
    <n v="0"/>
    <n v="0"/>
    <n v="0"/>
    <n v="0"/>
    <n v="0"/>
    <n v="0"/>
    <n v="99084542"/>
    <n v="41650296"/>
    <n v="26588006"/>
    <n v="48715866"/>
    <n v="78002145"/>
    <n v="178875367"/>
    <m/>
    <n v="107762223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URBANO"/>
    <s v="SOCIAL"/>
    <s v="CHILOE"/>
    <s v="QUELLON"/>
    <n v="26"/>
    <x v="2"/>
    <s v="DISEÑO"/>
    <n v="30069919"/>
    <m/>
    <s v="FRANCISCA MONTECINO  OPAZO"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</r>
  <r>
    <x v="1"/>
    <s v="A"/>
    <s v="EDUCACIÓN Y CULTURA"/>
    <s v="URBANO"/>
    <s v="SOCIAL"/>
    <s v="CHILOE"/>
    <s v="QUELLON"/>
    <n v="26"/>
    <x v="4"/>
    <s v="EJECUCION"/>
    <n v="30472589"/>
    <m/>
    <s v="HARRY FRANKLIN  MONSALVE FUENTES"/>
    <s v="30472589EJECUCION"/>
    <m/>
    <s v="REPOSICION ESCUELA RURAL DE COINCO"/>
    <m/>
    <m/>
    <m/>
    <m/>
    <m/>
    <m/>
    <m/>
    <n v="2531139000"/>
    <n v="427545288"/>
    <m/>
    <n v="1129372835.3333359"/>
    <n v="1129372835"/>
    <n v="0.33333587646484375"/>
    <n v="0"/>
    <n v="0"/>
    <n v="0"/>
    <n v="0"/>
    <n v="0"/>
    <n v="6665180"/>
    <n v="500691339"/>
    <n v="3332590"/>
    <n v="3332590"/>
    <n v="469859360"/>
    <n v="0"/>
    <n v="145491776"/>
    <m/>
    <n v="974220876.66666412"/>
    <s v="RS"/>
  </r>
  <r>
    <x v="1"/>
    <s v="A"/>
    <s v="EDUCACIÓN Y CULTURA"/>
    <s v="URBANO"/>
    <s v="SOCIAL"/>
    <s v="CHILOE"/>
    <s v="QUELLON"/>
    <n v="26"/>
    <x v="2"/>
    <s v="EJECUCION"/>
    <n v="30135630"/>
    <m/>
    <s v="HARRY FRANKLIN  MONSALVE FUENTES"/>
    <s v="30135630EJECUCION"/>
    <m/>
    <s v="REPOSICION ESCUELA RURAL DE COMPU, COMUNA DE QUELLON"/>
    <m/>
    <m/>
    <m/>
    <m/>
    <m/>
    <m/>
    <m/>
    <n v="1452474000"/>
    <n v="551464"/>
    <m/>
    <n v="548507814"/>
    <n v="0"/>
    <n v="548507814"/>
    <n v="0"/>
    <n v="0"/>
    <n v="0"/>
    <n v="0"/>
    <n v="0"/>
    <n v="0"/>
    <n v="0"/>
    <n v="0"/>
    <n v="0"/>
    <n v="0"/>
    <n v="0"/>
    <n v="0"/>
    <m/>
    <n v="903414722"/>
    <s v="RS"/>
  </r>
  <r>
    <x v="4"/>
    <s v="N"/>
    <s v="ENERGIA"/>
    <s v="RURAL"/>
    <s v="ENERGIA"/>
    <s v="CHILOE"/>
    <s v="QUELLON"/>
    <n v="26"/>
    <x v="5"/>
    <s v="EJECUCION"/>
    <n v="30480365"/>
    <m/>
    <m/>
    <s v="30480365EJECUCION"/>
    <m/>
    <s v="SUBSIDIO OPERACIÓN SIST. AUTOGENERACION ISLA DE LAITEC"/>
    <m/>
    <m/>
    <m/>
    <m/>
    <m/>
    <m/>
    <m/>
    <n v="47929519"/>
    <n v="0"/>
    <m/>
    <n v="47929519"/>
    <n v="47929519"/>
    <n v="0"/>
    <m/>
    <m/>
    <m/>
    <m/>
    <m/>
    <n v="0"/>
    <n v="0"/>
    <n v="0"/>
    <n v="47929519"/>
    <m/>
    <m/>
    <m/>
    <m/>
    <n v="0"/>
    <s v="RS***"/>
  </r>
  <r>
    <x v="4"/>
    <s v="N"/>
    <s v="ENERGIA"/>
    <s v="RURAL"/>
    <s v="ENERGIA"/>
    <s v="CHILOE"/>
    <s v="QUELLON"/>
    <n v="26"/>
    <x v="5"/>
    <s v="EJECUCION"/>
    <n v="30483910"/>
    <m/>
    <m/>
    <s v="30483910EJECUCION"/>
    <m/>
    <s v="SUBSIDIO OPERACIÓN SIST. AUTOGENERACION ISLA CAILIN"/>
    <m/>
    <m/>
    <m/>
    <m/>
    <m/>
    <m/>
    <m/>
    <n v="42444276"/>
    <n v="0"/>
    <m/>
    <n v="42444276"/>
    <n v="42444276"/>
    <n v="0"/>
    <m/>
    <m/>
    <m/>
    <m/>
    <m/>
    <n v="0"/>
    <n v="0"/>
    <n v="0"/>
    <n v="42444276"/>
    <m/>
    <m/>
    <m/>
    <m/>
    <n v="0"/>
    <s v="RS***"/>
  </r>
  <r>
    <x v="4"/>
    <s v="N"/>
    <s v="ENERGIA"/>
    <s v="RURAL"/>
    <s v="ENERGIA"/>
    <s v="CHILOE"/>
    <s v="QUELLON"/>
    <n v="26"/>
    <x v="5"/>
    <s v="EJECUCION"/>
    <n v="30483911"/>
    <m/>
    <m/>
    <s v="30483911EJECUCION"/>
    <m/>
    <s v="SUBSIDIO OPERACIÓN SIST. AUTOGENERACION COLDITA QUELLON"/>
    <m/>
    <m/>
    <m/>
    <m/>
    <m/>
    <m/>
    <m/>
    <n v="40768995"/>
    <n v="0"/>
    <m/>
    <n v="40768995"/>
    <n v="40768995"/>
    <n v="0"/>
    <m/>
    <m/>
    <m/>
    <m/>
    <m/>
    <n v="0"/>
    <n v="0"/>
    <n v="0"/>
    <n v="40768995"/>
    <m/>
    <m/>
    <m/>
    <m/>
    <n v="0"/>
    <s v="RS***"/>
  </r>
  <r>
    <x v="1"/>
    <s v="A"/>
    <s v="DEPORTE"/>
    <s v="URBANO"/>
    <s v="SOCIAL"/>
    <s v="CHILOE"/>
    <s v="QUELLON"/>
    <n v="26"/>
    <x v="2"/>
    <s v="EJECUCION"/>
    <n v="30125850"/>
    <m/>
    <e v="#N/A"/>
    <s v="30125850EJECUCION"/>
    <s v="2928-30-B219"/>
    <s v="CONSTRUCCION MULTICANCHA CERRADA FRANCISCO COLOANE COMUNA DE QUELLON"/>
    <m/>
    <m/>
    <m/>
    <m/>
    <m/>
    <m/>
    <m/>
    <n v="302702000"/>
    <n v="0"/>
    <m/>
    <n v="174301700"/>
    <n v="137454633"/>
    <n v="36847067"/>
    <n v="0"/>
    <n v="0"/>
    <n v="0"/>
    <n v="0"/>
    <n v="0"/>
    <n v="34180296"/>
    <n v="26546037"/>
    <n v="26669016"/>
    <n v="50059284"/>
    <n v="0"/>
    <n v="0"/>
    <n v="0"/>
    <m/>
    <n v="128400300"/>
    <s v="RS"/>
  </r>
  <r>
    <x v="2"/>
    <s v="A"/>
    <s v="MULTISECTORIAL"/>
    <s v="URBANO"/>
    <s v="SOCIAL"/>
    <s v="CHILOE"/>
    <s v="QUELLON"/>
    <n v="26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QUELLON"/>
    <n v="26"/>
    <x v="3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50370754"/>
    <n v="49629246"/>
    <n v="0"/>
    <n v="0"/>
    <n v="0"/>
    <n v="0"/>
    <n v="0"/>
    <n v="15485307"/>
    <n v="22304633"/>
    <n v="26684765"/>
    <n v="41194280"/>
    <n v="44701769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4751831470"/>
    <n v="455595696"/>
    <m/>
    <n v="2290199875.3333359"/>
    <n v="1555215748"/>
    <n v="734984127.33333588"/>
    <n v="0"/>
    <n v="0"/>
    <n v="0"/>
    <n v="0"/>
    <n v="0"/>
    <n v="56330783"/>
    <n v="549542009"/>
    <n v="56686371"/>
    <n v="232603680"/>
    <n v="514561129"/>
    <n v="0"/>
    <n v="145491776"/>
    <m/>
    <n v="1877635598.666664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AGUA POTABLE Y ALCANTARILLADO"/>
    <s v="RURAL"/>
    <s v="AGUA POTABLE"/>
    <s v="CHILOE"/>
    <s v="QUELLON"/>
    <n v="26"/>
    <x v="1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1618750"/>
    <n v="0"/>
    <n v="21618750"/>
    <n v="0"/>
    <n v="0"/>
    <n v="0"/>
    <n v="0"/>
    <n v="0"/>
    <n v="0"/>
    <n v="0"/>
    <n v="0"/>
    <n v="0"/>
    <n v="0"/>
    <n v="0"/>
    <n v="0"/>
    <m/>
    <n v="7206250"/>
    <s v="RS"/>
  </r>
  <r>
    <x v="1"/>
    <s v="N"/>
    <s v="AGUA POTABLE Y ALCANTARILLADO"/>
    <s v="URBANO"/>
    <s v="AGUA POTABLE"/>
    <s v="CHILOE"/>
    <s v="QUELLON"/>
    <n v="26"/>
    <x v="2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18559100"/>
    <n v="0"/>
    <n v="18559100"/>
    <n v="0"/>
    <n v="0"/>
    <n v="0"/>
    <n v="0"/>
    <n v="0"/>
    <n v="0"/>
    <n v="0"/>
    <n v="0"/>
    <n v="0"/>
    <n v="0"/>
    <n v="0"/>
    <n v="0"/>
    <m/>
    <n v="489742900"/>
    <s v="RS"/>
  </r>
  <r>
    <x v="1"/>
    <s v="N"/>
    <s v="AGUA POTABLE Y ALCANTARILLADO"/>
    <s v="RURAL"/>
    <s v="AGUA POTABLE"/>
    <s v="CHILOE"/>
    <s v="QUELLON"/>
    <n v="26"/>
    <x v="2"/>
    <s v="DISEÑO"/>
    <n v="40000178"/>
    <m/>
    <m/>
    <s v="40000178DISEÑO"/>
    <m/>
    <s v="CONSTRUCCION SISTEMA APR SECTORES CHAILDAD-CHANCO-YATEHUE, QUELLON"/>
    <m/>
    <m/>
    <m/>
    <m/>
    <m/>
    <m/>
    <m/>
    <n v="46350000"/>
    <n v="0"/>
    <m/>
    <n v="2317500"/>
    <n v="0"/>
    <n v="2317500"/>
    <n v="0"/>
    <n v="0"/>
    <n v="0"/>
    <n v="0"/>
    <n v="0"/>
    <n v="0"/>
    <n v="0"/>
    <n v="0"/>
    <n v="0"/>
    <n v="0"/>
    <n v="0"/>
    <n v="0"/>
    <m/>
    <n v="44032500"/>
    <s v="RS"/>
  </r>
  <r>
    <x v="3"/>
    <s v="N"/>
    <s v="MULTISECTORIAL"/>
    <s v="URBANO"/>
    <s v="SOCIAL"/>
    <s v="CHILOE"/>
    <s v="QUELLON"/>
    <n v="26"/>
    <x v="2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194565000"/>
    <n v="0"/>
    <n v="194565000"/>
    <n v="0"/>
    <n v="0"/>
    <n v="0"/>
    <n v="0"/>
    <n v="0"/>
    <n v="0"/>
    <n v="0"/>
    <n v="0"/>
    <n v="0"/>
    <n v="0"/>
    <n v="0"/>
    <n v="0"/>
    <m/>
    <n v="38913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167172000"/>
    <n v="0"/>
    <m/>
    <n v="237060350"/>
    <n v="0"/>
    <n v="237060350"/>
    <n v="0"/>
    <n v="0"/>
    <n v="0"/>
    <n v="0"/>
    <n v="0"/>
    <n v="0"/>
    <n v="0"/>
    <n v="0"/>
    <n v="0"/>
    <n v="0"/>
    <n v="0"/>
    <n v="0"/>
    <m/>
    <n v="93011165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LLON"/>
    <m/>
    <m/>
    <m/>
    <m/>
    <m/>
    <m/>
    <m/>
    <n v="5919003470"/>
    <n v="455595696"/>
    <m/>
    <n v="2527260225.3333359"/>
    <n v="1555215748"/>
    <n v="972044477.33333588"/>
    <n v="0"/>
    <n v="0"/>
    <n v="0"/>
    <n v="0"/>
    <n v="0"/>
    <n v="56330783"/>
    <n v="549542009"/>
    <n v="56686371"/>
    <n v="232603680"/>
    <n v="514561129"/>
    <n v="0"/>
    <n v="145491776"/>
    <m/>
    <n v="2936147548.666664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QUEMCHI"/>
    <n v="27"/>
    <x v="2"/>
    <s v="EJECUCION"/>
    <n v="30133125"/>
    <m/>
    <e v="#N/A"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EDUCACIÓN Y CULTURA"/>
    <s v="RURAL"/>
    <s v="SOCIAL"/>
    <s v="CHILOE"/>
    <s v="QUEMCHI"/>
    <n v="27"/>
    <x v="2"/>
    <s v="EJECUCION"/>
    <n v="30185572"/>
    <m/>
    <s v="HARRY FRANKLIN  MONSALVE FUENTES"/>
    <s v="30185572EJECUCION"/>
    <m/>
    <s v="REPOSICION ESCUELA BASICA LLIUCO "/>
    <s v="* CERT. CORE 360 24.10.19 AUMENTO PPTO"/>
    <m/>
    <m/>
    <m/>
    <m/>
    <m/>
    <m/>
    <n v="253257867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-11253160"/>
    <s v="RS"/>
  </r>
  <r>
    <x v="1"/>
    <s v="A"/>
    <s v="SALUD"/>
    <s v="RURAL"/>
    <s v="SOCIAL"/>
    <s v="CHILOE"/>
    <s v="QUEMCHI"/>
    <n v="27"/>
    <x v="2"/>
    <s v="EJECUCION"/>
    <n v="30071585"/>
    <s v="SALUD"/>
    <s v="HARRY FRANKLIN  MONSALVE FUENTES"/>
    <s v="30071585EJECUCION"/>
    <m/>
    <s v="REPOSICION POSTA DE SALUD ISLA TAC"/>
    <m/>
    <m/>
    <m/>
    <m/>
    <m/>
    <m/>
    <m/>
    <n v="511435000"/>
    <n v="462800000"/>
    <m/>
    <n v="48635000"/>
    <n v="7200000"/>
    <n v="41435000"/>
    <n v="0"/>
    <n v="0"/>
    <n v="0"/>
    <n v="0"/>
    <n v="0"/>
    <n v="0"/>
    <n v="0"/>
    <n v="0"/>
    <n v="1800000"/>
    <n v="1800000"/>
    <n v="1800000"/>
    <n v="1800000"/>
    <m/>
    <n v="0"/>
    <s v="RS"/>
  </r>
  <r>
    <x v="4"/>
    <s v="N"/>
    <s v="ENERGIA"/>
    <s v="RURAL"/>
    <s v="ENERGIA"/>
    <s v="CHILOE"/>
    <s v="QUEMCHI"/>
    <n v="27"/>
    <x v="5"/>
    <s v="EJECUCION"/>
    <n v="30483006"/>
    <m/>
    <m/>
    <s v="30483006EJECUCION"/>
    <m/>
    <s v="SUBSIDIO OPERACIÓN SIST. AUTOGENERACION ISLA TAC"/>
    <m/>
    <m/>
    <m/>
    <m/>
    <m/>
    <m/>
    <m/>
    <n v="30902754"/>
    <n v="0"/>
    <m/>
    <n v="30902754"/>
    <n v="30902754"/>
    <n v="0"/>
    <m/>
    <m/>
    <m/>
    <m/>
    <m/>
    <n v="0"/>
    <n v="0"/>
    <n v="0"/>
    <n v="30902754"/>
    <m/>
    <m/>
    <m/>
    <m/>
    <n v="0"/>
    <s v="RS***"/>
  </r>
  <r>
    <x v="2"/>
    <s v="A"/>
    <s v="MULTISECTORIAL"/>
    <s v="URBANO"/>
    <s v="SOCIAL"/>
    <s v="CHILOE"/>
    <s v="QUEMCHI"/>
    <n v="27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CHILOE"/>
    <s v="QUEMCHI"/>
    <n v="27"/>
    <x v="3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73907590"/>
    <n v="26092410"/>
    <n v="0"/>
    <n v="0"/>
    <n v="0"/>
    <n v="0"/>
    <n v="0"/>
    <n v="0"/>
    <n v="42994468"/>
    <n v="0"/>
    <n v="37282583"/>
    <n v="0"/>
    <n v="93630539"/>
    <n v="0"/>
    <m/>
    <n v="0"/>
    <s v="RS**"/>
  </r>
  <r>
    <x v="1"/>
    <s v="A"/>
    <s v="TRANSPORTE Y VIVIENDA"/>
    <s v="RURAL"/>
    <s v="CONECTIVIDAD"/>
    <s v="CHILOE"/>
    <s v="QUEMCHI"/>
    <n v="27"/>
    <x v="2"/>
    <s v="LIBRE"/>
    <n v="30430173"/>
    <m/>
    <s v="FRANCISCA MONTECINO  OPAZO"/>
    <s v="30430173LIBRE"/>
    <m/>
    <s v="CONSERVACION CAMINOS ISLA BUTACHAUQUES (C33)"/>
    <m/>
    <m/>
    <m/>
    <m/>
    <m/>
    <m/>
    <m/>
    <n v="547411000"/>
    <n v="253005532"/>
    <m/>
    <n v="125777486"/>
    <n v="0"/>
    <n v="125777486"/>
    <n v="0"/>
    <n v="0"/>
    <n v="0"/>
    <n v="0"/>
    <n v="0"/>
    <n v="0"/>
    <n v="0"/>
    <n v="0"/>
    <n v="0"/>
    <n v="0"/>
    <n v="0"/>
    <n v="0"/>
    <m/>
    <n v="168627982"/>
    <s v="RS*"/>
  </r>
  <r>
    <x v="1"/>
    <s v="A"/>
    <s v="TRANSPORTE Y VIVIENDA"/>
    <s v="RURAL"/>
    <s v="CONECTIVIDAD"/>
    <s v="CHILOE"/>
    <s v="QUEMCHI"/>
    <n v="27"/>
    <x v="1"/>
    <s v="EJECUCION"/>
    <n v="30396026"/>
    <m/>
    <s v="FRANCISCA MONTECINO  OPAZO"/>
    <s v="30396026EJECUCION"/>
    <m/>
    <s v="CONSERVACION CAMINOS RURALES SECTOR SUR (C33)"/>
    <m/>
    <m/>
    <m/>
    <m/>
    <m/>
    <m/>
    <m/>
    <n v="477979805"/>
    <n v="358482829"/>
    <m/>
    <n v="20000000"/>
    <n v="0"/>
    <n v="20000000"/>
    <n v="0"/>
    <n v="0"/>
    <n v="0"/>
    <n v="0"/>
    <n v="0"/>
    <n v="0"/>
    <n v="0"/>
    <n v="0"/>
    <n v="0"/>
    <n v="0"/>
    <n v="0"/>
    <n v="0"/>
    <m/>
    <n v="99496976"/>
    <s v="RS*"/>
  </r>
  <r>
    <x v="1"/>
    <s v="N"/>
    <s v="ENERGIA"/>
    <s v="RURAL"/>
    <s v="SOCIAL"/>
    <s v="CHILOE"/>
    <s v="QUEMCHI"/>
    <n v="27"/>
    <x v="5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1"/>
    <s v="A"/>
    <s v="TRANSPORTE Y VIVIENDA"/>
    <s v="RURAL"/>
    <s v="CONECTIVIDAD"/>
    <s v="CHILOE"/>
    <s v="QUEMCHI"/>
    <n v="27"/>
    <x v="9"/>
    <s v="EJECUCION"/>
    <n v="40005537"/>
    <m/>
    <s v="HARRY FRANKLIN  MONSALVE FUENTES"/>
    <s v="40005537EJECUCION"/>
    <s v="4195-125-LR19"/>
    <s v="CONSERVACION CAMINOS ISLA MECHUQUE (C33)"/>
    <m/>
    <m/>
    <m/>
    <m/>
    <m/>
    <m/>
    <m/>
    <n v="499000000"/>
    <n v="0"/>
    <m/>
    <n v="412719428"/>
    <n v="392779775"/>
    <n v="19939653"/>
    <n v="0"/>
    <n v="0"/>
    <n v="0"/>
    <n v="0"/>
    <n v="0"/>
    <n v="77078235"/>
    <n v="65891194"/>
    <n v="249810346"/>
    <n v="0"/>
    <n v="0"/>
    <n v="0"/>
    <n v="0"/>
    <m/>
    <n v="86280572"/>
    <s v="RS*"/>
  </r>
  <r>
    <x v="3"/>
    <s v="N"/>
    <s v="TRANSPORTE Y VIVIENDA"/>
    <s v="RURAL"/>
    <s v="CONECTIVIDAD"/>
    <s v="CHILOE"/>
    <s v="QUEMCHI"/>
    <n v="27"/>
    <x v="1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3"/>
    <s v="N"/>
    <s v="MULTISECTORIAL"/>
    <s v="RURAL"/>
    <s v="SOCIAL"/>
    <s v="CHILOE"/>
    <s v="QUEMCHI"/>
    <n v="27"/>
    <x v="2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3"/>
    <s v="N"/>
    <s v="MULTISECTORIAL"/>
    <s v="RURAL"/>
    <s v="SOCIAL"/>
    <s v="CHILOE"/>
    <s v="QUEMCHI"/>
    <n v="27"/>
    <x v="2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6704011006"/>
    <n v="5161415680"/>
    <m/>
    <n v="1199442956"/>
    <n v="866198407"/>
    <n v="333244549"/>
    <n v="0"/>
    <n v="0"/>
    <n v="0"/>
    <n v="0"/>
    <n v="0"/>
    <n v="136210395"/>
    <n v="118253646"/>
    <n v="249810346"/>
    <n v="69985337"/>
    <n v="21051318"/>
    <n v="97180539"/>
    <n v="173706826"/>
    <m/>
    <n v="34315237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N"/>
    <s v="SALUD"/>
    <s v="RURAL"/>
    <s v="SOCIAL"/>
    <s v="CHILOE"/>
    <s v="QUEMCHI"/>
    <n v="27"/>
    <x v="2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25024700"/>
    <n v="0"/>
    <n v="25024700"/>
    <n v="0"/>
    <n v="0"/>
    <n v="0"/>
    <n v="0"/>
    <n v="0"/>
    <n v="0"/>
    <n v="0"/>
    <n v="0"/>
    <n v="0"/>
    <n v="0"/>
    <n v="0"/>
    <n v="0"/>
    <m/>
    <n v="475469300"/>
    <s v="RS"/>
  </r>
  <r>
    <x v="3"/>
    <s v="N"/>
    <s v="MULTISECTORIAL"/>
    <s v="URBANO"/>
    <s v="SOCIAL"/>
    <s v="CHILOE"/>
    <s v="QUEMCHI"/>
    <n v="27"/>
    <x v="2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16000000"/>
    <n v="0"/>
    <n v="16000000"/>
    <n v="0"/>
    <n v="0"/>
    <n v="0"/>
    <n v="0"/>
    <n v="0"/>
    <n v="0"/>
    <n v="0"/>
    <n v="0"/>
    <n v="0"/>
    <n v="0"/>
    <n v="0"/>
    <n v="0"/>
    <m/>
    <n v="275193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791687000"/>
    <n v="0"/>
    <m/>
    <n v="41024700"/>
    <n v="0"/>
    <n v="41024700"/>
    <n v="0"/>
    <n v="0"/>
    <n v="0"/>
    <n v="0"/>
    <n v="0"/>
    <n v="0"/>
    <n v="0"/>
    <n v="0"/>
    <n v="0"/>
    <n v="0"/>
    <n v="0"/>
    <n v="0"/>
    <m/>
    <n v="7506623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EMCHI"/>
    <m/>
    <m/>
    <m/>
    <m/>
    <m/>
    <m/>
    <m/>
    <n v="7495698006"/>
    <n v="5161415680"/>
    <m/>
    <n v="1240467656"/>
    <n v="866198407"/>
    <n v="374269249"/>
    <n v="0"/>
    <n v="0"/>
    <n v="0"/>
    <n v="0"/>
    <n v="0"/>
    <n v="136210395"/>
    <n v="118253646"/>
    <n v="249810346"/>
    <n v="69985337"/>
    <n v="21051318"/>
    <n v="97180539"/>
    <n v="173706826"/>
    <m/>
    <n v="109381467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A"/>
    <s v="MULTISECTORIAL"/>
    <s v="URBANO"/>
    <s v="SOCIAL"/>
    <s v="CHILOE"/>
    <s v="QUINCHAO"/>
    <n v="28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4"/>
    <s v="N"/>
    <s v="ENERGIA"/>
    <s v="RURAL"/>
    <s v="ENERGIA"/>
    <s v="CHILOE"/>
    <s v="QUINCHAO"/>
    <n v="28"/>
    <x v="5"/>
    <s v="EJECUCION"/>
    <n v="30478657"/>
    <m/>
    <m/>
    <s v="30478657EJECUCION"/>
    <m/>
    <s v="SUBSIDIO OPERACIÓN SIST. AUTOGENERACION ISLA CAGUACH"/>
    <m/>
    <m/>
    <m/>
    <m/>
    <m/>
    <m/>
    <m/>
    <n v="46663393"/>
    <n v="0"/>
    <m/>
    <n v="46663393"/>
    <n v="46663393"/>
    <n v="0"/>
    <m/>
    <m/>
    <m/>
    <m/>
    <m/>
    <n v="0"/>
    <n v="0"/>
    <n v="0"/>
    <n v="46663393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56"/>
    <m/>
    <m/>
    <s v="30478656EJECUCION"/>
    <m/>
    <s v="SUBSIDIO OPERACIÓN SIST. AUTOGENERACION ISLA QUENAC"/>
    <m/>
    <m/>
    <m/>
    <m/>
    <m/>
    <m/>
    <m/>
    <n v="50103316"/>
    <n v="0"/>
    <m/>
    <n v="50103316"/>
    <n v="50103316"/>
    <n v="0"/>
    <m/>
    <m/>
    <m/>
    <m/>
    <m/>
    <n v="0"/>
    <n v="0"/>
    <n v="0"/>
    <n v="50103316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53"/>
    <m/>
    <m/>
    <s v="30478653EJECUCION"/>
    <m/>
    <s v="SUBSIDIO OPERACIÓN SIST. AUTOGENERACION ISLA LLINGUA"/>
    <m/>
    <m/>
    <m/>
    <m/>
    <m/>
    <m/>
    <m/>
    <n v="36539607"/>
    <n v="0"/>
    <m/>
    <n v="36539607"/>
    <n v="36539607"/>
    <n v="0"/>
    <m/>
    <m/>
    <m/>
    <m/>
    <m/>
    <n v="0"/>
    <n v="0"/>
    <n v="0"/>
    <n v="36539607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61"/>
    <m/>
    <m/>
    <s v="30478661EJECUCION"/>
    <m/>
    <s v="SUBSIDIO OPERACIÓN SIST. AUTOGENERACION ISLA CHAULLINEC"/>
    <m/>
    <m/>
    <m/>
    <m/>
    <m/>
    <m/>
    <m/>
    <n v="61906970"/>
    <n v="0"/>
    <m/>
    <n v="61906970"/>
    <n v="61906970"/>
    <n v="0"/>
    <m/>
    <m/>
    <m/>
    <m/>
    <m/>
    <n v="0"/>
    <n v="0"/>
    <n v="0"/>
    <n v="61906970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59"/>
    <m/>
    <m/>
    <s v="30478659EJECUCION"/>
    <m/>
    <s v="SUBSIDIO OPERACIÓN SIST. AUTOGENERACION ISLA ALAO "/>
    <m/>
    <m/>
    <m/>
    <m/>
    <m/>
    <m/>
    <m/>
    <n v="24887236"/>
    <n v="0"/>
    <m/>
    <n v="24887236"/>
    <n v="24887236"/>
    <n v="0"/>
    <m/>
    <m/>
    <m/>
    <m/>
    <m/>
    <n v="0"/>
    <n v="0"/>
    <n v="0"/>
    <n v="24887236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60"/>
    <m/>
    <m/>
    <s v="30478660EJECUCION"/>
    <m/>
    <s v="SUBSIDIO OPERACIÓN SIST. AUTOGENERACION ISLA APIAO "/>
    <m/>
    <m/>
    <m/>
    <m/>
    <m/>
    <m/>
    <m/>
    <n v="38986366"/>
    <n v="0"/>
    <m/>
    <n v="38986366"/>
    <n v="38986366"/>
    <n v="0"/>
    <m/>
    <m/>
    <m/>
    <m/>
    <m/>
    <n v="0"/>
    <n v="0"/>
    <n v="0"/>
    <n v="38986366"/>
    <m/>
    <m/>
    <m/>
    <m/>
    <n v="0"/>
    <s v="RS***"/>
  </r>
  <r>
    <x v="4"/>
    <s v="N"/>
    <s v="ENERGIA"/>
    <s v="RURAL"/>
    <s v="ENERGIA"/>
    <s v="CHILOE"/>
    <s v="QUINCHAO"/>
    <n v="28"/>
    <x v="5"/>
    <s v="EJECUCION"/>
    <n v="30478655"/>
    <m/>
    <m/>
    <s v="30478655EJECUCION"/>
    <m/>
    <s v="SUBSIDIO OPERACIÓN SIST. AUTOGENERACION ISLA MEULIN "/>
    <m/>
    <m/>
    <m/>
    <m/>
    <m/>
    <m/>
    <m/>
    <n v="69316181"/>
    <n v="0"/>
    <m/>
    <n v="69316181"/>
    <n v="69316181"/>
    <n v="0"/>
    <m/>
    <m/>
    <m/>
    <m/>
    <m/>
    <n v="0"/>
    <n v="0"/>
    <n v="0"/>
    <n v="69316181"/>
    <m/>
    <m/>
    <m/>
    <m/>
    <n v="0"/>
    <s v="RS***"/>
  </r>
  <r>
    <x v="1"/>
    <s v="N"/>
    <s v="SALUD"/>
    <s v="RURAL"/>
    <s v="SOCIAL"/>
    <s v="CHILOE"/>
    <s v="QUINCHAO"/>
    <n v="28"/>
    <x v="2"/>
    <s v="EJECUCION"/>
    <n v="40013068"/>
    <s v="SALUD"/>
    <s v="HARRY FRANKLIN  MONSALVE FUENTES"/>
    <s v="40013068EJECUCION"/>
    <s v="507428-29-LR20"/>
    <s v="* REPOSICION POSTA DE SALUD RURAL VILLA CHAULINEC"/>
    <s v="* CERT. CORE 423 12.19 - AUMENTA PPTO FNDR 2020 / * CERT. CORE 97 03.2020 - ACTUALIZA PPTO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</r>
  <r>
    <x v="2"/>
    <s v="A"/>
    <s v="MULTISECTORIAL"/>
    <s v="URBANO"/>
    <s v="SOCIAL"/>
    <s v="CHILOE"/>
    <s v="QUINCHAO"/>
    <n v="28"/>
    <x v="3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3052903"/>
    <n v="186947097"/>
    <n v="0"/>
    <n v="0"/>
    <n v="0"/>
    <n v="0"/>
    <n v="0"/>
    <n v="0"/>
    <n v="0"/>
    <n v="0"/>
    <n v="13052903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245745069"/>
    <n v="0"/>
    <m/>
    <n v="749403069"/>
    <n v="342185972"/>
    <n v="407217097"/>
    <n v="0"/>
    <n v="0"/>
    <n v="0"/>
    <n v="0"/>
    <n v="0"/>
    <n v="730000"/>
    <n v="0"/>
    <n v="0"/>
    <n v="341455972"/>
    <n v="0"/>
    <n v="0"/>
    <n v="0"/>
    <m/>
    <n v="49634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URBANO"/>
    <s v="SOCIAL"/>
    <s v="CHILOE"/>
    <s v="QUINCHAO"/>
    <n v="28"/>
    <x v="2"/>
    <s v="EJECUCION"/>
    <n v="40008054"/>
    <m/>
    <e v="#N/A"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367393000"/>
    <n v="0"/>
    <n v="367393000"/>
    <n v="0"/>
    <n v="0"/>
    <n v="0"/>
    <n v="0"/>
    <n v="0"/>
    <n v="0"/>
    <n v="0"/>
    <n v="0"/>
    <n v="0"/>
    <n v="0"/>
    <n v="0"/>
    <n v="0"/>
    <m/>
    <n v="0"/>
    <s v="RS*"/>
  </r>
  <r>
    <x v="1"/>
    <s v="N"/>
    <s v="TRANSPORTE Y VIVIENDA"/>
    <s v="RURAL"/>
    <s v="SOCIAL"/>
    <s v="CHILOE"/>
    <s v="QUINCHAO"/>
    <n v="29"/>
    <x v="1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57750000"/>
    <n v="0"/>
    <n v="57750000"/>
    <n v="0"/>
    <n v="0"/>
    <n v="0"/>
    <n v="0"/>
    <n v="0"/>
    <n v="0"/>
    <n v="0"/>
    <n v="0"/>
    <n v="0"/>
    <n v="0"/>
    <n v="0"/>
    <n v="0"/>
    <m/>
    <n v="9725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522393000"/>
    <n v="0"/>
    <m/>
    <n v="425143000"/>
    <n v="0"/>
    <n v="425143000"/>
    <n v="0"/>
    <n v="0"/>
    <n v="0"/>
    <n v="0"/>
    <n v="0"/>
    <n v="0"/>
    <n v="0"/>
    <n v="0"/>
    <n v="0"/>
    <n v="0"/>
    <n v="0"/>
    <n v="0"/>
    <m/>
    <n v="9725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QUINCHAO"/>
    <m/>
    <m/>
    <m/>
    <m/>
    <m/>
    <m/>
    <m/>
    <n v="1768138069"/>
    <n v="0"/>
    <m/>
    <n v="1174546069"/>
    <n v="342185972"/>
    <n v="832360097"/>
    <n v="0"/>
    <n v="0"/>
    <n v="0"/>
    <n v="0"/>
    <n v="0"/>
    <n v="730000"/>
    <n v="0"/>
    <n v="0"/>
    <n v="341455972"/>
    <n v="0"/>
    <n v="0"/>
    <n v="0"/>
    <m/>
    <n v="593592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DEPORTE"/>
    <s v="RURAL"/>
    <s v="SOCIAL"/>
    <s v="CHILOE"/>
    <s v="PROV. CHILOE"/>
    <n v="29"/>
    <x v="2"/>
    <s v="EJECUCION"/>
    <n v="30381175"/>
    <s v="G"/>
    <s v="FRANCISCA MONTECINO  OPAZO"/>
    <s v="30381175EJECUCION"/>
    <m/>
    <s v="CONSTRUCCION COMPLEJO DEPORTIVO CANCHA RAYADA"/>
    <m/>
    <m/>
    <m/>
    <m/>
    <m/>
    <m/>
    <m/>
    <n v="1528367000"/>
    <n v="14300000"/>
    <m/>
    <n v="671631232"/>
    <n v="410631349"/>
    <n v="260999883"/>
    <n v="0"/>
    <n v="0"/>
    <n v="0"/>
    <n v="0"/>
    <n v="0"/>
    <n v="45446317"/>
    <n v="45817668"/>
    <n v="24957958"/>
    <n v="27417645"/>
    <n v="45829560"/>
    <n v="72569248"/>
    <n v="148592953"/>
    <m/>
    <n v="842435768"/>
    <s v="RS"/>
  </r>
  <r>
    <x v="1"/>
    <s v="A"/>
    <s v="SALUD"/>
    <s v="RURAL"/>
    <s v="SOCIAL"/>
    <s v="CHILOE"/>
    <s v="PROV. CHILOE"/>
    <n v="29"/>
    <x v="2"/>
    <s v="EJECUCION"/>
    <n v="30083335"/>
    <s v="SALUD"/>
    <e v="#N/A"/>
    <s v="30083335EJECUCION"/>
    <m/>
    <s v="NORMALIZACION HOSPITAL DE QUELLON, PROVINCIA DE CHILOE"/>
    <m/>
    <m/>
    <m/>
    <m/>
    <m/>
    <m/>
    <m/>
    <n v="2016128000"/>
    <n v="82700000"/>
    <m/>
    <n v="261646057"/>
    <n v="0"/>
    <n v="261646057"/>
    <n v="0"/>
    <n v="0"/>
    <n v="0"/>
    <n v="0"/>
    <n v="0"/>
    <n v="0"/>
    <n v="0"/>
    <n v="0"/>
    <n v="0"/>
    <n v="0"/>
    <n v="0"/>
    <n v="0"/>
    <m/>
    <n v="1671781943"/>
    <s v="RS"/>
  </r>
  <r>
    <x v="1"/>
    <s v="A"/>
    <s v="EDUCACIÓN Y CULTURA"/>
    <s v="RURAL"/>
    <s v="SOCIAL"/>
    <s v="CHILOE"/>
    <s v="PROV. CHILOE"/>
    <n v="29"/>
    <x v="1"/>
    <s v="EJECUCION"/>
    <n v="30135059"/>
    <s v="G"/>
    <s v="FRANCISCA MONTECINO  OPAZO"/>
    <s v="30135059EJECUCION"/>
    <m/>
    <s v="CONSTRUCCION SEDE UNIVERSITARIA PARA LA PROVINCIA DE CHILOE"/>
    <m/>
    <m/>
    <m/>
    <m/>
    <m/>
    <m/>
    <m/>
    <n v="6569829292"/>
    <n v="4873756899"/>
    <m/>
    <n v="1126678665"/>
    <n v="1126678665"/>
    <n v="0"/>
    <n v="0"/>
    <n v="0"/>
    <n v="0"/>
    <n v="0"/>
    <n v="0"/>
    <n v="0"/>
    <n v="0"/>
    <n v="2905983"/>
    <n v="2352414"/>
    <n v="2629199"/>
    <n v="643170742"/>
    <n v="475620327"/>
    <m/>
    <n v="569393728"/>
    <s v="RS"/>
  </r>
  <r>
    <x v="1"/>
    <s v="A"/>
    <s v="TRANSPORTE Y VIVIENDA"/>
    <s v="RURAL"/>
    <s v="CONECTIVIDAD"/>
    <s v="CHILOE"/>
    <s v="PROV. CHILOE"/>
    <n v="29"/>
    <x v="1"/>
    <s v="EJECUCION"/>
    <n v="30453827"/>
    <m/>
    <e v="#N/A"/>
    <s v="30453827EJECUCION"/>
    <m/>
    <s v="CONSERVACION CAMINOS VECINALES POR GLOSA , ETAPA I PROVINCIA DE CHILOE (C33)"/>
    <m/>
    <m/>
    <m/>
    <m/>
    <m/>
    <m/>
    <m/>
    <n v="1298249800"/>
    <n v="418964479"/>
    <m/>
    <n v="573414698"/>
    <n v="374267567"/>
    <n v="199147131"/>
    <n v="0"/>
    <n v="0"/>
    <n v="0"/>
    <n v="0"/>
    <n v="0"/>
    <n v="0"/>
    <n v="0"/>
    <n v="0"/>
    <n v="0"/>
    <n v="131459259"/>
    <n v="52058476"/>
    <n v="190749832"/>
    <m/>
    <n v="305870623"/>
    <s v="RS*"/>
  </r>
  <r>
    <x v="3"/>
    <s v="N"/>
    <s v="SALUD"/>
    <s v="URBANO"/>
    <s v="SOCIAL"/>
    <s v="CHILOE"/>
    <s v="PROV. CHILOE"/>
    <n v="29"/>
    <x v="2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m/>
    <m/>
    <m/>
    <m/>
    <m/>
    <n v="165886000"/>
    <n v="0"/>
    <n v="0"/>
    <n v="0"/>
    <m/>
    <m/>
    <m/>
    <m/>
    <n v="0"/>
    <s v="RS*"/>
  </r>
  <r>
    <x v="1"/>
    <s v="N"/>
    <s v="SALUD"/>
    <s v="RURAL"/>
    <s v="SOCIAL"/>
    <s v="CHILOE"/>
    <s v="PROV. CHILOE"/>
    <n v="29"/>
    <x v="2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756918608"/>
    <n v="5568179894"/>
    <m/>
    <n v="2799256652"/>
    <n v="2077463581"/>
    <n v="721793071"/>
    <n v="0"/>
    <n v="0"/>
    <n v="0"/>
    <n v="0"/>
    <n v="0"/>
    <n v="211332317"/>
    <n v="45817668"/>
    <n v="27863941"/>
    <n v="29770059"/>
    <n v="179918018"/>
    <n v="767798466"/>
    <n v="814963112"/>
    <m/>
    <n v="338948206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CHILOE"/>
    <s v="PROV. CHILOE"/>
    <n v="29"/>
    <x v="2"/>
    <s v="EJECUCION"/>
    <n v="30083300"/>
    <s v="SALUD"/>
    <s v="HARRY FRANKLIN  MONSALVE FUENTES"/>
    <s v="30083300EJECUCION"/>
    <s v="1896-3-O120"/>
    <s v="NORMALIZACION HOSPITAL DE ANCUD"/>
    <m/>
    <m/>
    <m/>
    <m/>
    <m/>
    <m/>
    <m/>
    <n v="4454843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3831198301"/>
    <s v="RS"/>
  </r>
  <r>
    <x v="3"/>
    <s v="N"/>
    <s v="SALUD"/>
    <s v="URBANO"/>
    <s v="SOCIAL"/>
    <s v="CHILOE"/>
    <s v="PROV. CHILOE"/>
    <n v="29"/>
    <x v="2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m/>
    <m/>
    <m/>
    <m/>
    <m/>
    <n v="0"/>
    <n v="0"/>
    <n v="0"/>
    <n v="0"/>
    <m/>
    <m/>
    <m/>
    <m/>
    <n v="487104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4941947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431830230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 PROVINCIALES"/>
    <m/>
    <m/>
    <m/>
    <m/>
    <m/>
    <m/>
    <m/>
    <n v="16698865608"/>
    <n v="5568179894"/>
    <m/>
    <n v="3422901351"/>
    <n v="2077463581"/>
    <n v="1345437770"/>
    <n v="0"/>
    <n v="0"/>
    <n v="0"/>
    <n v="0"/>
    <n v="0"/>
    <n v="211332317"/>
    <n v="45817668"/>
    <n v="27863941"/>
    <n v="29770059"/>
    <n v="179918018"/>
    <n v="767798466"/>
    <n v="814963112"/>
    <m/>
    <n v="7707784363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CHILOE"/>
    <m/>
    <m/>
    <m/>
    <m/>
    <m/>
    <m/>
    <m/>
    <n v="64335175440"/>
    <n v="20510004027"/>
    <m/>
    <n v="19920486762.333336"/>
    <n v="9483088978"/>
    <n v="10437397784.333336"/>
    <n v="0"/>
    <n v="0"/>
    <n v="0"/>
    <n v="0"/>
    <n v="0"/>
    <n v="905487531"/>
    <n v="1307571406"/>
    <n v="958223572"/>
    <n v="1096816757"/>
    <n v="1260699813"/>
    <n v="1557393927"/>
    <n v="2396895972"/>
    <m/>
    <n v="23904684650.66666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4"/>
    <s v="N"/>
    <s v="ENERGIA"/>
    <s v="RURAL"/>
    <s v="ENERGIA"/>
    <s v="PALENA"/>
    <s v="CHAITEN"/>
    <n v="30"/>
    <x v="5"/>
    <s v="EJECUCION"/>
    <n v="30322174"/>
    <m/>
    <m/>
    <s v="30322174EJECUCION"/>
    <m/>
    <s v="SUBSIDIO A LA OPERACION SISTEMA ISLAS DESERTORES"/>
    <m/>
    <m/>
    <m/>
    <m/>
    <m/>
    <m/>
    <m/>
    <n v="422170000"/>
    <n v="0"/>
    <m/>
    <n v="422170000"/>
    <n v="90430146"/>
    <n v="331739854"/>
    <n v="0"/>
    <n v="0"/>
    <n v="0"/>
    <n v="0"/>
    <n v="0"/>
    <n v="0"/>
    <n v="33955636"/>
    <n v="32645953"/>
    <n v="0"/>
    <n v="0"/>
    <n v="22052099"/>
    <n v="1776458"/>
    <m/>
    <n v="0"/>
    <s v="RS***"/>
  </r>
  <r>
    <x v="4"/>
    <s v="N"/>
    <s v="ENERGIA"/>
    <s v="RURAL"/>
    <s v="ENERGIA"/>
    <s v="PALENA"/>
    <s v="CHAITEN"/>
    <n v="30"/>
    <x v="5"/>
    <s v="EJECUCION"/>
    <n v="30483010"/>
    <m/>
    <m/>
    <s v="30483010EJECUCION"/>
    <m/>
    <s v="SUBSIDIO OPERACIÓN SIST. AUTOGENERACION AYACARA"/>
    <m/>
    <m/>
    <m/>
    <m/>
    <m/>
    <m/>
    <m/>
    <n v="103882152"/>
    <n v="0"/>
    <m/>
    <n v="103882152"/>
    <n v="103882152"/>
    <n v="0"/>
    <m/>
    <m/>
    <m/>
    <m/>
    <m/>
    <n v="0"/>
    <n v="0"/>
    <n v="0"/>
    <n v="103882152"/>
    <m/>
    <m/>
    <m/>
    <m/>
    <n v="0"/>
    <s v="RS***"/>
  </r>
  <r>
    <x v="1"/>
    <s v="A"/>
    <s v="MULTISECTORIAL"/>
    <s v="URBANO"/>
    <s v="SOCIAL"/>
    <s v="PALENA"/>
    <s v="CHAITEN"/>
    <n v="30"/>
    <x v="2"/>
    <s v="DISEÑO"/>
    <n v="30103541"/>
    <s v="V"/>
    <e v="#N/A"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</r>
  <r>
    <x v="2"/>
    <s v="A"/>
    <s v="MULTISECTORIAL"/>
    <s v="URBANO"/>
    <s v="SOCIAL"/>
    <s v="PALENA"/>
    <s v="CHAITEN"/>
    <n v="30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PALENA"/>
    <s v="CHAITEN"/>
    <n v="30"/>
    <x v="3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57023311"/>
    <n v="42976689"/>
    <n v="0"/>
    <n v="0"/>
    <n v="0"/>
    <n v="0"/>
    <n v="0"/>
    <n v="0"/>
    <n v="0"/>
    <n v="35106063"/>
    <n v="12610419"/>
    <n v="58504051"/>
    <n v="50802778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963859152"/>
    <n v="7407000"/>
    <m/>
    <n v="933632152"/>
    <n v="416235609"/>
    <n v="517396543"/>
    <n v="0"/>
    <n v="0"/>
    <n v="0"/>
    <n v="0"/>
    <n v="0"/>
    <n v="0"/>
    <n v="57555636"/>
    <n v="91352016"/>
    <n v="116492571"/>
    <n v="58504051"/>
    <n v="90554877"/>
    <n v="1776458"/>
    <m/>
    <n v="2282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URBANO"/>
    <s v="SALUD"/>
    <s v="PALENA"/>
    <s v="CHAITEN"/>
    <n v="30"/>
    <x v="7"/>
    <s v="EJECUCION"/>
    <n v="30060589"/>
    <s v="SALUD"/>
    <e v="#N/A"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974545692"/>
    <n v="0"/>
    <n v="974545692"/>
    <n v="0"/>
    <n v="0"/>
    <n v="0"/>
    <n v="0"/>
    <n v="0"/>
    <n v="0"/>
    <n v="0"/>
    <n v="0"/>
    <n v="0"/>
    <n v="0"/>
    <n v="0"/>
    <n v="0"/>
    <m/>
    <n v="13971247308"/>
    <s v="RS"/>
  </r>
  <r>
    <x v="3"/>
    <s v="N"/>
    <s v="MULTISECTORIAL"/>
    <s v="RURAL"/>
    <s v="SOCIAL"/>
    <s v="PALENA"/>
    <s v="CHAITEN"/>
    <n v="30"/>
    <x v="1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35285000"/>
    <n v="0"/>
    <n v="435285000"/>
    <n v="0"/>
    <n v="0"/>
    <n v="0"/>
    <n v="0"/>
    <n v="0"/>
    <n v="0"/>
    <n v="0"/>
    <n v="0"/>
    <n v="0"/>
    <n v="0"/>
    <n v="0"/>
    <n v="0"/>
    <m/>
    <n v="0"/>
    <s v="RS*"/>
  </r>
  <r>
    <x v="1"/>
    <s v="A"/>
    <s v="TRANSPORTE Y VIVIENDA"/>
    <s v="URBANO"/>
    <s v="CONECTIVIDAD"/>
    <s v="PALENA"/>
    <s v="CHAITEN"/>
    <n v="30"/>
    <x v="2"/>
    <s v="PREFACTIBILIDAD"/>
    <n v="30186523"/>
    <s v="V"/>
    <e v="#N/A"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165137773"/>
    <n v="0"/>
    <n v="165137773"/>
    <n v="0"/>
    <n v="0"/>
    <n v="0"/>
    <n v="0"/>
    <n v="0"/>
    <n v="0"/>
    <n v="0"/>
    <n v="0"/>
    <n v="0"/>
    <n v="0"/>
    <n v="0"/>
    <n v="0"/>
    <m/>
    <n v="326264227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5872480000"/>
    <n v="0"/>
    <m/>
    <n v="1574968465"/>
    <n v="0"/>
    <n v="1574968465"/>
    <n v="0"/>
    <n v="0"/>
    <n v="0"/>
    <n v="0"/>
    <n v="0"/>
    <n v="0"/>
    <n v="0"/>
    <n v="0"/>
    <n v="0"/>
    <n v="0"/>
    <n v="0"/>
    <n v="0"/>
    <m/>
    <n v="142975115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CHAITEN"/>
    <m/>
    <m/>
    <m/>
    <m/>
    <m/>
    <m/>
    <m/>
    <n v="16836339152"/>
    <n v="7407000"/>
    <m/>
    <n v="2508600617"/>
    <n v="416235609"/>
    <n v="2092365008"/>
    <n v="0"/>
    <n v="0"/>
    <n v="0"/>
    <n v="0"/>
    <n v="0"/>
    <n v="0"/>
    <n v="57555636"/>
    <n v="91352016"/>
    <n v="116492571"/>
    <n v="58504051"/>
    <n v="90554877"/>
    <n v="1776458"/>
    <m/>
    <n v="143203315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EDUCACIÓN Y CULTURA"/>
    <s v="RURAL"/>
    <s v="SOCIAL"/>
    <s v="PALENA"/>
    <s v="FUTALEUFU"/>
    <n v="31"/>
    <x v="7"/>
    <s v="EJECUCION"/>
    <n v="30072372"/>
    <s v="V"/>
    <s v="Fabricio Carra Paredes"/>
    <s v="30072372EJECUCION"/>
    <m/>
    <s v="AMPLIACION ESCUELA BASICA  FUTALEUFU PARA EDUCACION MEDIA"/>
    <m/>
    <m/>
    <m/>
    <m/>
    <m/>
    <m/>
    <m/>
    <n v="3944224378"/>
    <n v="3810001601"/>
    <m/>
    <n v="95507000"/>
    <n v="0"/>
    <n v="95507000"/>
    <n v="0"/>
    <n v="0"/>
    <n v="0"/>
    <n v="0"/>
    <n v="0"/>
    <n v="0"/>
    <n v="0"/>
    <n v="0"/>
    <n v="0"/>
    <n v="0"/>
    <n v="0"/>
    <n v="0"/>
    <m/>
    <n v="38715777"/>
    <s v="RS"/>
  </r>
  <r>
    <x v="1"/>
    <s v="A"/>
    <s v="TRANSPORTE Y VIVIENDA"/>
    <s v="RURAL"/>
    <s v="CONECTIVIDAD"/>
    <s v="PALENA"/>
    <s v="FUTALEUFU"/>
    <n v="31"/>
    <x v="7"/>
    <s v="EJECUCION"/>
    <n v="30102779"/>
    <s v="V"/>
    <s v="Fabricio Carra Paredes"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164240796"/>
    <n v="16983173"/>
    <n v="147257623"/>
    <n v="0"/>
    <n v="0"/>
    <n v="0"/>
    <n v="0"/>
    <n v="0"/>
    <n v="0"/>
    <n v="0"/>
    <n v="0"/>
    <n v="0"/>
    <n v="0"/>
    <n v="0"/>
    <n v="16983173"/>
    <m/>
    <n v="0"/>
    <s v="RS"/>
  </r>
  <r>
    <x v="1"/>
    <s v="A"/>
    <s v="DEPORTE"/>
    <s v="RURAL"/>
    <s v="SOCIAL"/>
    <s v="PALENA"/>
    <s v="FUTALEUFU"/>
    <n v="31"/>
    <x v="7"/>
    <s v="EJECUCION"/>
    <n v="30086361"/>
    <s v="V"/>
    <s v="Fabricio Carra Paredes"/>
    <s v="30086361EJECUCION"/>
    <m/>
    <s v="REPOSICION GIMNASIO MUNICIPAL DE FUTALEUFU"/>
    <m/>
    <m/>
    <m/>
    <m/>
    <m/>
    <m/>
    <m/>
    <n v="3900581000"/>
    <n v="3137883323"/>
    <m/>
    <n v="454656000"/>
    <n v="299734525"/>
    <n v="154921475"/>
    <n v="0"/>
    <n v="0"/>
    <n v="0"/>
    <n v="0"/>
    <n v="0"/>
    <n v="0"/>
    <n v="0"/>
    <n v="0"/>
    <n v="295509359"/>
    <n v="0"/>
    <n v="2112583"/>
    <n v="2112583"/>
    <m/>
    <n v="308041677"/>
    <s v="RS"/>
  </r>
  <r>
    <x v="1"/>
    <s v="A"/>
    <s v="TRANSPORTE Y VIVIENDA"/>
    <s v="RURAL"/>
    <s v="SOCIAL"/>
    <s v="PALENA"/>
    <s v="FUTALEUFU"/>
    <n v="31"/>
    <x v="2"/>
    <s v="DISEÑO"/>
    <n v="30352430"/>
    <s v="V"/>
    <s v="Fabricio Carra Paredes"/>
    <s v="30352430DISEÑO"/>
    <m/>
    <s v="CONSTRUCCION PARQUE MUNICIPAL DE FUTALEUFU"/>
    <m/>
    <m/>
    <m/>
    <m/>
    <m/>
    <m/>
    <m/>
    <n v="118160000"/>
    <n v="48000000"/>
    <m/>
    <n v="70160000"/>
    <n v="26000000"/>
    <n v="44160000"/>
    <n v="0"/>
    <n v="0"/>
    <n v="0"/>
    <n v="0"/>
    <n v="0"/>
    <n v="0"/>
    <n v="0"/>
    <n v="0"/>
    <n v="26000000"/>
    <n v="0"/>
    <n v="0"/>
    <n v="0"/>
    <m/>
    <n v="0"/>
    <s v="RS"/>
  </r>
  <r>
    <x v="2"/>
    <s v="A"/>
    <s v="MULTISECTORIAL"/>
    <s v="URBANO"/>
    <s v="SOCIAL"/>
    <s v="PALENA"/>
    <s v="FUTALEUFU"/>
    <n v="31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PALENA"/>
    <s v="FUTALEUFU"/>
    <n v="31"/>
    <x v="3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88878654"/>
    <n v="111121346"/>
    <n v="0"/>
    <n v="0"/>
    <n v="0"/>
    <n v="0"/>
    <n v="0"/>
    <n v="0"/>
    <n v="7460516"/>
    <n v="0"/>
    <n v="29074441"/>
    <n v="52343697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8966380378"/>
    <n v="7535059128"/>
    <m/>
    <n v="1084563796"/>
    <n v="431596352"/>
    <n v="652967444"/>
    <n v="0"/>
    <n v="0"/>
    <n v="0"/>
    <n v="0"/>
    <n v="0"/>
    <n v="0"/>
    <n v="7460516"/>
    <n v="0"/>
    <n v="350583800"/>
    <n v="52343697"/>
    <n v="2112583"/>
    <n v="19095756"/>
    <m/>
    <n v="34675745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A"/>
    <s v="MULTISECTORIAL"/>
    <s v="RURAL"/>
    <s v="SOCIAL"/>
    <s v="PALENA"/>
    <s v="FUTALEUFU"/>
    <n v="31"/>
    <x v="2"/>
    <s v="EJECUCION"/>
    <n v="30341678"/>
    <s v="V"/>
    <e v="#N/A"/>
    <s v="30341678EJECUCION"/>
    <m/>
    <s v="ANALISIS ESTUDIO PLAN REGULADOR COMUNAL DE FUTALEUFU (C33)"/>
    <m/>
    <m/>
    <m/>
    <s v="1022 04,05,20"/>
    <n v="120000000"/>
    <m/>
    <m/>
    <n v="126058000"/>
    <n v="0"/>
    <m/>
    <n v="126058000"/>
    <n v="0"/>
    <n v="126058000"/>
    <n v="0"/>
    <n v="0"/>
    <n v="0"/>
    <n v="0"/>
    <n v="0"/>
    <n v="0"/>
    <n v="0"/>
    <n v="0"/>
    <n v="0"/>
    <n v="0"/>
    <n v="0"/>
    <n v="0"/>
    <m/>
    <n v="0"/>
    <s v="RS*"/>
  </r>
  <r>
    <x v="3"/>
    <s v="A"/>
    <s v="DEFENSA Y SEGURIDAD"/>
    <s v="URBANO"/>
    <s v="SOCIAL"/>
    <s v="PALENA"/>
    <s v="FUTALEUFU"/>
    <n v="31"/>
    <x v="1"/>
    <s v="EJECUCION"/>
    <n v="40006627"/>
    <m/>
    <e v="#N/A"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285806507"/>
    <n v="15658020"/>
    <n v="270148487"/>
    <n v="0"/>
    <n v="0"/>
    <n v="0"/>
    <n v="0"/>
    <n v="0"/>
    <n v="0"/>
    <n v="15658020"/>
    <n v="0"/>
    <n v="0"/>
    <n v="0"/>
    <n v="0"/>
    <n v="0"/>
    <m/>
    <n v="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411864507"/>
    <n v="0"/>
    <m/>
    <n v="411864507"/>
    <n v="15658020"/>
    <n v="396206487"/>
    <n v="0"/>
    <n v="0"/>
    <n v="0"/>
    <n v="0"/>
    <n v="0"/>
    <n v="0"/>
    <n v="15658020"/>
    <n v="0"/>
    <n v="0"/>
    <n v="0"/>
    <n v="0"/>
    <n v="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FUTALEUFU"/>
    <m/>
    <m/>
    <m/>
    <m/>
    <m/>
    <m/>
    <m/>
    <n v="9378244885"/>
    <n v="7535059128"/>
    <m/>
    <n v="1496428303"/>
    <n v="447254372"/>
    <n v="1049173931"/>
    <n v="0"/>
    <n v="0"/>
    <n v="0"/>
    <n v="0"/>
    <n v="0"/>
    <n v="0"/>
    <n v="23118536"/>
    <n v="0"/>
    <n v="350583800"/>
    <n v="52343697"/>
    <n v="2112583"/>
    <n v="19095756"/>
    <m/>
    <n v="346757454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SALUD"/>
    <s v="RURAL"/>
    <s v="SOCIAL"/>
    <s v="PALENA"/>
    <s v="HUALAIHUE"/>
    <n v="32"/>
    <x v="7"/>
    <s v="EJECUCION"/>
    <n v="30311722"/>
    <s v="SALUD"/>
    <s v="Fabricio Carra Paredes"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260868687"/>
    <n v="222705009"/>
    <n v="0"/>
    <n v="0"/>
    <n v="0"/>
    <n v="0"/>
    <n v="0"/>
    <n v="110119883"/>
    <n v="0"/>
    <n v="50599291"/>
    <n v="36014549"/>
    <n v="55602939"/>
    <n v="8532025"/>
    <n v="0"/>
    <m/>
    <n v="0"/>
    <s v="RS"/>
  </r>
  <r>
    <x v="1"/>
    <s v="A"/>
    <s v="EDUCACIÓN Y CULTURA"/>
    <s v="RURAL"/>
    <s v="SOCIAL"/>
    <s v="PALENA"/>
    <s v="HUALAIHUE"/>
    <n v="32"/>
    <x v="2"/>
    <s v="EJECUCION"/>
    <n v="30277425"/>
    <s v="V"/>
    <s v="Fabricio Carra Paredes"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</r>
  <r>
    <x v="1"/>
    <s v="A"/>
    <s v="TRANSPORTE Y VIVIENDA"/>
    <s v="RURAL"/>
    <s v="CONECTIVIDAD"/>
    <s v="PALENA"/>
    <s v="HUALAIHUE"/>
    <n v="32"/>
    <x v="1"/>
    <s v="EJECUCION"/>
    <n v="30471092"/>
    <m/>
    <e v="#N/A"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2551048"/>
    <n v="292551048"/>
    <n v="0"/>
    <n v="0"/>
    <n v="0"/>
    <n v="0"/>
    <n v="0"/>
    <n v="0"/>
    <n v="0"/>
    <n v="224567831"/>
    <n v="0"/>
    <n v="0"/>
    <n v="0"/>
    <n v="67983217"/>
    <n v="0"/>
    <m/>
    <n v="12326952"/>
    <s v="RS*"/>
  </r>
  <r>
    <x v="2"/>
    <s v="A"/>
    <s v="MULTISECTORIAL"/>
    <s v="URBANO"/>
    <s v="SOCIAL"/>
    <s v="PALENA"/>
    <s v="HUALAIHUE"/>
    <n v="32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PALENA"/>
    <s v="HUALAIHUE"/>
    <n v="32"/>
    <x v="3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60906939"/>
    <n v="39093061"/>
    <n v="0"/>
    <n v="0"/>
    <n v="0"/>
    <n v="0"/>
    <n v="0"/>
    <n v="4685187"/>
    <n v="33276208"/>
    <n v="0"/>
    <n v="69112102"/>
    <n v="0"/>
    <n v="53833442"/>
    <n v="0"/>
    <m/>
    <n v="0"/>
    <s v="RS**"/>
  </r>
  <r>
    <x v="1"/>
    <s v="A"/>
    <s v="SALUD"/>
    <s v="RURAL"/>
    <s v="SOCIAL"/>
    <s v="PALENA"/>
    <s v="HUALAIHUE"/>
    <n v="32"/>
    <x v="2"/>
    <s v="EJECUCION"/>
    <n v="30455973"/>
    <m/>
    <e v="#N/A"/>
    <s v="30455973EJECUCION"/>
    <m/>
    <s v="CONSTRUCCION 2 CASAS PARA PROFESIONALES CECOSF HUALAIHUE"/>
    <m/>
    <m/>
    <m/>
    <m/>
    <m/>
    <m/>
    <m/>
    <n v="90272885"/>
    <n v="73838905"/>
    <m/>
    <n v="16433980"/>
    <n v="0"/>
    <n v="1643398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563614885"/>
    <n v="444757438"/>
    <m/>
    <n v="1099802147"/>
    <n v="714326674"/>
    <n v="385475473"/>
    <n v="0"/>
    <n v="0"/>
    <n v="0"/>
    <n v="0"/>
    <n v="0"/>
    <n v="114805070"/>
    <n v="257844039"/>
    <n v="50599291"/>
    <n v="105126651"/>
    <n v="55602939"/>
    <n v="130348684"/>
    <n v="0"/>
    <m/>
    <n v="190553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AGUA POTABLE Y ALCANTARILLADO"/>
    <s v="RURAL"/>
    <s v="AGUA POTABLE"/>
    <s v="PALENA"/>
    <s v="HUALAIHUE"/>
    <n v="32"/>
    <x v="2"/>
    <s v="DISEÑO"/>
    <n v="30338024"/>
    <s v="V"/>
    <s v="Fabricio Carra Paredes"/>
    <s v="30338024DISEÑO"/>
    <s v="2904-34-LE19"/>
    <s v="CONSTRUCCION SISTEMA AGUA POTABLE PUNTILLA PICHICOL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</r>
  <r>
    <x v="1"/>
    <s v="A"/>
    <s v="AGUA POTABLE Y ALCANTARILLADO"/>
    <s v="RURAL"/>
    <s v="AGUA POTABLE"/>
    <s v="PALENA"/>
    <s v="HUALAIHUE"/>
    <n v="32"/>
    <x v="2"/>
    <s v="DISEÑO"/>
    <n v="30338523"/>
    <s v="V"/>
    <e v="#N/A"/>
    <s v="30338523DISEÑO"/>
    <s v="2904-35-LE19"/>
    <s v="CONSTRUCCION SISTEMA AGUA POTABLE CHOLG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</r>
  <r>
    <x v="1"/>
    <s v="A"/>
    <s v="AGUA POTABLE Y ALCANTARILLADO"/>
    <s v="RURAL"/>
    <s v="AGUA POTABLE"/>
    <s v="PALENA"/>
    <s v="HUALAIHUE"/>
    <n v="32"/>
    <x v="2"/>
    <s v="EJECUCION"/>
    <n v="30065600"/>
    <s v="V"/>
    <e v="#N/A"/>
    <s v="30065600EJECUCION"/>
    <s v="2904-35-LE19"/>
    <s v="CONSTRUCCION SISTEMA AGUA POTABLE EL MANZANO"/>
    <m/>
    <m/>
    <m/>
    <m/>
    <m/>
    <m/>
    <m/>
    <n v="418598000"/>
    <n v="0"/>
    <m/>
    <n v="184316689"/>
    <n v="0"/>
    <n v="184316689"/>
    <n v="0"/>
    <n v="0"/>
    <n v="0"/>
    <n v="0"/>
    <n v="0"/>
    <n v="0"/>
    <n v="0"/>
    <n v="0"/>
    <n v="0"/>
    <n v="0"/>
    <n v="0"/>
    <n v="0"/>
    <m/>
    <n v="234281311"/>
    <s v="RS"/>
  </r>
  <r>
    <x v="3"/>
    <s v="A"/>
    <s v="DEFENSA Y SEGURIDAD"/>
    <s v="RURAL"/>
    <s v="SOCIAL"/>
    <s v="PALENA"/>
    <s v="HUALAIHUE"/>
    <n v="32"/>
    <x v="2"/>
    <s v="EJECUCION"/>
    <n v="30480167"/>
    <m/>
    <e v="#N/A"/>
    <s v="30480167EJECUCION"/>
    <m/>
    <s v="ADQUISICION LANCHA POLICIAL TENENCIA HORNOPIREN, COMUNA HUALAIHUE(C33)"/>
    <m/>
    <m/>
    <m/>
    <m/>
    <m/>
    <m/>
    <m/>
    <n v="237746000"/>
    <n v="0"/>
    <m/>
    <n v="71860000"/>
    <n v="0"/>
    <n v="71860000"/>
    <n v="0"/>
    <n v="0"/>
    <n v="0"/>
    <n v="0"/>
    <n v="0"/>
    <n v="0"/>
    <n v="0"/>
    <n v="0"/>
    <n v="0"/>
    <n v="0"/>
    <n v="0"/>
    <n v="0"/>
    <m/>
    <n v="165886000"/>
    <s v="RS*"/>
  </r>
  <r>
    <x v="3"/>
    <s v="A"/>
    <s v="TRANSPORTE Y VIVIENDA"/>
    <s v="RURAL"/>
    <s v="CONECTIVIDAD"/>
    <s v="PALENA"/>
    <s v="HUALAIHUE"/>
    <n v="32"/>
    <x v="1"/>
    <s v="EJECUCION"/>
    <n v="30471865"/>
    <m/>
    <e v="#N/A"/>
    <s v="30471865EJECUCION"/>
    <m/>
    <s v="ADQUISICION SISTEMA DE ILUMINACION PAD. RIO NEGRO HORNOPIREN(C33)"/>
    <m/>
    <m/>
    <m/>
    <m/>
    <m/>
    <m/>
    <m/>
    <n v="101104000"/>
    <n v="0"/>
    <m/>
    <n v="101104000"/>
    <n v="0"/>
    <n v="101104000"/>
    <n v="0"/>
    <n v="0"/>
    <n v="0"/>
    <n v="0"/>
    <n v="0"/>
    <n v="0"/>
    <n v="0"/>
    <n v="0"/>
    <n v="0"/>
    <n v="0"/>
    <n v="0"/>
    <n v="0"/>
    <m/>
    <n v="0"/>
    <s v="RS*"/>
  </r>
  <r>
    <x v="3"/>
    <s v="A"/>
    <s v="TRANSPORTE Y VIVIENDA"/>
    <s v="RURAL"/>
    <s v="CONECTIVIDAD"/>
    <s v="PALENA"/>
    <s v="HUALAIHUE"/>
    <n v="32"/>
    <x v="1"/>
    <s v="EJECUCION"/>
    <n v="30361477"/>
    <m/>
    <e v="#N/A"/>
    <s v="30361477EJECUCION"/>
    <m/>
    <s v="ADQUISICION Y REPOSICION VEHICULOS Y MAQUINARIA CAMINOS VECINALES (C33)"/>
    <m/>
    <m/>
    <m/>
    <m/>
    <m/>
    <m/>
    <m/>
    <n v="397041000"/>
    <n v="0"/>
    <m/>
    <n v="397041000"/>
    <n v="0"/>
    <n v="397041000"/>
    <n v="0"/>
    <n v="0"/>
    <n v="0"/>
    <n v="0"/>
    <n v="0"/>
    <n v="0"/>
    <n v="0"/>
    <n v="0"/>
    <n v="0"/>
    <n v="0"/>
    <n v="0"/>
    <n v="0"/>
    <m/>
    <n v="0"/>
    <s v="RS*"/>
  </r>
  <r>
    <x v="1"/>
    <s v="N"/>
    <s v="ENERGIA"/>
    <s v="RURAL"/>
    <s v="SOCIAL"/>
    <s v="PALENA"/>
    <s v="HUALAIHUE"/>
    <n v="32"/>
    <x v="5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462000000"/>
    <n v="0"/>
    <n v="46200000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684461000"/>
    <n v="0"/>
    <m/>
    <n v="1274293689"/>
    <n v="0"/>
    <n v="1274293689"/>
    <n v="0"/>
    <n v="0"/>
    <n v="0"/>
    <n v="0"/>
    <n v="0"/>
    <n v="0"/>
    <n v="0"/>
    <n v="0"/>
    <n v="0"/>
    <n v="0"/>
    <n v="0"/>
    <n v="0"/>
    <m/>
    <n v="41016731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HUALAIHUE"/>
    <m/>
    <m/>
    <m/>
    <m/>
    <m/>
    <m/>
    <m/>
    <n v="3248075885"/>
    <n v="444757438"/>
    <m/>
    <n v="2374095836"/>
    <n v="714326674"/>
    <n v="1659769162"/>
    <n v="0"/>
    <n v="0"/>
    <n v="0"/>
    <n v="0"/>
    <n v="0"/>
    <n v="114805070"/>
    <n v="257844039"/>
    <n v="50599291"/>
    <n v="105126651"/>
    <n v="55602939"/>
    <n v="130348684"/>
    <n v="0"/>
    <m/>
    <n v="42922261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MULTISECTORIAL"/>
    <s v="RURAL"/>
    <s v="SOCIAL"/>
    <s v="PALENA"/>
    <s v="PALENA"/>
    <n v="33"/>
    <x v="2"/>
    <s v="DISEÑO"/>
    <n v="30116040"/>
    <s v="V"/>
    <e v="#N/A"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</r>
  <r>
    <x v="2"/>
    <s v="A"/>
    <s v="MULTISECTORIAL"/>
    <s v="URBANO"/>
    <s v="SOCIAL"/>
    <s v="PALENA"/>
    <s v="PALENA"/>
    <n v="33"/>
    <x v="3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A"/>
    <s v="MULTISECTORIAL"/>
    <s v="URBANO"/>
    <s v="SOCIAL"/>
    <s v="PALENA"/>
    <s v="PALENA"/>
    <n v="33"/>
    <x v="3"/>
    <s v="EJECUCION"/>
    <s v="FRIL"/>
    <m/>
    <m/>
    <s v="FRILEJECUCION"/>
    <m/>
    <s v="FONDO REGIONAL DE INICIATIVAS LOCAL - ANEXO PAGINA 12"/>
    <m/>
    <m/>
    <m/>
    <m/>
    <m/>
    <m/>
    <m/>
    <n v="200000000"/>
    <n v="0"/>
    <m/>
    <n v="200000000"/>
    <n v="62992534"/>
    <n v="137007466"/>
    <n v="0"/>
    <n v="0"/>
    <n v="0"/>
    <n v="0"/>
    <n v="0"/>
    <n v="0"/>
    <n v="5357276"/>
    <n v="0"/>
    <n v="3380268"/>
    <n v="54254990"/>
    <n v="0"/>
    <n v="0"/>
    <m/>
    <n v="0"/>
    <s v="RS**"/>
  </r>
  <r>
    <x v="1"/>
    <s v="A"/>
    <s v="DEFENSA Y SEGURIDAD"/>
    <s v="RURAL"/>
    <s v="SOCIAL"/>
    <s v="PALENA"/>
    <s v="PALENA"/>
    <n v="33"/>
    <x v="7"/>
    <s v="EJECUCION"/>
    <n v="30115295"/>
    <s v="V"/>
    <e v="#N/A"/>
    <s v="30115295EJECUCION"/>
    <m/>
    <s v="REPOSICION Y AMPLIACION CUARTEL 1° COMPAÑIA DE BOMBEROS DE PALENA"/>
    <m/>
    <m/>
    <m/>
    <m/>
    <m/>
    <m/>
    <m/>
    <n v="788374000"/>
    <n v="622243006"/>
    <m/>
    <n v="166130994"/>
    <n v="0"/>
    <n v="166130994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132372000"/>
    <n v="657416086"/>
    <m/>
    <n v="474955914"/>
    <n v="62992534"/>
    <n v="411963380"/>
    <n v="0"/>
    <n v="0"/>
    <n v="0"/>
    <n v="0"/>
    <n v="0"/>
    <n v="0"/>
    <n v="5357276"/>
    <n v="0"/>
    <n v="3380268"/>
    <n v="54254990"/>
    <n v="0"/>
    <n v="0"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A"/>
    <s v="TRANSPORTE Y VIVIENDA"/>
    <s v="RURAL"/>
    <s v="SOCIAL"/>
    <s v="PALENA"/>
    <s v="PALENA"/>
    <n v="33"/>
    <x v="2"/>
    <s v="EJECUCION"/>
    <n v="30474713"/>
    <m/>
    <e v="#N/A"/>
    <s v="30474713EJECUCION"/>
    <s v="2929-102-LQ19"/>
    <s v="ACTUALIZACION PLAN REGULADOR COMUNA DE PALENA (C33)"/>
    <m/>
    <m/>
    <m/>
    <m/>
    <m/>
    <m/>
    <m/>
    <n v="130000000"/>
    <n v="0"/>
    <m/>
    <n v="115000000"/>
    <n v="0"/>
    <n v="115000000"/>
    <n v="0"/>
    <n v="0"/>
    <n v="0"/>
    <n v="0"/>
    <n v="0"/>
    <n v="0"/>
    <n v="0"/>
    <n v="0"/>
    <n v="0"/>
    <n v="0"/>
    <n v="0"/>
    <n v="0"/>
    <m/>
    <n v="15000000"/>
    <s v="RS*"/>
  </r>
  <r>
    <x v="1"/>
    <s v="A"/>
    <s v="TRANSPORTE Y VIVIENDA"/>
    <s v="RURAL"/>
    <s v="CONECTIVIDAD"/>
    <s v="PALENA"/>
    <s v="PALENA"/>
    <n v="33"/>
    <x v="1"/>
    <s v="EJECUCION"/>
    <n v="30487244"/>
    <m/>
    <e v="#N/A"/>
    <s v="30487244EJECUCION"/>
    <s v="2929-119-LP19"/>
    <s v="CONSERVACION VEREDAS CALLES DE PALENA (C33)"/>
    <m/>
    <m/>
    <m/>
    <s v="4097 15,11,19"/>
    <n v="68104000"/>
    <m/>
    <m/>
    <n v="68106000"/>
    <n v="0"/>
    <m/>
    <n v="68106000"/>
    <n v="0"/>
    <n v="68106000"/>
    <n v="0"/>
    <n v="0"/>
    <n v="0"/>
    <n v="0"/>
    <n v="0"/>
    <n v="0"/>
    <n v="0"/>
    <n v="0"/>
    <n v="0"/>
    <n v="0"/>
    <n v="0"/>
    <n v="0"/>
    <m/>
    <n v="0"/>
    <s v="RS*"/>
  </r>
  <r>
    <x v="1"/>
    <s v="A"/>
    <s v="TRANSPORTE Y VIVIENDA"/>
    <s v="RURAL"/>
    <s v="SOCIAL"/>
    <s v="PALENA"/>
    <s v="PALENA"/>
    <n v="33"/>
    <x v="1"/>
    <s v="EJECUCION"/>
    <n v="30135233"/>
    <m/>
    <e v="#N/A"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4814115"/>
    <n v="0"/>
    <n v="494814115"/>
    <n v="0"/>
    <n v="0"/>
    <n v="0"/>
    <n v="0"/>
    <n v="0"/>
    <n v="0"/>
    <n v="0"/>
    <n v="0"/>
    <n v="0"/>
    <n v="0"/>
    <n v="0"/>
    <n v="0"/>
    <m/>
    <n v="1938467885"/>
    <s v="RS"/>
  </r>
  <r>
    <x v="1"/>
    <s v="N"/>
    <s v="TRANSPORTE Y VIVIENDA"/>
    <s v="RURAL"/>
    <s v="SOCIAL"/>
    <s v="PALENA"/>
    <s v="PAL"/>
    <n v="33"/>
    <x v="7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3445388000"/>
    <n v="0"/>
    <m/>
    <n v="677920115"/>
    <n v="0"/>
    <n v="677920115"/>
    <n v="0"/>
    <n v="0"/>
    <n v="0"/>
    <n v="0"/>
    <n v="0"/>
    <n v="0"/>
    <n v="0"/>
    <n v="0"/>
    <n v="0"/>
    <n v="0"/>
    <n v="0"/>
    <n v="0"/>
    <m/>
    <n v="276746788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COMUNA DE  PALENA"/>
    <m/>
    <m/>
    <m/>
    <m/>
    <m/>
    <m/>
    <m/>
    <n v="4577760000"/>
    <n v="657416086"/>
    <m/>
    <n v="1152876029"/>
    <n v="62992534"/>
    <n v="1089883495"/>
    <n v="0"/>
    <n v="0"/>
    <n v="0"/>
    <n v="0"/>
    <n v="0"/>
    <n v="0"/>
    <n v="5357276"/>
    <n v="0"/>
    <n v="3380268"/>
    <n v="54254990"/>
    <n v="0"/>
    <n v="0"/>
    <m/>
    <n v="276746788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1"/>
    <s v="A"/>
    <s v="TRANSPORTE Y VIVIENDA"/>
    <s v="RURAL"/>
    <s v="CONECTIVIDAD"/>
    <s v="PALENA"/>
    <s v="PROV. PALENA"/>
    <n v="34"/>
    <x v="7"/>
    <s v="EJECUCION"/>
    <n v="30342673"/>
    <s v="V"/>
    <s v="Fabricio Carra Paredes"/>
    <s v="30342673EJECUCION"/>
    <m/>
    <s v="CONSTRUCION CAMINO RUTA  W 807 SECTOR PUENTE NEGRO PTE. AQUELLAS"/>
    <m/>
    <m/>
    <m/>
    <m/>
    <m/>
    <m/>
    <m/>
    <n v="9788091000"/>
    <n v="131704474"/>
    <m/>
    <n v="139652045"/>
    <n v="1580902"/>
    <n v="138071143"/>
    <n v="0"/>
    <n v="0"/>
    <n v="0"/>
    <n v="0"/>
    <n v="0"/>
    <n v="1491328"/>
    <n v="0"/>
    <n v="0"/>
    <n v="0"/>
    <n v="0"/>
    <n v="89574"/>
    <n v="0"/>
    <m/>
    <n v="9516734481"/>
    <s v="RS"/>
  </r>
  <r>
    <x v="1"/>
    <s v="A"/>
    <s v="TRANSPORTE Y VIVIENDA"/>
    <s v="RURAL"/>
    <s v="CONECTIVIDAD"/>
    <s v="PALENA"/>
    <s v="PROV. PALENA"/>
    <n v="34"/>
    <x v="7"/>
    <s v="EJECUCION"/>
    <n v="30342679"/>
    <s v="V"/>
    <s v="Fabricio Carra Paredes"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3996901413"/>
    <n v="82943000"/>
    <n v="0"/>
    <n v="0"/>
    <n v="0"/>
    <n v="0"/>
    <n v="0"/>
    <n v="0"/>
    <n v="996348803"/>
    <n v="305238896"/>
    <n v="659311844"/>
    <n v="1004277006"/>
    <n v="869201596"/>
    <n v="162523268"/>
    <m/>
    <n v="208240728"/>
    <s v="RS*"/>
  </r>
  <r>
    <x v="3"/>
    <s v="N"/>
    <s v="SALUD"/>
    <s v="URBANO"/>
    <s v="SALUD"/>
    <s v="PALENA"/>
    <s v="PROV. PALENA"/>
    <n v="34"/>
    <x v="2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m/>
    <m/>
    <m/>
    <m/>
    <m/>
    <n v="0"/>
    <n v="6378765"/>
    <n v="0"/>
    <n v="0"/>
    <n v="0"/>
    <m/>
    <m/>
    <m/>
    <n v="48318134"/>
    <s v="RS*"/>
  </r>
  <r>
    <x v="1"/>
    <s v="A"/>
    <s v="TRANSPORTE Y VIVIENDA"/>
    <s v="RURAL"/>
    <s v="CONECTIVIDAD"/>
    <s v="PALENA"/>
    <s v="PROV. PALENA"/>
    <n v="34"/>
    <x v="7"/>
    <s v="EJECUCION"/>
    <n v="30371674"/>
    <s v="V"/>
    <s v="Fabricio Carra Paredes"/>
    <s v="30371674EJECUCION"/>
    <m/>
    <s v="REPOSICION TERMINAL PORTUARIO DE CHAITEN"/>
    <m/>
    <m/>
    <m/>
    <m/>
    <m/>
    <m/>
    <m/>
    <n v="2400000000"/>
    <n v="557673192"/>
    <m/>
    <n v="717057000"/>
    <n v="419806542"/>
    <n v="297250458"/>
    <n v="0"/>
    <n v="0"/>
    <n v="0"/>
    <n v="0"/>
    <n v="0"/>
    <n v="0"/>
    <n v="0"/>
    <n v="0"/>
    <n v="0"/>
    <n v="0"/>
    <n v="0"/>
    <n v="419806542"/>
    <m/>
    <n v="1125269808"/>
    <s v="RS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17684436000"/>
    <n v="1842940626"/>
    <m/>
    <n v="4942932223"/>
    <n v="4424667622"/>
    <n v="518264601"/>
    <n v="0"/>
    <n v="0"/>
    <n v="0"/>
    <n v="0"/>
    <n v="0"/>
    <n v="1491328"/>
    <n v="1002727568"/>
    <n v="305238896"/>
    <n v="659311844"/>
    <n v="1004277006"/>
    <n v="869291170"/>
    <n v="582329810"/>
    <m/>
    <n v="1089856315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MULTISECTORIAL"/>
    <s v="RURAL"/>
    <s v="SOCIAL"/>
    <s v="PALENA"/>
    <s v="PROV. PALENA"/>
    <n v="34"/>
    <x v="2"/>
    <s v="EJECUCION"/>
    <n v="30398377"/>
    <m/>
    <e v="#N/A"/>
    <s v="30398377EJECUCION"/>
    <m/>
    <s v="ADQUISICION EQUIPOS GPS BIENES NACIONALES PALENA (C33)"/>
    <m/>
    <m/>
    <m/>
    <m/>
    <m/>
    <m/>
    <m/>
    <n v="33689000"/>
    <n v="0"/>
    <m/>
    <n v="33689000"/>
    <n v="0"/>
    <n v="33689000"/>
    <n v="0"/>
    <n v="0"/>
    <n v="0"/>
    <n v="0"/>
    <n v="0"/>
    <n v="0"/>
    <n v="0"/>
    <n v="0"/>
    <n v="0"/>
    <n v="0"/>
    <n v="0"/>
    <n v="0"/>
    <m/>
    <n v="0"/>
    <s v="RS*"/>
  </r>
  <r>
    <x v="1"/>
    <s v="A"/>
    <s v="TRANSPORTE Y VIVIENDA"/>
    <s v="RURAL"/>
    <s v="CONECTIVIDAD"/>
    <s v="PALENA"/>
    <s v="PROV. PALENA"/>
    <n v="34"/>
    <x v="7"/>
    <s v="EJECUCION"/>
    <n v="30384677"/>
    <s v="V"/>
    <e v="#N/A"/>
    <s v="30384677EJECUCION"/>
    <m/>
    <s v="MEJORAMIENTO RUTA 235-CH SECTOR V. S. LUCIA-P. RAMIREZ, PROV. PALENA"/>
    <m/>
    <m/>
    <m/>
    <m/>
    <m/>
    <m/>
    <m/>
    <n v="25923943000"/>
    <n v="0"/>
    <m/>
    <n v="914406005"/>
    <n v="0"/>
    <n v="914406005"/>
    <n v="0"/>
    <n v="0"/>
    <n v="0"/>
    <n v="0"/>
    <n v="0"/>
    <n v="0"/>
    <n v="0"/>
    <n v="0"/>
    <n v="0"/>
    <n v="0"/>
    <n v="0"/>
    <n v="0"/>
    <m/>
    <n v="25009536995"/>
    <s v="RS"/>
  </r>
  <r>
    <x v="1"/>
    <s v="A"/>
    <s v="TRANSPORTE Y VIVIENDA"/>
    <s v="RURAL"/>
    <s v="CONECTIVIDAD"/>
    <s v="PALENA"/>
    <s v="PROV. PALENA"/>
    <n v="34"/>
    <x v="1"/>
    <s v="EJECUCION"/>
    <n v="30468388"/>
    <m/>
    <s v="Fabricio Carra Paredes"/>
    <s v="30468388EJECUCION"/>
    <m/>
    <s v="AMPLIACION AREA DE MOVIMIENTO PEQUEÑO AERODROMO ALTO PALENA"/>
    <m/>
    <m/>
    <m/>
    <m/>
    <m/>
    <m/>
    <m/>
    <n v="425541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5541000"/>
    <s v="RS"/>
  </r>
  <r>
    <x v="1"/>
    <s v="A"/>
    <s v="TRANSPORTE Y VIVIENDA"/>
    <s v="URBANO"/>
    <s v="CONECTIVIDAD"/>
    <s v="PALENA"/>
    <s v="PROV. PALENA"/>
    <n v="34"/>
    <x v="1"/>
    <s v="EJECUCION"/>
    <n v="30458729"/>
    <m/>
    <s v="Fabricio Carra Paredes"/>
    <s v="30458729EJECUCION"/>
    <m/>
    <s v="MEJORAMIENTO AREA DE MOVIMIENTO PEQUEÑO AERODROMO AYACARA"/>
    <m/>
    <m/>
    <m/>
    <m/>
    <m/>
    <m/>
    <m/>
    <n v="742950000"/>
    <n v="0"/>
    <m/>
    <n v="742950000"/>
    <n v="0"/>
    <n v="742950000"/>
    <n v="0"/>
    <n v="0"/>
    <n v="0"/>
    <n v="0"/>
    <n v="0"/>
    <n v="0"/>
    <n v="0"/>
    <n v="0"/>
    <n v="0"/>
    <n v="0"/>
    <n v="0"/>
    <n v="0"/>
    <m/>
    <n v="0"/>
    <s v="RS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7126123000"/>
    <n v="0"/>
    <m/>
    <n v="1941045005"/>
    <n v="0"/>
    <n v="1941045005"/>
    <n v="0"/>
    <n v="0"/>
    <n v="0"/>
    <n v="0"/>
    <n v="0"/>
    <n v="0"/>
    <n v="0"/>
    <n v="0"/>
    <n v="0"/>
    <n v="0"/>
    <n v="0"/>
    <n v="0"/>
    <m/>
    <n v="2518507799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 PROVINCIALES"/>
    <m/>
    <m/>
    <m/>
    <m/>
    <m/>
    <m/>
    <m/>
    <n v="44810559000"/>
    <n v="1842940626"/>
    <m/>
    <n v="6883977228"/>
    <n v="4424667622"/>
    <n v="2459309606"/>
    <n v="0"/>
    <n v="0"/>
    <n v="0"/>
    <n v="0"/>
    <n v="0"/>
    <n v="1491328"/>
    <n v="1002727568"/>
    <n v="305238896"/>
    <n v="659311844"/>
    <n v="1004277006"/>
    <n v="869291170"/>
    <n v="582329810"/>
    <m/>
    <n v="3608364114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OVINCIA DE PALENA"/>
    <m/>
    <m/>
    <m/>
    <m/>
    <m/>
    <m/>
    <m/>
    <n v="78850978922"/>
    <n v="10487580278"/>
    <m/>
    <n v="14415978013"/>
    <n v="6065476811"/>
    <n v="8350501202"/>
    <n v="0"/>
    <n v="0"/>
    <n v="0"/>
    <n v="0"/>
    <n v="0"/>
    <n v="116296398"/>
    <n v="1346603055"/>
    <n v="447190203"/>
    <n v="1234895134"/>
    <n v="1224982683"/>
    <n v="1092307314"/>
    <n v="603202024"/>
    <m/>
    <n v="53947420631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3"/>
    <s v="A"/>
    <s v="DEFENSA Y SEGURIDAD"/>
    <s v="URBANO"/>
    <s v="SOCIAL"/>
    <s v="REGIONAL"/>
    <s v="REGIONAL"/>
    <n v="35"/>
    <x v="2"/>
    <s v="EJECUCION"/>
    <n v="30137152"/>
    <m/>
    <s v="PAULINA HUIDOBRO JARAMI"/>
    <s v="30137152EJECUCION"/>
    <m/>
    <s v="EQUIPAMIENTO DE RESCATE Y REPOSICION VEHICULOS PARA GOPE(C33)"/>
    <m/>
    <m/>
    <m/>
    <m/>
    <m/>
    <m/>
    <m/>
    <n v="247558000"/>
    <n v="223324087"/>
    <m/>
    <n v="24233913"/>
    <n v="0"/>
    <n v="24233913"/>
    <n v="0"/>
    <n v="0"/>
    <n v="0"/>
    <n v="0"/>
    <n v="0"/>
    <n v="0"/>
    <n v="0"/>
    <n v="0"/>
    <n v="0"/>
    <n v="0"/>
    <n v="0"/>
    <n v="0"/>
    <m/>
    <n v="0"/>
    <s v="RS*"/>
  </r>
  <r>
    <x v="3"/>
    <s v="A"/>
    <s v="RECURSOS NATURALES Y MEDIO AMBIENTE"/>
    <s v="URBANO"/>
    <s v="MEDIO AMBIENTE"/>
    <s v="REGIONAL"/>
    <s v="REGIONAL"/>
    <n v="35"/>
    <x v="2"/>
    <s v="EJECUCION"/>
    <n v="40016016"/>
    <m/>
    <e v="#N/A"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</r>
  <r>
    <x v="3"/>
    <s v="A"/>
    <s v="SALUD"/>
    <s v="URBANO"/>
    <s v="SOCIAL"/>
    <s v="REGIONAL"/>
    <s v="REGIONAL"/>
    <n v="35"/>
    <x v="2"/>
    <s v="EJECUCION"/>
    <n v="30488894"/>
    <m/>
    <s v="KARIN DEL CARMEN BARRIENTOS WINTER"/>
    <s v="30488894EJECUCION"/>
    <m/>
    <s v="ADQUISICION EQUIPOS Y EQUIPAMIENTO PARA HABILITACION PABELLON CMA (C33)"/>
    <m/>
    <m/>
    <m/>
    <m/>
    <m/>
    <m/>
    <m/>
    <n v="1055427000"/>
    <n v="353735369"/>
    <m/>
    <n v="544127399"/>
    <n v="14320520"/>
    <n v="529806879"/>
    <n v="0"/>
    <n v="0"/>
    <n v="0"/>
    <n v="0"/>
    <n v="0"/>
    <n v="0"/>
    <n v="0"/>
    <n v="0"/>
    <n v="0"/>
    <n v="11005120"/>
    <n v="3315400"/>
    <n v="0"/>
    <m/>
    <n v="157564232"/>
    <s v="RS*"/>
  </r>
  <r>
    <x v="1"/>
    <s v="A"/>
    <s v="SALUD"/>
    <s v="URBANO"/>
    <s v="SOCIAL"/>
    <s v="REGIONAL"/>
    <s v="REGIONAL"/>
    <n v="35"/>
    <x v="2"/>
    <s v="EJECUCION"/>
    <n v="30364305"/>
    <m/>
    <s v="PAULINA HUIDOBRO JARAMI"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</r>
  <r>
    <x v="1"/>
    <s v="A"/>
    <s v="MULTISECTORIAL"/>
    <s v="URBANO"/>
    <s v="SOCIAL"/>
    <s v="REGIONAL"/>
    <s v="REGIONAL"/>
    <n v="35"/>
    <x v="2"/>
    <s v="EJECUCION"/>
    <n v="30460140"/>
    <m/>
    <s v="PAULINA HUIDOBRO JARAMI"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</r>
  <r>
    <x v="2"/>
    <s v="N"/>
    <s v="TRANSPORTE Y VIVIENDA"/>
    <s v="URBANO"/>
    <s v="CONECTIVIDAD"/>
    <s v="REGIONAL"/>
    <s v="REGIONAL"/>
    <n v="35"/>
    <x v="1"/>
    <s v="EJECUCION"/>
    <n v="30429222"/>
    <m/>
    <m/>
    <s v="30429222EJECUCION"/>
    <m/>
    <s v="TRANSFERENCIA PROGRAMA RENOVACION FLOTA LOCOMOCION COLECTIVA"/>
    <m/>
    <m/>
    <m/>
    <m/>
    <m/>
    <m/>
    <m/>
    <n v="2519167000"/>
    <n v="0"/>
    <m/>
    <n v="2519167000"/>
    <n v="588242000"/>
    <n v="1930925000"/>
    <n v="0"/>
    <n v="0"/>
    <n v="0"/>
    <n v="0"/>
    <n v="0"/>
    <n v="0"/>
    <n v="164200000"/>
    <n v="123800000"/>
    <n v="299500000"/>
    <n v="0"/>
    <n v="742000"/>
    <n v="0"/>
    <m/>
    <n v="0"/>
    <s v="RS"/>
  </r>
  <r>
    <x v="2"/>
    <s v="N"/>
    <s v="MULTISECTORIAL"/>
    <s v="URBANO"/>
    <s v="SOCIAL"/>
    <s v="REGIONAL"/>
    <s v="REGIONAL"/>
    <n v="35"/>
    <x v="3"/>
    <s v="EJECUCION"/>
    <s v="FRIL"/>
    <m/>
    <m/>
    <s v="FRILEJECUCION"/>
    <m/>
    <s v="FONDO REGIONAL DE INICIATIVAS LOCAL"/>
    <m/>
    <m/>
    <m/>
    <m/>
    <m/>
    <m/>
    <m/>
    <n v="1740827000"/>
    <n v="0"/>
    <m/>
    <n v="1731354938"/>
    <n v="0"/>
    <n v="1731354938"/>
    <m/>
    <m/>
    <m/>
    <m/>
    <m/>
    <n v="0"/>
    <m/>
    <n v="0"/>
    <n v="0"/>
    <n v="0"/>
    <n v="0"/>
    <n v="0"/>
    <m/>
    <n v="9472062"/>
    <s v="RS**"/>
  </r>
  <r>
    <x v="4"/>
    <s v="N"/>
    <s v="ENERGIA"/>
    <s v="RURAL"/>
    <s v="SOCIAL"/>
    <s v="REGIONAL"/>
    <s v="REGIONAL"/>
    <n v="35"/>
    <x v="5"/>
    <s v="EJECUCION"/>
    <s v="S/C"/>
    <m/>
    <m/>
    <s v="S/CEJECUCION"/>
    <m/>
    <s v="TRANSFERENCIA SUBSIDIO OPERACION SISTEMA DE AUTOGENERACION DE ENERGIA EN ZONAS AISLADAS"/>
    <m/>
    <m/>
    <m/>
    <m/>
    <m/>
    <m/>
    <m/>
    <n v="2574984000"/>
    <n v="0"/>
    <m/>
    <n v="1929760895"/>
    <n v="0"/>
    <n v="1929760895"/>
    <n v="0"/>
    <n v="0"/>
    <n v="0"/>
    <n v="0"/>
    <n v="0"/>
    <n v="0"/>
    <n v="0"/>
    <n v="0"/>
    <n v="0"/>
    <n v="0"/>
    <n v="0"/>
    <n v="0"/>
    <m/>
    <n v="645223105"/>
    <s v="RS***"/>
  </r>
  <r>
    <x v="4"/>
    <s v="N"/>
    <s v="ENERGIA"/>
    <s v="RURAL"/>
    <s v="SOCIAL"/>
    <s v="REGIONAL"/>
    <s v="REGIONAL"/>
    <n v="35"/>
    <x v="5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665771000"/>
    <n v="0"/>
    <n v="665771000"/>
    <n v="0"/>
    <n v="0"/>
    <n v="0"/>
    <n v="0"/>
    <n v="0"/>
    <n v="0"/>
    <n v="0"/>
    <n v="0"/>
    <n v="0"/>
    <n v="0"/>
    <n v="0"/>
    <n v="0"/>
    <m/>
    <n v="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0"/>
    <n v="0"/>
    <n v="0"/>
    <n v="0"/>
    <n v="0"/>
    <n v="0"/>
    <n v="0"/>
    <n v="0"/>
    <n v="0"/>
    <n v="0"/>
    <n v="0"/>
    <n v="0"/>
    <n v="0"/>
    <n v="0"/>
    <n v="0"/>
    <m/>
    <n v="815487000"/>
    <s v="RS***"/>
  </r>
  <r>
    <x v="4"/>
    <s v="N"/>
    <s v="MULTISECTORIAL"/>
    <s v="RURAL"/>
    <s v="SOCIAL"/>
    <s v="REGIONAL"/>
    <s v="REGIONAL"/>
    <n v="35"/>
    <x v="2"/>
    <s v="EJECUCION"/>
    <s v="S/C"/>
    <m/>
    <m/>
    <s v="S/CEJECUCION"/>
    <m/>
    <s v="APLICACION NUMERAL 2.1 GLOSA COMUN PARA GOBIERNOS REGIONALES"/>
    <m/>
    <m/>
    <m/>
    <m/>
    <m/>
    <m/>
    <m/>
    <n v="3962058000"/>
    <n v="0"/>
    <m/>
    <n v="4676274000"/>
    <n v="1271325"/>
    <n v="4675002675"/>
    <n v="0"/>
    <n v="0"/>
    <n v="0"/>
    <n v="0"/>
    <n v="0"/>
    <n v="0"/>
    <n v="0"/>
    <n v="0"/>
    <n v="0"/>
    <n v="0"/>
    <n v="1271325"/>
    <n v="0"/>
    <m/>
    <n v="-714216000"/>
    <s v="RS*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1468641268"/>
    <n v="5914276781"/>
    <m/>
    <n v="14201571305"/>
    <n v="2683181697"/>
    <n v="11518389608"/>
    <n v="0"/>
    <n v="0"/>
    <n v="0"/>
    <n v="0"/>
    <n v="0"/>
    <n v="126029924"/>
    <n v="288108393"/>
    <n v="563582234"/>
    <n v="501918326"/>
    <n v="309085677"/>
    <n v="436574018"/>
    <n v="457883125"/>
    <m/>
    <n v="135279318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5"/>
    <s v="N"/>
    <s v="MULTISECTORIAL"/>
    <s v="URBANO"/>
    <s v="SOCIAL"/>
    <s v="REGIONAL"/>
    <s v="REGIONAL"/>
    <n v="35"/>
    <x v="9"/>
    <s v="EJECUCION"/>
    <n v="40015918"/>
    <m/>
    <m/>
    <s v="40015918EJECUCION"/>
    <m/>
    <s v="** DIAGNOSTICO PLAN MARCO DE DESARROLLO TERRITORIAL (PMDT) TERRITORIO NORTE Y PIRDT"/>
    <s v="* CERT. CORE 50 07.02.20 - APRUEBA ESTUDIO"/>
    <m/>
    <m/>
    <m/>
    <m/>
    <m/>
    <m/>
    <n v="201000000"/>
    <n v="0"/>
    <m/>
    <n v="120000000"/>
    <n v="0"/>
    <n v="120000000"/>
    <m/>
    <m/>
    <m/>
    <m/>
    <m/>
    <n v="0"/>
    <n v="0"/>
    <n v="0"/>
    <n v="0"/>
    <n v="0"/>
    <n v="0"/>
    <n v="0"/>
    <m/>
    <n v="81000000"/>
    <s v="RS**"/>
  </r>
  <r>
    <x v="3"/>
    <s v="N"/>
    <s v="DEFENSA Y SEGURIDAD"/>
    <s v="URBANO"/>
    <s v="SOCIAL"/>
    <s v="REGIONAL"/>
    <s v="REGIONAL"/>
    <n v="35"/>
    <x v="2"/>
    <s v="EJECUCION"/>
    <s v="S/C"/>
    <m/>
    <m/>
    <s v="S/CEJECUCION"/>
    <m/>
    <s v="ACUERDO REGIONAL DE SEGURIDAD LOS LAGOS ENTRE GORE-CARABINEROS-PDI 2020-2023"/>
    <s v="* CERT. CORE 34 07.02.20 - APRUEBA INICIATIVA CARGO FNDR"/>
    <m/>
    <m/>
    <m/>
    <m/>
    <m/>
    <m/>
    <n v="8225679730"/>
    <n v="0"/>
    <m/>
    <n v="0"/>
    <n v="0"/>
    <n v="0"/>
    <m/>
    <m/>
    <m/>
    <m/>
    <m/>
    <n v="0"/>
    <n v="0"/>
    <n v="0"/>
    <n v="0"/>
    <m/>
    <n v="0"/>
    <n v="0"/>
    <m/>
    <n v="8225679730"/>
    <s v="RS**"/>
  </r>
  <r>
    <x v="1"/>
    <s v="N"/>
    <s v="MULTISECTORIAL"/>
    <s v="URBANO"/>
    <s v="CONECTIVIDAD"/>
    <s v="REGIONAL"/>
    <s v="REGIONAL"/>
    <n v="35"/>
    <x v="2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m/>
    <m/>
    <m/>
    <m/>
    <m/>
    <n v="0"/>
    <n v="0"/>
    <n v="0"/>
    <n v="0"/>
    <n v="0"/>
    <m/>
    <m/>
    <m/>
    <n v="5484512000"/>
    <s v="RE"/>
  </r>
  <r>
    <x v="2"/>
    <s v="A"/>
    <s v="SILVOAGROPECUARIO"/>
    <s v="RURAL"/>
    <s v="SOCIAL"/>
    <s v="REGIONAL"/>
    <s v="REGIONAL"/>
    <n v="35"/>
    <x v="2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700000000"/>
    <n v="0"/>
    <n v="700000000"/>
    <n v="0"/>
    <n v="0"/>
    <n v="0"/>
    <n v="0"/>
    <n v="0"/>
    <n v="0"/>
    <n v="0"/>
    <n v="0"/>
    <n v="0"/>
    <n v="0"/>
    <n v="0"/>
    <n v="0"/>
    <m/>
    <n v="1400000000"/>
    <s v="RS**"/>
  </r>
  <r>
    <x v="3"/>
    <s v="A"/>
    <s v="DEFENSA Y SEGURIDAD"/>
    <s v="URBANO"/>
    <s v="SOCIAL"/>
    <s v="REGIONAL"/>
    <s v="REGIONAL"/>
    <n v="35"/>
    <x v="2"/>
    <s v="EJECUCION"/>
    <n v="40008200"/>
    <m/>
    <e v="#N/A"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4473000"/>
    <n v="0"/>
    <m/>
    <n v="244473000"/>
    <n v="0"/>
    <n v="244473000"/>
    <n v="0"/>
    <n v="0"/>
    <n v="0"/>
    <n v="0"/>
    <n v="0"/>
    <n v="0"/>
    <n v="0"/>
    <n v="0"/>
    <n v="0"/>
    <n v="0"/>
    <n v="0"/>
    <n v="0"/>
    <m/>
    <n v="0"/>
    <s v="RS*"/>
  </r>
  <r>
    <x v="2"/>
    <s v="N"/>
    <s v="DEFENSA Y SEGURIDAD"/>
    <s v="URBANO"/>
    <s v="SOCIAL"/>
    <s v="REGIONAL"/>
    <s v="REGIONAL"/>
    <n v="35"/>
    <x v="2"/>
    <s v="EJECUCION"/>
    <n v="40016388"/>
    <m/>
    <m/>
    <s v="40016388EJECUCION"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m/>
    <m/>
    <m/>
    <m/>
    <m/>
    <n v="0"/>
    <n v="0"/>
    <n v="0"/>
    <n v="0"/>
    <n v="0"/>
    <n v="0"/>
    <n v="0"/>
    <m/>
    <n v="0"/>
    <s v="RS"/>
  </r>
  <r>
    <x v="5"/>
    <s v="A"/>
    <s v="MULTISECTORIAL"/>
    <s v="RURAL"/>
    <s v="SOCIAL"/>
    <s v="REGIONAL"/>
    <s v="REGIONAL"/>
    <n v="35"/>
    <x v="2"/>
    <s v="EJECUCION"/>
    <n v="30430874"/>
    <m/>
    <e v="#N/A"/>
    <s v="30430874EJECUCION"/>
    <m/>
    <s v="ACTUALIZACION MODIFICACION Y REESTRUCTURACION DE LA PROPUESTA PROT (C33)"/>
    <m/>
    <m/>
    <m/>
    <m/>
    <m/>
    <m/>
    <m/>
    <n v="413944000"/>
    <n v="0"/>
    <m/>
    <n v="213944000"/>
    <n v="0"/>
    <n v="213944000"/>
    <n v="0"/>
    <n v="0"/>
    <n v="0"/>
    <n v="0"/>
    <n v="0"/>
    <n v="0"/>
    <n v="0"/>
    <n v="0"/>
    <n v="0"/>
    <n v="0"/>
    <n v="0"/>
    <n v="0"/>
    <m/>
    <n v="200000000"/>
    <s v="RS*"/>
  </r>
  <r>
    <x v="1"/>
    <s v="N"/>
    <s v="TRANSPORTE Y VIVIENDA"/>
    <s v="RURAL"/>
    <s v="CONECTIVIDAD"/>
    <s v="REGIONAL"/>
    <s v="REGIONAL"/>
    <n v="35"/>
    <x v="2"/>
    <s v="EJECUCION"/>
    <n v="40020262"/>
    <s v="AC. COMPL."/>
    <m/>
    <s v="40020262EJECUCION"/>
    <m/>
    <s v="CONSERVACION DIVERSOS CAMINOS NO ENROLADOS DE LA REGION"/>
    <s v="* CERT. CORE 33 07.02.20 - APRUEBA / CERT. CORE 96 03.2020 APRUEBA CARTERA"/>
    <m/>
    <m/>
    <m/>
    <m/>
    <m/>
    <m/>
    <n v="550000000"/>
    <n v="0"/>
    <m/>
    <n v="104000000"/>
    <n v="0"/>
    <n v="104000000"/>
    <m/>
    <m/>
    <m/>
    <m/>
    <m/>
    <m/>
    <n v="0"/>
    <n v="0"/>
    <n v="0"/>
    <n v="0"/>
    <n v="0"/>
    <n v="0"/>
    <m/>
    <n v="446000000"/>
    <s v="RS*"/>
  </r>
  <r>
    <x v="1"/>
    <s v="N"/>
    <s v="TRANSPORTE Y VIVIENDA"/>
    <s v="RURAL"/>
    <s v="CONECTIVIDAD"/>
    <s v="REGIONAL"/>
    <s v="REGIONAL"/>
    <n v="35"/>
    <x v="2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1400000000"/>
    <n v="0"/>
    <n v="1400000000"/>
    <m/>
    <m/>
    <m/>
    <m/>
    <m/>
    <n v="0"/>
    <n v="0"/>
    <n v="0"/>
    <n v="0"/>
    <n v="0"/>
    <n v="0"/>
    <n v="0"/>
    <m/>
    <n v="628090000"/>
    <s v="RS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21547698730"/>
    <n v="0"/>
    <m/>
    <n v="5082417000"/>
    <n v="0"/>
    <n v="5082417000"/>
    <n v="0"/>
    <n v="0"/>
    <n v="0"/>
    <n v="0"/>
    <n v="0"/>
    <n v="0"/>
    <n v="0"/>
    <n v="0"/>
    <n v="0"/>
    <n v="0"/>
    <n v="0"/>
    <n v="0"/>
    <m/>
    <n v="1646528173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REGIONAL"/>
    <m/>
    <m/>
    <m/>
    <m/>
    <m/>
    <m/>
    <m/>
    <n v="43016339998"/>
    <n v="5914276781"/>
    <m/>
    <n v="19283988305"/>
    <n v="2683181697"/>
    <n v="16600806608"/>
    <n v="0"/>
    <n v="0"/>
    <n v="0"/>
    <n v="0"/>
    <n v="0"/>
    <n v="126029924"/>
    <n v="288108393"/>
    <n v="563582234"/>
    <n v="501918326"/>
    <n v="309085677"/>
    <n v="436574018"/>
    <n v="457883125"/>
    <m/>
    <n v="17818074912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A"/>
    <s v="SILVOAGROPECUARIO"/>
    <s v="RURAL"/>
    <s v="FOMENTO PRODUCTIVO"/>
    <s v="FOMENTO"/>
    <s v="FOMENTO"/>
    <n v="36"/>
    <x v="7"/>
    <s v="SEREMI DE AGRICULTURA"/>
    <n v="30341175"/>
    <s v="V"/>
    <s v="Luisa Adela  Macias Bahamonde"/>
    <s v="30341175SEREMI DE AGRICULTURA"/>
    <m/>
    <s v="PROGRAMA MEJORAMIENTO GENETICO OVINO/BOVINO TPV"/>
    <m/>
    <m/>
    <n v="622551000"/>
    <m/>
    <n v="600000000"/>
    <m/>
    <m/>
    <n v="600000000"/>
    <n v="256299083"/>
    <m/>
    <n v="341901000"/>
    <n v="40000000"/>
    <n v="301901000"/>
    <n v="0"/>
    <n v="0"/>
    <n v="0"/>
    <n v="0"/>
    <n v="0"/>
    <n v="0"/>
    <n v="0"/>
    <n v="0"/>
    <n v="0"/>
    <n v="40000000"/>
    <n v="0"/>
    <n v="0"/>
    <m/>
    <n v="1799917"/>
    <s v="RS**"/>
  </r>
  <r>
    <x v="0"/>
    <m/>
    <m/>
    <m/>
    <m/>
    <m/>
    <m/>
    <m/>
    <x v="0"/>
    <m/>
    <m/>
    <m/>
    <s v="Luisa Adela  Macias Bahamonde"/>
    <m/>
    <m/>
    <s v="CONSULTORIA"/>
    <m/>
    <m/>
    <n v="59926000"/>
    <m/>
    <n v="74219000"/>
    <m/>
    <m/>
    <n v="74219000"/>
    <m/>
    <m/>
    <m/>
    <m/>
    <m/>
    <m/>
    <m/>
    <m/>
    <m/>
    <m/>
    <m/>
    <m/>
    <m/>
    <m/>
    <m/>
    <m/>
    <m/>
    <m/>
    <n v="74219000"/>
    <m/>
  </r>
  <r>
    <x v="0"/>
    <m/>
    <m/>
    <m/>
    <m/>
    <m/>
    <m/>
    <m/>
    <x v="0"/>
    <m/>
    <m/>
    <m/>
    <s v="Luisa Adela  Macias Bahamonde"/>
    <m/>
    <m/>
    <s v="CONTRATACION DEL PROGRAMA"/>
    <m/>
    <m/>
    <n v="537030000"/>
    <m/>
    <n v="494461000"/>
    <m/>
    <m/>
    <n v="494461000"/>
    <m/>
    <m/>
    <m/>
    <m/>
    <m/>
    <m/>
    <m/>
    <m/>
    <m/>
    <m/>
    <m/>
    <m/>
    <m/>
    <m/>
    <m/>
    <m/>
    <m/>
    <m/>
    <n v="494461000"/>
    <m/>
  </r>
  <r>
    <x v="0"/>
    <m/>
    <m/>
    <m/>
    <m/>
    <m/>
    <m/>
    <m/>
    <x v="0"/>
    <m/>
    <m/>
    <m/>
    <s v="Luisa Adela  Macias Bahamonde"/>
    <m/>
    <m/>
    <s v="GASTOS ADMINISTRATIVOS"/>
    <m/>
    <m/>
    <n v="25595000"/>
    <m/>
    <n v="31320000"/>
    <m/>
    <m/>
    <n v="31320000"/>
    <m/>
    <m/>
    <m/>
    <m/>
    <m/>
    <m/>
    <m/>
    <m/>
    <m/>
    <m/>
    <m/>
    <m/>
    <m/>
    <m/>
    <m/>
    <m/>
    <m/>
    <m/>
    <n v="3132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INDAP"/>
    <n v="30341275"/>
    <s v="V"/>
    <s v="Luisa Adela  Macias Bahamonde"/>
    <s v="30341275INDAP"/>
    <m/>
    <s v="TRANSFERENCIA PROGRAMA REGULARIZACION DERECHO APROVECHAMIENTOS DE AGUA"/>
    <m/>
    <m/>
    <n v="198944000"/>
    <m/>
    <n v="203000000"/>
    <m/>
    <m/>
    <n v="203000000"/>
    <n v="184613176"/>
    <m/>
    <n v="3238418"/>
    <n v="0"/>
    <n v="3238418"/>
    <n v="0"/>
    <n v="0"/>
    <n v="0"/>
    <n v="0"/>
    <n v="0"/>
    <n v="0"/>
    <n v="0"/>
    <n v="0"/>
    <n v="0"/>
    <n v="0"/>
    <n v="0"/>
    <n v="0"/>
    <m/>
    <n v="15148406"/>
    <s v="RS**"/>
  </r>
  <r>
    <x v="0"/>
    <m/>
    <m/>
    <m/>
    <m/>
    <m/>
    <m/>
    <m/>
    <x v="0"/>
    <m/>
    <m/>
    <m/>
    <s v="Luisa Adela  Macias Bahamonde"/>
    <m/>
    <m/>
    <s v="CONSULTORIA"/>
    <m/>
    <m/>
    <m/>
    <m/>
    <n v="16000000"/>
    <m/>
    <m/>
    <n v="16000000"/>
    <m/>
    <m/>
    <m/>
    <m/>
    <m/>
    <m/>
    <m/>
    <m/>
    <m/>
    <m/>
    <m/>
    <m/>
    <m/>
    <m/>
    <m/>
    <m/>
    <m/>
    <m/>
    <n v="16000000"/>
    <m/>
  </r>
  <r>
    <x v="0"/>
    <m/>
    <m/>
    <m/>
    <m/>
    <m/>
    <m/>
    <m/>
    <x v="0"/>
    <m/>
    <m/>
    <m/>
    <s v="Luisa Adela  Macias Bahamonde"/>
    <m/>
    <m/>
    <s v="CONTRATACION DEL PROGRAMA"/>
    <m/>
    <m/>
    <n v="195389000"/>
    <m/>
    <n v="180000000"/>
    <m/>
    <m/>
    <n v="180000000"/>
    <m/>
    <m/>
    <m/>
    <m/>
    <m/>
    <m/>
    <m/>
    <m/>
    <m/>
    <m/>
    <m/>
    <m/>
    <m/>
    <m/>
    <m/>
    <m/>
    <m/>
    <m/>
    <n v="180000000"/>
    <m/>
  </r>
  <r>
    <x v="0"/>
    <m/>
    <m/>
    <m/>
    <m/>
    <m/>
    <m/>
    <m/>
    <x v="0"/>
    <m/>
    <m/>
    <m/>
    <s v="Luisa Adela  Macias Bahamonde"/>
    <m/>
    <m/>
    <s v="GASTOS ADMINISTRATIVOS"/>
    <m/>
    <m/>
    <n v="3555000"/>
    <m/>
    <n v="7000000"/>
    <m/>
    <m/>
    <n v="7000000"/>
    <m/>
    <m/>
    <m/>
    <m/>
    <m/>
    <m/>
    <m/>
    <m/>
    <m/>
    <m/>
    <m/>
    <m/>
    <m/>
    <m/>
    <m/>
    <m/>
    <m/>
    <m/>
    <n v="70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x v="2"/>
    <s v="A"/>
    <s v="MULTISECTORIAL"/>
    <s v="RURAL"/>
    <s v="FOMENTO PRODUCTIVO"/>
    <s v="FOMENTO"/>
    <s v="FOMENTO"/>
    <n v="36"/>
    <x v="7"/>
    <s v="INDAP"/>
    <n v="30341329"/>
    <s v="V"/>
    <s v="Luisa Adela  Macias Bahamonde"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13414000"/>
    <n v="0"/>
    <n v="13414000"/>
    <n v="0"/>
    <n v="0"/>
    <n v="0"/>
    <n v="0"/>
    <n v="0"/>
    <n v="0"/>
    <n v="0"/>
    <n v="0"/>
    <n v="0"/>
    <n v="0"/>
    <n v="0"/>
    <n v="0"/>
    <m/>
    <n v="27593398"/>
    <s v="RS**"/>
  </r>
  <r>
    <x v="0"/>
    <m/>
    <m/>
    <m/>
    <m/>
    <m/>
    <m/>
    <m/>
    <x v="0"/>
    <m/>
    <m/>
    <m/>
    <s v="Luisa Adela  Macias Bahamonde"/>
    <m/>
    <m/>
    <s v="CONSULTORIA"/>
    <m/>
    <m/>
    <n v="14643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281656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8041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SEREMI DE AGRICULTURA"/>
    <n v="30419826"/>
    <s v="V"/>
    <s v="Luisa Adela  Macias Bahamonde"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91905000"/>
    <n v="80672000"/>
    <n v="11233000"/>
    <n v="0"/>
    <n v="0"/>
    <n v="0"/>
    <n v="0"/>
    <n v="0"/>
    <n v="0"/>
    <n v="0"/>
    <n v="0"/>
    <n v="0"/>
    <n v="80672000"/>
    <n v="0"/>
    <n v="0"/>
    <m/>
    <n v="2399193"/>
    <s v="RS**"/>
  </r>
  <r>
    <x v="0"/>
    <m/>
    <m/>
    <m/>
    <m/>
    <m/>
    <m/>
    <m/>
    <x v="0"/>
    <m/>
    <m/>
    <m/>
    <s v="Luisa Adela  Macias Bahamonde"/>
    <m/>
    <m/>
    <s v="CONTRATACION DEL PROGRAMA"/>
    <m/>
    <m/>
    <n v="387036000"/>
    <m/>
    <n v="300000000"/>
    <m/>
    <m/>
    <n v="300000000"/>
    <m/>
    <m/>
    <m/>
    <n v="0"/>
    <m/>
    <m/>
    <m/>
    <m/>
    <m/>
    <m/>
    <m/>
    <m/>
    <m/>
    <m/>
    <m/>
    <m/>
    <m/>
    <m/>
    <n v="300000000"/>
    <m/>
  </r>
  <r>
    <x v="0"/>
    <m/>
    <m/>
    <m/>
    <m/>
    <m/>
    <m/>
    <m/>
    <x v="0"/>
    <m/>
    <m/>
    <m/>
    <s v="Luisa Adela  Macias Bahamonde"/>
    <m/>
    <m/>
    <s v="GASTOS ADMINISTRATIVOS"/>
    <m/>
    <m/>
    <n v="8704000"/>
    <m/>
    <n v="15000000"/>
    <m/>
    <m/>
    <n v="15000000"/>
    <m/>
    <m/>
    <m/>
    <n v="0"/>
    <m/>
    <m/>
    <m/>
    <m/>
    <m/>
    <m/>
    <m/>
    <m/>
    <m/>
    <m/>
    <m/>
    <m/>
    <m/>
    <m/>
    <n v="150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SAG"/>
    <n v="30341424"/>
    <s v="V"/>
    <s v="Luisa Adela  Macias Bahamonde"/>
    <s v="30341424SAG"/>
    <m/>
    <s v="TRANSFERENCIA MONITOREO SITUACION SANITARIA EN BOVINOS Y OVINOS DEL TPV"/>
    <m/>
    <m/>
    <n v="236501000"/>
    <m/>
    <n v="169500000"/>
    <m/>
    <m/>
    <n v="169500000"/>
    <n v="123996879"/>
    <m/>
    <n v="30000000"/>
    <n v="751000"/>
    <n v="29249000"/>
    <n v="0"/>
    <n v="0"/>
    <n v="0"/>
    <n v="0"/>
    <n v="0"/>
    <n v="751000"/>
    <n v="0"/>
    <n v="0"/>
    <n v="0"/>
    <n v="0"/>
    <n v="0"/>
    <n v="0"/>
    <m/>
    <n v="15503121"/>
    <s v="RS**"/>
  </r>
  <r>
    <x v="0"/>
    <m/>
    <m/>
    <m/>
    <m/>
    <m/>
    <m/>
    <m/>
    <x v="0"/>
    <m/>
    <m/>
    <m/>
    <s v="Luisa Adela  Macias Bahamonde"/>
    <m/>
    <m/>
    <s v="CONTRATACION DEL PROGRAMA"/>
    <m/>
    <m/>
    <n v="232578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3923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SAG"/>
    <n v="30341439"/>
    <s v="V"/>
    <s v="Luisa Adela  Macias Bahamonde"/>
    <s v="30341439SAG"/>
    <m/>
    <s v="TRANSFERENCIA PROGRAMA RECUPERACION SUELO DEGRADADOS EN TPV"/>
    <m/>
    <m/>
    <n v="210000000"/>
    <m/>
    <n v="210000000"/>
    <m/>
    <m/>
    <n v="210000000"/>
    <n v="30699279"/>
    <m/>
    <n v="156560000"/>
    <n v="83620"/>
    <n v="156476380"/>
    <n v="0"/>
    <n v="0"/>
    <n v="0"/>
    <n v="0"/>
    <n v="0"/>
    <n v="83620"/>
    <n v="0"/>
    <n v="0"/>
    <n v="0"/>
    <n v="0"/>
    <n v="0"/>
    <n v="0"/>
    <m/>
    <n v="22740721"/>
    <s v="RS**"/>
  </r>
  <r>
    <x v="0"/>
    <m/>
    <m/>
    <m/>
    <m/>
    <m/>
    <m/>
    <m/>
    <x v="0"/>
    <m/>
    <m/>
    <m/>
    <s v="Luisa Adela  Macias Bahamonde"/>
    <m/>
    <m/>
    <s v="CONTRATACION DEL PROGRAMA"/>
    <m/>
    <m/>
    <n v="195467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14533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SEREMI DE AGRICULTURA"/>
    <n v="30341173"/>
    <s v="V"/>
    <s v="Luisa Adela  Macias Bahamonde"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230000000"/>
    <n v="90000000"/>
    <n v="140000000"/>
    <n v="0"/>
    <n v="0"/>
    <n v="0"/>
    <n v="0"/>
    <n v="0"/>
    <n v="0"/>
    <n v="0"/>
    <n v="0"/>
    <n v="0"/>
    <n v="90000000"/>
    <n v="0"/>
    <n v="0"/>
    <m/>
    <n v="15792740"/>
    <s v="RS**"/>
  </r>
  <r>
    <x v="0"/>
    <m/>
    <m/>
    <m/>
    <m/>
    <m/>
    <m/>
    <m/>
    <x v="0"/>
    <m/>
    <m/>
    <m/>
    <s v="Luisa Adela  Macias Bahamonde"/>
    <m/>
    <m/>
    <s v="CONSULTORIA"/>
    <m/>
    <m/>
    <n v="58534000"/>
    <m/>
    <n v="58534000"/>
    <m/>
    <m/>
    <n v="58534000"/>
    <m/>
    <m/>
    <m/>
    <n v="0"/>
    <m/>
    <m/>
    <m/>
    <m/>
    <m/>
    <m/>
    <m/>
    <m/>
    <m/>
    <m/>
    <m/>
    <m/>
    <m/>
    <m/>
    <n v="58534000"/>
    <m/>
  </r>
  <r>
    <x v="0"/>
    <m/>
    <m/>
    <m/>
    <m/>
    <m/>
    <m/>
    <m/>
    <x v="0"/>
    <m/>
    <m/>
    <m/>
    <s v="Luisa Adela  Macias Bahamonde"/>
    <m/>
    <m/>
    <s v="CONTRATACION DEL PROGRAMA"/>
    <m/>
    <m/>
    <n v="368931000"/>
    <m/>
    <n v="368931000"/>
    <m/>
    <m/>
    <n v="368931000"/>
    <m/>
    <m/>
    <m/>
    <n v="0"/>
    <m/>
    <m/>
    <m/>
    <m/>
    <m/>
    <m/>
    <m/>
    <m/>
    <m/>
    <m/>
    <m/>
    <m/>
    <m/>
    <m/>
    <n v="368931000"/>
    <m/>
  </r>
  <r>
    <x v="0"/>
    <m/>
    <m/>
    <m/>
    <m/>
    <m/>
    <m/>
    <m/>
    <x v="0"/>
    <m/>
    <m/>
    <m/>
    <s v="Luisa Adela  Macias Bahamonde"/>
    <m/>
    <m/>
    <s v="GASTOS ADMINISTRATIVOS"/>
    <m/>
    <m/>
    <n v="22535000"/>
    <m/>
    <n v="22535000"/>
    <m/>
    <m/>
    <n v="22535000"/>
    <m/>
    <m/>
    <m/>
    <n v="0"/>
    <m/>
    <m/>
    <m/>
    <m/>
    <m/>
    <m/>
    <m/>
    <m/>
    <m/>
    <m/>
    <m/>
    <m/>
    <m/>
    <m/>
    <n v="22535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7"/>
    <s v="SEREMI DE AGRICULTURA"/>
    <n v="30329922"/>
    <s v="V"/>
    <s v="Luisa Adela  Macias Bahamonde"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250000000"/>
    <n v="53400000"/>
    <n v="196600000"/>
    <n v="0"/>
    <n v="0"/>
    <n v="0"/>
    <n v="0"/>
    <n v="0"/>
    <n v="0"/>
    <n v="0"/>
    <n v="0"/>
    <n v="0"/>
    <n v="53400000"/>
    <n v="0"/>
    <n v="0"/>
    <m/>
    <n v="36767052"/>
    <s v="RS**"/>
  </r>
  <r>
    <x v="0"/>
    <m/>
    <m/>
    <m/>
    <m/>
    <m/>
    <m/>
    <m/>
    <x v="0"/>
    <m/>
    <m/>
    <m/>
    <s v="Luisa Adela  Macias Bahamonde"/>
    <m/>
    <m/>
    <s v="CONSULTORIA"/>
    <m/>
    <m/>
    <n v="64924000"/>
    <m/>
    <n v="61435000"/>
    <m/>
    <m/>
    <n v="61435000"/>
    <m/>
    <m/>
    <m/>
    <n v="0"/>
    <m/>
    <m/>
    <m/>
    <m/>
    <m/>
    <m/>
    <m/>
    <m/>
    <m/>
    <m/>
    <m/>
    <m/>
    <m/>
    <m/>
    <n v="61435000"/>
    <m/>
  </r>
  <r>
    <x v="0"/>
    <m/>
    <m/>
    <m/>
    <m/>
    <m/>
    <m/>
    <m/>
    <x v="0"/>
    <m/>
    <m/>
    <m/>
    <s v="Luisa Adela  Macias Bahamonde"/>
    <m/>
    <m/>
    <s v="CONTRATACION DEL PROGRAMA"/>
    <m/>
    <m/>
    <n v="464441000"/>
    <m/>
    <n v="447365000"/>
    <m/>
    <m/>
    <n v="447365000"/>
    <m/>
    <m/>
    <m/>
    <n v="0"/>
    <m/>
    <m/>
    <m/>
    <m/>
    <m/>
    <m/>
    <m/>
    <m/>
    <m/>
    <m/>
    <m/>
    <m/>
    <m/>
    <m/>
    <n v="447365000"/>
    <m/>
  </r>
  <r>
    <x v="0"/>
    <m/>
    <m/>
    <m/>
    <m/>
    <m/>
    <m/>
    <m/>
    <x v="0"/>
    <m/>
    <m/>
    <m/>
    <s v="Luisa Adela  Macias Bahamonde"/>
    <m/>
    <m/>
    <s v="GASTOS ADMINISTRATIVOS"/>
    <m/>
    <m/>
    <n v="18443000"/>
    <m/>
    <n v="21200000"/>
    <m/>
    <m/>
    <n v="21200000"/>
    <m/>
    <m/>
    <m/>
    <n v="0"/>
    <m/>
    <m/>
    <m/>
    <m/>
    <m/>
    <m/>
    <m/>
    <m/>
    <m/>
    <m/>
    <m/>
    <m/>
    <m/>
    <m/>
    <n v="212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SOCIAL"/>
    <s v="FOMENTO"/>
    <s v="FOMENTO"/>
    <n v="36"/>
    <x v="2"/>
    <s v="SEREMI DE MEDIO AMBIENTE"/>
    <n v="30136320"/>
    <m/>
    <s v="Luisa Adela  Macias Bahamonde"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200000000"/>
    <n v="0"/>
    <n v="200000000"/>
    <n v="0"/>
    <n v="0"/>
    <n v="0"/>
    <n v="0"/>
    <n v="0"/>
    <n v="0"/>
    <n v="0"/>
    <n v="0"/>
    <n v="0"/>
    <n v="0"/>
    <n v="0"/>
    <n v="0"/>
    <m/>
    <n v="90137224"/>
    <s v="RS**"/>
  </r>
  <r>
    <x v="0"/>
    <m/>
    <m/>
    <m/>
    <m/>
    <m/>
    <m/>
    <m/>
    <x v="0"/>
    <m/>
    <m/>
    <m/>
    <s v="Luisa Adela  Macias Bahamonde"/>
    <m/>
    <m/>
    <s v="CONSULTORIA"/>
    <m/>
    <m/>
    <n v="95310000"/>
    <m/>
    <n v="69600000"/>
    <m/>
    <m/>
    <n v="69600000"/>
    <m/>
    <m/>
    <m/>
    <n v="0"/>
    <m/>
    <m/>
    <m/>
    <m/>
    <m/>
    <m/>
    <m/>
    <m/>
    <m/>
    <m/>
    <m/>
    <m/>
    <m/>
    <m/>
    <n v="69600000"/>
    <m/>
  </r>
  <r>
    <x v="0"/>
    <m/>
    <m/>
    <m/>
    <m/>
    <m/>
    <m/>
    <m/>
    <x v="0"/>
    <m/>
    <m/>
    <m/>
    <s v="Luisa Adela  Macias Bahamonde"/>
    <m/>
    <m/>
    <s v="CONTRATACION DEL PROGRAMA"/>
    <m/>
    <m/>
    <n v="484535000"/>
    <m/>
    <n v="519600000"/>
    <m/>
    <m/>
    <n v="519600000"/>
    <m/>
    <m/>
    <m/>
    <n v="0"/>
    <m/>
    <m/>
    <m/>
    <m/>
    <m/>
    <m/>
    <m/>
    <m/>
    <m/>
    <m/>
    <m/>
    <m/>
    <m/>
    <m/>
    <n v="519600000"/>
    <m/>
  </r>
  <r>
    <x v="0"/>
    <m/>
    <m/>
    <m/>
    <m/>
    <m/>
    <m/>
    <m/>
    <x v="0"/>
    <m/>
    <m/>
    <m/>
    <s v="Luisa Adela  Macias Bahamonde"/>
    <m/>
    <m/>
    <s v="GASTOS ADMINISTRATIVOS"/>
    <m/>
    <m/>
    <n v="20155000"/>
    <m/>
    <n v="10800000"/>
    <m/>
    <m/>
    <n v="10800000"/>
    <m/>
    <m/>
    <m/>
    <n v="0"/>
    <m/>
    <m/>
    <m/>
    <m/>
    <m/>
    <m/>
    <m/>
    <m/>
    <m/>
    <m/>
    <m/>
    <m/>
    <m/>
    <m/>
    <n v="108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FOMENTO PRODUCTIVO"/>
    <s v="FOMENTO"/>
    <s v="FOMENTO"/>
    <n v="36"/>
    <x v="2"/>
    <s v="INDAP"/>
    <n v="30485206"/>
    <m/>
    <s v="Luisa Adela  Macias Bahamonde"/>
    <s v="30485206INDAP"/>
    <m/>
    <s v="DIFUSION PARA EL FORTALECIMIENTO Y DASARROLLO DEL SITIO SIPAN Y SELLO SIPAN"/>
    <m/>
    <m/>
    <n v="202400000"/>
    <m/>
    <m/>
    <m/>
    <m/>
    <n v="202400000"/>
    <n v="7500000"/>
    <m/>
    <n v="100000000"/>
    <n v="0"/>
    <n v="100000000"/>
    <n v="0"/>
    <n v="0"/>
    <n v="0"/>
    <n v="0"/>
    <n v="0"/>
    <n v="0"/>
    <n v="0"/>
    <n v="0"/>
    <n v="0"/>
    <n v="0"/>
    <n v="0"/>
    <n v="0"/>
    <m/>
    <n v="94900000"/>
    <s v="RS**"/>
  </r>
  <r>
    <x v="0"/>
    <m/>
    <m/>
    <m/>
    <m/>
    <m/>
    <m/>
    <m/>
    <x v="0"/>
    <m/>
    <m/>
    <m/>
    <s v="Luisa Adela  Macias Bahamonde"/>
    <m/>
    <m/>
    <s v="CONSULTORIA"/>
    <m/>
    <m/>
    <n v="304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164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8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FOMENTO PRODUCTIVO"/>
    <s v="FOMENTO"/>
    <s v="FOMENTO"/>
    <n v="36"/>
    <x v="2"/>
    <s v="INDAP"/>
    <n v="40014803"/>
    <m/>
    <s v="Luisa Adela  Macias Bahamonde"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500000000"/>
    <n v="0"/>
    <n v="500000000"/>
    <n v="0"/>
    <n v="0"/>
    <n v="0"/>
    <n v="0"/>
    <n v="0"/>
    <n v="0"/>
    <n v="0"/>
    <n v="0"/>
    <n v="0"/>
    <n v="0"/>
    <n v="0"/>
    <n v="0"/>
    <m/>
    <n v="260564200"/>
    <s v="RS**"/>
  </r>
  <r>
    <x v="0"/>
    <m/>
    <m/>
    <m/>
    <m/>
    <m/>
    <m/>
    <m/>
    <x v="0"/>
    <m/>
    <m/>
    <m/>
    <s v="Luisa Adela  Macias Bahamonde"/>
    <m/>
    <m/>
    <s v="CONSULTORIA"/>
    <m/>
    <m/>
    <n v="954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651065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18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INDAP"/>
    <n v="30137060"/>
    <m/>
    <s v="RENE CARCAMO ANDRADE"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45892901"/>
    <n v="0"/>
    <n v="45892901"/>
    <n v="0"/>
    <n v="0"/>
    <n v="0"/>
    <n v="0"/>
    <n v="0"/>
    <n v="0"/>
    <n v="0"/>
    <n v="0"/>
    <n v="0"/>
    <n v="0"/>
    <n v="0"/>
    <n v="0"/>
    <m/>
    <n v="250417"/>
    <s v="RS**"/>
  </r>
  <r>
    <x v="0"/>
    <m/>
    <m/>
    <m/>
    <m/>
    <m/>
    <m/>
    <m/>
    <x v="0"/>
    <m/>
    <m/>
    <m/>
    <s v="RENE CARCAMO ANDRADE"/>
    <m/>
    <m/>
    <s v="CONSULTORIA"/>
    <m/>
    <m/>
    <n v="96571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RENE CARCAMO ANDRADE"/>
    <m/>
    <m/>
    <s v="CONTRATACION DEL PROGRAMA"/>
    <m/>
    <m/>
    <n v="1511015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RENE CARCAMO ANDRADE"/>
    <m/>
    <m/>
    <s v="GASTOS ADMINISTRATIVOS"/>
    <m/>
    <m/>
    <n v="11645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INDAP"/>
    <n v="30433775"/>
    <m/>
    <s v="Luisa Adela  Macias Bahamonde"/>
    <s v="30433775INDAP"/>
    <m/>
    <s v="MEJORAMIENTO DE SUELOS  EN TERRITORIOS INDIGENAS"/>
    <m/>
    <m/>
    <n v="491966000"/>
    <m/>
    <m/>
    <m/>
    <m/>
    <n v="499999334"/>
    <n v="495707192"/>
    <m/>
    <n v="1190000"/>
    <n v="0"/>
    <n v="1190000"/>
    <n v="0"/>
    <n v="0"/>
    <n v="0"/>
    <n v="0"/>
    <n v="0"/>
    <n v="0"/>
    <n v="0"/>
    <n v="0"/>
    <n v="0"/>
    <n v="0"/>
    <n v="0"/>
    <n v="0"/>
    <m/>
    <n v="3102142"/>
    <s v="RS**"/>
  </r>
  <r>
    <x v="0"/>
    <m/>
    <m/>
    <m/>
    <m/>
    <m/>
    <m/>
    <m/>
    <x v="0"/>
    <m/>
    <m/>
    <m/>
    <s v="Luisa Adela  Macias Bahamonde"/>
    <m/>
    <m/>
    <s v="CONSULTORIA"/>
    <m/>
    <m/>
    <n v="73287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409373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9306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INDUSTRIA, COMERCIO, FINANZAS Y TURISMO"/>
    <s v="RURAL"/>
    <s v="FOMENTO PRODUCTIVO"/>
    <s v="FOMENTO"/>
    <s v="FOMENTO"/>
    <n v="36"/>
    <x v="2"/>
    <s v="INDAP"/>
    <n v="30378428"/>
    <m/>
    <s v="RENE CARCAMO ANDRADE"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102527826"/>
    <n v="0"/>
    <n v="102527826"/>
    <n v="0"/>
    <n v="0"/>
    <n v="0"/>
    <n v="0"/>
    <n v="0"/>
    <n v="0"/>
    <n v="0"/>
    <n v="0"/>
    <n v="0"/>
    <n v="0"/>
    <n v="0"/>
    <n v="0"/>
    <m/>
    <n v="8474671"/>
    <s v="RS**"/>
  </r>
  <r>
    <x v="0"/>
    <m/>
    <m/>
    <m/>
    <m/>
    <m/>
    <m/>
    <m/>
    <x v="0"/>
    <m/>
    <m/>
    <m/>
    <s v="RENE CARCAMO ANDRADE"/>
    <m/>
    <m/>
    <s v="CONTRATACION DEL PROGRAMA"/>
    <m/>
    <m/>
    <n v="197559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RENE CARCAMO ANDRADE"/>
    <m/>
    <m/>
    <s v="GASTOS ADMINISTRATIVOS"/>
    <m/>
    <m/>
    <n v="7639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SAG"/>
    <n v="30482019"/>
    <m/>
    <s v="Luisa Adela  Macias Bahamonde"/>
    <s v="30482019SAG"/>
    <m/>
    <s v="ERRADICACION VISON DE LA REGION DE LOS LAGOS"/>
    <m/>
    <m/>
    <n v="413028000"/>
    <m/>
    <m/>
    <m/>
    <m/>
    <n v="400000000"/>
    <n v="145063966"/>
    <m/>
    <n v="196445000"/>
    <n v="6250927"/>
    <n v="190194073"/>
    <n v="0"/>
    <n v="0"/>
    <n v="0"/>
    <n v="0"/>
    <n v="0"/>
    <n v="0"/>
    <n v="0"/>
    <n v="0"/>
    <n v="0"/>
    <n v="6250927"/>
    <n v="0"/>
    <n v="0"/>
    <m/>
    <n v="58491034"/>
    <s v="RS**"/>
  </r>
  <r>
    <x v="0"/>
    <m/>
    <m/>
    <m/>
    <m/>
    <m/>
    <m/>
    <m/>
    <x v="0"/>
    <m/>
    <m/>
    <m/>
    <s v="Luisa Adela  Macias Bahamonde"/>
    <m/>
    <m/>
    <s v="CONTRATACION DEL PROGRAMA"/>
    <m/>
    <m/>
    <n v="407878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515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SERCOTEC"/>
    <n v="30349427"/>
    <m/>
    <e v="#N/A"/>
    <s v="30349427SERCOTEC"/>
    <m/>
    <s v="TRANSFERENCIA MEJORAMIENTO DE LA PRODUCTIVIDAD EN AREAS DE MANEJO II"/>
    <m/>
    <m/>
    <n v="540800000"/>
    <m/>
    <m/>
    <m/>
    <m/>
    <n v="540800000"/>
    <n v="516277132"/>
    <m/>
    <n v="24522868"/>
    <n v="0"/>
    <n v="24522868"/>
    <n v="0"/>
    <n v="0"/>
    <n v="0"/>
    <n v="0"/>
    <n v="0"/>
    <n v="0"/>
    <n v="0"/>
    <n v="0"/>
    <n v="0"/>
    <n v="0"/>
    <n v="0"/>
    <n v="0"/>
    <m/>
    <n v="0"/>
    <s v="RS**"/>
  </r>
  <r>
    <x v="0"/>
    <m/>
    <m/>
    <m/>
    <m/>
    <m/>
    <m/>
    <m/>
    <x v="0"/>
    <m/>
    <m/>
    <m/>
    <m/>
    <m/>
    <m/>
    <s v="CONSULTORIA"/>
    <m/>
    <m/>
    <n v="53733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s v="CONTRATACION DEL PROGRAMA"/>
    <m/>
    <m/>
    <n v="455862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s v="GASTOS ADMINISTRATIVOS"/>
    <m/>
    <m/>
    <n v="31205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INDUSTRIA, COMERCIO, FINANZAS Y TURISMO"/>
    <s v="RURAL"/>
    <s v="FOMENTO PRODUCTIVO"/>
    <s v="FOMENTO"/>
    <s v="FOMENTO"/>
    <n v="36"/>
    <x v="2"/>
    <s v="SERCOTEC"/>
    <n v="30440729"/>
    <m/>
    <s v="Luisa Adela  Macias Bahamonde"/>
    <s v="30440729SERCOTEC"/>
    <m/>
    <s v="PROGRAMA APOYO INTEGRAL A LAS FERIAS LIBRES"/>
    <m/>
    <m/>
    <n v="360491000"/>
    <m/>
    <m/>
    <m/>
    <m/>
    <n v="320000000"/>
    <n v="297995504"/>
    <m/>
    <n v="15900000"/>
    <n v="0"/>
    <n v="15900000"/>
    <n v="0"/>
    <n v="0"/>
    <n v="0"/>
    <n v="0"/>
    <n v="0"/>
    <n v="0"/>
    <n v="0"/>
    <n v="0"/>
    <n v="0"/>
    <n v="0"/>
    <n v="0"/>
    <n v="0"/>
    <m/>
    <n v="6104496"/>
    <s v="RS**"/>
  </r>
  <r>
    <x v="0"/>
    <m/>
    <m/>
    <m/>
    <m/>
    <m/>
    <m/>
    <m/>
    <x v="0"/>
    <m/>
    <m/>
    <m/>
    <s v="Luisa Adela  Macias Bahamonde"/>
    <m/>
    <m/>
    <s v="CONSULTORIA"/>
    <m/>
    <m/>
    <n v="55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351491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35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SERCOTEC"/>
    <n v="30351343"/>
    <m/>
    <s v="Luisa Adela  Macias Bahamonde"/>
    <s v="30351343SERCOTEC"/>
    <m/>
    <s v="CAPACITACION Y VALORIZACION DE PRODUCTOS AGROPECUARIOS"/>
    <m/>
    <m/>
    <n v="450000000"/>
    <m/>
    <m/>
    <m/>
    <m/>
    <n v="450000000"/>
    <n v="188600072"/>
    <m/>
    <n v="256959328"/>
    <n v="51400000"/>
    <n v="205559328"/>
    <n v="0"/>
    <n v="0"/>
    <n v="0"/>
    <n v="0"/>
    <n v="0"/>
    <n v="0"/>
    <n v="0"/>
    <n v="51400000"/>
    <n v="0"/>
    <n v="0"/>
    <n v="0"/>
    <n v="0"/>
    <m/>
    <n v="4440600"/>
    <s v="RS**"/>
  </r>
  <r>
    <x v="0"/>
    <m/>
    <m/>
    <m/>
    <m/>
    <m/>
    <m/>
    <m/>
    <x v="0"/>
    <m/>
    <m/>
    <m/>
    <s v="Luisa Adela  Macias Bahamonde"/>
    <m/>
    <m/>
    <s v="CONSULTORIA"/>
    <m/>
    <m/>
    <n v="552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3721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227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SERNAPESCA"/>
    <n v="30343724"/>
    <m/>
    <s v="Luisa Adela  Macias Bahamonde"/>
    <s v="30343724SERNAPESCA"/>
    <m/>
    <s v="PROGRAMA FOMENTO Y DESARROLLO PESCA ARTESANAL REGION DE LOS LAGOS 2014-2016"/>
    <m/>
    <m/>
    <n v="2160000000"/>
    <m/>
    <m/>
    <m/>
    <m/>
    <n v="2160000000"/>
    <n v="1336907233"/>
    <m/>
    <n v="308417962"/>
    <n v="0"/>
    <n v="308417962"/>
    <n v="0"/>
    <n v="0"/>
    <n v="0"/>
    <n v="0"/>
    <n v="0"/>
    <n v="0"/>
    <n v="0"/>
    <n v="0"/>
    <n v="0"/>
    <n v="0"/>
    <n v="0"/>
    <n v="0"/>
    <m/>
    <n v="514674805"/>
    <s v="RS**"/>
  </r>
  <r>
    <x v="0"/>
    <m/>
    <m/>
    <m/>
    <m/>
    <m/>
    <m/>
    <m/>
    <x v="0"/>
    <m/>
    <m/>
    <m/>
    <s v="Luisa Adela  Macias Bahamonde"/>
    <m/>
    <m/>
    <s v="CONSULTORIA"/>
    <m/>
    <m/>
    <n v="116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20394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46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FOMENTO PRODUCTIVO"/>
    <s v="FOMENTO"/>
    <s v="FOMENTO"/>
    <n v="36"/>
    <x v="2"/>
    <s v="SUBPESCA"/>
    <n v="30398233"/>
    <m/>
    <s v="Luisa Adela  Macias Bahamonde"/>
    <s v="30398233SUBPESCA"/>
    <m/>
    <s v="RECUPERACION DE DIVERSIDAD PROD DE LA PESCA ARTESANAL"/>
    <m/>
    <m/>
    <n v="900000000"/>
    <m/>
    <m/>
    <m/>
    <m/>
    <n v="900002100"/>
    <n v="475373157"/>
    <m/>
    <n v="308000000"/>
    <n v="14027228"/>
    <n v="293972772"/>
    <n v="0"/>
    <n v="0"/>
    <n v="0"/>
    <n v="0"/>
    <n v="0"/>
    <n v="0"/>
    <n v="0"/>
    <n v="1250000"/>
    <n v="12777228"/>
    <n v="0"/>
    <n v="0"/>
    <n v="0"/>
    <m/>
    <n v="116628943"/>
    <s v="RS**"/>
  </r>
  <r>
    <x v="0"/>
    <m/>
    <m/>
    <m/>
    <m/>
    <m/>
    <m/>
    <m/>
    <x v="0"/>
    <m/>
    <m/>
    <m/>
    <s v="Luisa Adela  Macias Bahamonde"/>
    <m/>
    <m/>
    <s v="CONSULTORIA"/>
    <m/>
    <m/>
    <n v="65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820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15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INDUSTRIA, COMERCIO, FINANZAS Y TURISMO"/>
    <s v="RURAL"/>
    <s v="FOMENTO PRODUCTIVO"/>
    <s v="FOMENTO"/>
    <s v="FOMENTO"/>
    <n v="36"/>
    <x v="2"/>
    <s v="SERNATUR"/>
    <n v="30342025"/>
    <m/>
    <s v="Luisa Adela  Macias Bahamonde"/>
    <s v="30342025SERNATUR"/>
    <m/>
    <s v="TRANSFERENCIA GESTION DEL TERRITORIO TURISTICO, REGION DE LOS LAGOS "/>
    <m/>
    <m/>
    <n v="971238000"/>
    <m/>
    <m/>
    <m/>
    <m/>
    <n v="700000000"/>
    <n v="645868063"/>
    <m/>
    <n v="54131937"/>
    <n v="20957859"/>
    <n v="33174078"/>
    <n v="0"/>
    <n v="0"/>
    <n v="0"/>
    <n v="0"/>
    <n v="0"/>
    <n v="0"/>
    <n v="0"/>
    <n v="20957859"/>
    <n v="0"/>
    <n v="0"/>
    <n v="0"/>
    <n v="0"/>
    <m/>
    <n v="0"/>
    <s v="RS**"/>
  </r>
  <r>
    <x v="0"/>
    <m/>
    <m/>
    <m/>
    <m/>
    <m/>
    <m/>
    <m/>
    <x v="0"/>
    <m/>
    <m/>
    <m/>
    <s v="Luisa Adela  Macias Bahamonde"/>
    <m/>
    <m/>
    <s v="CONSULTORIA"/>
    <m/>
    <m/>
    <n v="564259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383044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23935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SILVOAGROPECUARIO"/>
    <s v="RURAL"/>
    <s v="SOCIAL"/>
    <s v="FOMENTO"/>
    <s v="FOMENTO"/>
    <n v="36"/>
    <x v="2"/>
    <s v="COMISION NACIONAL DE RIEGO"/>
    <n v="30434988"/>
    <s v="G"/>
    <s v="Luisa Adela  Macias Bahamonde"/>
    <s v="30434988COMISION NACIONAL DE RIEGO"/>
    <m/>
    <s v="TRANSFERENCIA PROGRAMA INTEGRAL DE RIEGO REGION DE LOS LAGOS"/>
    <m/>
    <m/>
    <n v="2000000000"/>
    <m/>
    <m/>
    <m/>
    <m/>
    <n v="2000000000"/>
    <n v="1104986431"/>
    <m/>
    <n v="858870095"/>
    <n v="57028696"/>
    <n v="801841399"/>
    <n v="0"/>
    <n v="0"/>
    <n v="0"/>
    <n v="0"/>
    <n v="0"/>
    <n v="0"/>
    <n v="0"/>
    <n v="0"/>
    <n v="0"/>
    <n v="57028696"/>
    <n v="0"/>
    <n v="0"/>
    <m/>
    <n v="36143474"/>
    <s v="RS**"/>
  </r>
  <r>
    <x v="0"/>
    <m/>
    <m/>
    <m/>
    <m/>
    <m/>
    <m/>
    <m/>
    <x v="0"/>
    <m/>
    <m/>
    <m/>
    <s v="Luisa Adela  Macias Bahamonde"/>
    <m/>
    <m/>
    <s v="CONSULTORIA"/>
    <m/>
    <m/>
    <n v="899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1899901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10199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INDUSTRIA, COMERCIO, FINANZAS Y TURISMO"/>
    <s v="RURAL"/>
    <s v="FOMENTO PRODUCTIVO"/>
    <s v="FOMENTO"/>
    <s v="FOMENTO"/>
    <n v="36"/>
    <x v="7"/>
    <s v="SERNATUR"/>
    <n v="30337226"/>
    <s v="V"/>
    <s v="Luisa Adela  Macias Bahamonde"/>
    <s v="30337226SERNATUR"/>
    <m/>
    <s v="TRANSFERENCIA DESARROLLO DEL T.I.E. EN TERRITORIO PATAGONIA VERDE "/>
    <m/>
    <m/>
    <n v="1781184000"/>
    <m/>
    <m/>
    <m/>
    <m/>
    <n v="1275000000"/>
    <n v="1170998840"/>
    <m/>
    <n v="66000000"/>
    <n v="0"/>
    <n v="66000000"/>
    <n v="0"/>
    <n v="0"/>
    <n v="0"/>
    <n v="0"/>
    <n v="0"/>
    <n v="0"/>
    <n v="0"/>
    <n v="0"/>
    <n v="0"/>
    <n v="0"/>
    <n v="0"/>
    <n v="0"/>
    <m/>
    <n v="38001160"/>
    <s v="RS**"/>
  </r>
  <r>
    <x v="0"/>
    <m/>
    <m/>
    <m/>
    <m/>
    <m/>
    <m/>
    <m/>
    <x v="0"/>
    <m/>
    <m/>
    <m/>
    <s v="Luisa Adela  Macias Bahamonde"/>
    <m/>
    <m/>
    <s v="CONSULTORIA"/>
    <m/>
    <m/>
    <n v="244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1526386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10798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SOCIAL"/>
    <s v="FOMENTO"/>
    <s v="FOMENTO"/>
    <n v="36"/>
    <x v="10"/>
    <s v="FIC"/>
    <s v="FIC"/>
    <m/>
    <m/>
    <s v="FICFIC"/>
    <m/>
    <s v="FONDO INNOVACION Y COMPETITIVIDAD"/>
    <m/>
    <m/>
    <m/>
    <m/>
    <m/>
    <m/>
    <m/>
    <n v="1542573000"/>
    <n v="0"/>
    <m/>
    <n v="1542573000"/>
    <n v="214072797"/>
    <n v="1328500203"/>
    <n v="0"/>
    <n v="0"/>
    <n v="0"/>
    <n v="0"/>
    <n v="0"/>
    <n v="3100000"/>
    <n v="700000"/>
    <n v="4295797"/>
    <n v="98350000"/>
    <n v="107627000"/>
    <n v="0"/>
    <n v="0"/>
    <m/>
    <n v="0"/>
    <s v="RS**"/>
  </r>
  <r>
    <x v="2"/>
    <s v="A"/>
    <s v="INDUSTRIA, COMERCIO, FINANZAS Y TURISMO"/>
    <s v="RURAL"/>
    <s v="FOMENTO PRODUCTIVO"/>
    <s v="FOMENTO"/>
    <s v="FOMENTO"/>
    <n v="36"/>
    <x v="2"/>
    <s v="SERNAMEG"/>
    <n v="30461825"/>
    <m/>
    <s v="Luisa Adela  Macias Bahamonde"/>
    <s v="30461825SERNAMEG"/>
    <m/>
    <s v="CAPACITACION TRABAJO EN FIBRA ANIMAL Y VEGETAL MUJERES DE CHAITEN"/>
    <m/>
    <m/>
    <n v="172830000"/>
    <m/>
    <n v="172830000"/>
    <m/>
    <m/>
    <n v="172830000"/>
    <n v="28937750"/>
    <m/>
    <n v="88535667"/>
    <n v="59375500"/>
    <n v="29160167"/>
    <n v="0"/>
    <n v="0"/>
    <n v="0"/>
    <n v="0"/>
    <n v="0"/>
    <n v="3000000"/>
    <n v="0"/>
    <n v="31786000"/>
    <n v="0"/>
    <n v="24589500"/>
    <n v="0"/>
    <n v="0"/>
    <m/>
    <n v="55356583"/>
    <s v="RS**"/>
  </r>
  <r>
    <x v="0"/>
    <m/>
    <m/>
    <m/>
    <m/>
    <m/>
    <m/>
    <m/>
    <x v="0"/>
    <m/>
    <m/>
    <m/>
    <s v="Luisa Adela  Macias Bahamonde"/>
    <m/>
    <m/>
    <s v="CONSULTORIA"/>
    <m/>
    <m/>
    <n v="20000000"/>
    <m/>
    <n v="20000000"/>
    <m/>
    <m/>
    <n v="20000000"/>
    <m/>
    <m/>
    <m/>
    <n v="0"/>
    <m/>
    <m/>
    <m/>
    <m/>
    <m/>
    <m/>
    <m/>
    <m/>
    <m/>
    <m/>
    <m/>
    <m/>
    <m/>
    <m/>
    <n v="20000000"/>
    <m/>
  </r>
  <r>
    <x v="0"/>
    <m/>
    <m/>
    <m/>
    <m/>
    <m/>
    <m/>
    <m/>
    <x v="0"/>
    <m/>
    <m/>
    <m/>
    <s v="Luisa Adela  Macias Bahamonde"/>
    <m/>
    <m/>
    <s v="CONTRATACION DEL PROGRAMA"/>
    <m/>
    <m/>
    <n v="143933000"/>
    <m/>
    <n v="143930000"/>
    <m/>
    <m/>
    <n v="143930000"/>
    <m/>
    <m/>
    <m/>
    <n v="0"/>
    <m/>
    <m/>
    <m/>
    <m/>
    <m/>
    <m/>
    <m/>
    <m/>
    <m/>
    <m/>
    <m/>
    <m/>
    <m/>
    <m/>
    <n v="143930000"/>
    <m/>
  </r>
  <r>
    <x v="0"/>
    <m/>
    <m/>
    <m/>
    <m/>
    <m/>
    <m/>
    <m/>
    <x v="0"/>
    <m/>
    <m/>
    <m/>
    <s v="Luisa Adela  Macias Bahamonde"/>
    <m/>
    <m/>
    <s v="GASTOS ADMINISTRATIVOS"/>
    <m/>
    <m/>
    <n v="8897000"/>
    <m/>
    <n v="8900000"/>
    <m/>
    <m/>
    <n v="8900000"/>
    <m/>
    <m/>
    <m/>
    <n v="0"/>
    <m/>
    <m/>
    <m/>
    <m/>
    <m/>
    <m/>
    <m/>
    <m/>
    <m/>
    <m/>
    <m/>
    <m/>
    <m/>
    <m/>
    <n v="89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INDUSTRIA, COMERCIO, FINANZAS Y TURISMO"/>
    <s v="RURAL"/>
    <s v="FOMENTO PRODUCTIVO"/>
    <s v="FOMENTO"/>
    <s v="FOMENTO"/>
    <n v="36"/>
    <x v="2"/>
    <s v="FOSIS"/>
    <n v="30484364"/>
    <m/>
    <s v="Luisa Adela  Macias Bahamonde"/>
    <s v="30484364FOSIS"/>
    <m/>
    <s v="CAPACITACION DESARROLLO Y FORTALECIMIENTO PERSONAS DISCAPACITADAS"/>
    <m/>
    <m/>
    <n v="230000000"/>
    <m/>
    <n v="230000000"/>
    <m/>
    <m/>
    <n v="230000000"/>
    <n v="223000000"/>
    <m/>
    <n v="7000000"/>
    <n v="0"/>
    <n v="7000000"/>
    <n v="0"/>
    <n v="0"/>
    <n v="0"/>
    <n v="0"/>
    <n v="0"/>
    <n v="0"/>
    <n v="0"/>
    <n v="0"/>
    <n v="0"/>
    <n v="0"/>
    <n v="0"/>
    <n v="0"/>
    <m/>
    <n v="0"/>
    <s v="RS**"/>
  </r>
  <r>
    <x v="0"/>
    <m/>
    <m/>
    <m/>
    <m/>
    <m/>
    <m/>
    <m/>
    <x v="0"/>
    <m/>
    <m/>
    <m/>
    <s v="Luisa Adela  Macias Bahamonde"/>
    <m/>
    <m/>
    <s v="CONSULTORIA"/>
    <m/>
    <m/>
    <n v="13000000"/>
    <m/>
    <n v="9600000"/>
    <m/>
    <m/>
    <n v="9600000"/>
    <m/>
    <m/>
    <m/>
    <n v="0"/>
    <m/>
    <m/>
    <m/>
    <m/>
    <m/>
    <m/>
    <m/>
    <m/>
    <m/>
    <m/>
    <m/>
    <m/>
    <m/>
    <m/>
    <n v="9600000"/>
    <m/>
  </r>
  <r>
    <x v="0"/>
    <m/>
    <m/>
    <m/>
    <m/>
    <m/>
    <m/>
    <m/>
    <x v="0"/>
    <m/>
    <m/>
    <m/>
    <s v="Luisa Adela  Macias Bahamonde"/>
    <m/>
    <m/>
    <s v="CONTRATACION DEL PROGRAMA"/>
    <m/>
    <m/>
    <n v="210000000"/>
    <m/>
    <n v="213000000"/>
    <m/>
    <m/>
    <n v="213000000"/>
    <m/>
    <m/>
    <m/>
    <n v="0"/>
    <m/>
    <m/>
    <m/>
    <m/>
    <m/>
    <m/>
    <m/>
    <m/>
    <m/>
    <m/>
    <m/>
    <m/>
    <m/>
    <m/>
    <n v="213000000"/>
    <m/>
  </r>
  <r>
    <x v="0"/>
    <m/>
    <m/>
    <m/>
    <m/>
    <m/>
    <m/>
    <m/>
    <x v="0"/>
    <m/>
    <m/>
    <m/>
    <s v="Luisa Adela  Macias Bahamonde"/>
    <m/>
    <m/>
    <s v="GASTOS ADMINISTRATIVOS"/>
    <m/>
    <m/>
    <n v="7000000"/>
    <m/>
    <n v="7400000"/>
    <m/>
    <m/>
    <n v="7400000"/>
    <m/>
    <m/>
    <m/>
    <n v="0"/>
    <m/>
    <m/>
    <m/>
    <m/>
    <m/>
    <m/>
    <m/>
    <m/>
    <m/>
    <m/>
    <m/>
    <m/>
    <m/>
    <m/>
    <n v="74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SOCIAL"/>
    <s v="FOMENTO"/>
    <s v="FOMENTO"/>
    <n v="36"/>
    <x v="7"/>
    <s v="SEREMI DE BIENES NACIONALES"/>
    <n v="30426980"/>
    <s v="V"/>
    <s v="Luisa Adela  Macias Bahamonde"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185000000"/>
    <n v="19609648"/>
    <n v="165390352"/>
    <n v="0"/>
    <n v="0"/>
    <n v="0"/>
    <n v="0"/>
    <n v="0"/>
    <n v="0"/>
    <n v="2282186"/>
    <n v="15391000"/>
    <n v="0"/>
    <n v="1936462"/>
    <n v="0"/>
    <n v="0"/>
    <m/>
    <n v="68882451"/>
    <s v="RS**"/>
  </r>
  <r>
    <x v="0"/>
    <m/>
    <m/>
    <m/>
    <m/>
    <m/>
    <m/>
    <m/>
    <x v="0"/>
    <m/>
    <m/>
    <m/>
    <s v="Luisa Adela  Macias Bahamonde"/>
    <m/>
    <m/>
    <s v="CONSULTORIA"/>
    <m/>
    <m/>
    <n v="60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CONTRATACION DEL PROGRAMA"/>
    <m/>
    <m/>
    <n v="415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25000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SOCIAL"/>
    <s v="FOMENTO"/>
    <s v="FOMENTO"/>
    <n v="36"/>
    <x v="2"/>
    <s v="FUNCHI"/>
    <n v="40016769"/>
    <m/>
    <s v="Luisa Adela  Macias Bahamonde"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</r>
  <r>
    <x v="0"/>
    <m/>
    <m/>
    <m/>
    <m/>
    <m/>
    <m/>
    <m/>
    <x v="0"/>
    <m/>
    <m/>
    <m/>
    <s v="Luisa Adela  Macias Bahamonde"/>
    <m/>
    <m/>
    <s v="CONSULTORIA"/>
    <m/>
    <m/>
    <n v="120000000"/>
    <m/>
    <m/>
    <m/>
    <m/>
    <n v="120000000"/>
    <m/>
    <m/>
    <m/>
    <n v="0"/>
    <m/>
    <m/>
    <m/>
    <m/>
    <m/>
    <m/>
    <m/>
    <m/>
    <m/>
    <m/>
    <m/>
    <m/>
    <m/>
    <m/>
    <n v="120000000"/>
    <m/>
  </r>
  <r>
    <x v="0"/>
    <m/>
    <m/>
    <m/>
    <m/>
    <m/>
    <m/>
    <m/>
    <x v="0"/>
    <m/>
    <m/>
    <m/>
    <s v="Luisa Adela  Macias Bahamonde"/>
    <m/>
    <m/>
    <s v="CONTRATACION DEL PROGRAMA"/>
    <m/>
    <m/>
    <n v="830000000"/>
    <m/>
    <m/>
    <m/>
    <m/>
    <n v="830000000"/>
    <m/>
    <m/>
    <m/>
    <n v="0"/>
    <m/>
    <m/>
    <m/>
    <m/>
    <m/>
    <m/>
    <m/>
    <m/>
    <m/>
    <m/>
    <m/>
    <m/>
    <m/>
    <m/>
    <n v="830000000"/>
    <m/>
  </r>
  <r>
    <x v="0"/>
    <m/>
    <m/>
    <m/>
    <m/>
    <m/>
    <m/>
    <m/>
    <x v="0"/>
    <m/>
    <m/>
    <m/>
    <s v="Luisa Adela  Macias Bahamonde"/>
    <m/>
    <m/>
    <s v="GASTOS ADMINISTRATIVOS"/>
    <m/>
    <m/>
    <n v="50000000"/>
    <m/>
    <m/>
    <m/>
    <m/>
    <n v="50000000"/>
    <m/>
    <m/>
    <m/>
    <n v="0"/>
    <m/>
    <m/>
    <m/>
    <m/>
    <m/>
    <m/>
    <m/>
    <m/>
    <m/>
    <m/>
    <m/>
    <m/>
    <m/>
    <m/>
    <n v="500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A"/>
    <s v="MULTISECTORIAL"/>
    <s v="RURAL"/>
    <s v="SOCIAL"/>
    <s v="FOMENTO"/>
    <s v="FOMENTO"/>
    <n v="36"/>
    <x v="2"/>
    <s v="SEREMI DE BIENES NACIONALES"/>
    <n v="40004275"/>
    <m/>
    <s v="Luisa Adela  Macias Bahamonde"/>
    <s v="40004275SEREMI DE BIENES NACIONALES"/>
    <m/>
    <s v="SANEAMIENTO PROGRAMA NACIONAL DE REGULARIZACION &quot;CHILE PROPIETARIO&quot;"/>
    <m/>
    <m/>
    <m/>
    <m/>
    <m/>
    <m/>
    <m/>
    <n v="1200000000"/>
    <n v="7925370"/>
    <m/>
    <n v="148878614"/>
    <n v="126547614"/>
    <n v="22331000"/>
    <n v="0"/>
    <n v="0"/>
    <n v="0"/>
    <n v="0"/>
    <n v="0"/>
    <n v="0"/>
    <n v="47162028"/>
    <n v="15086452"/>
    <n v="64299134"/>
    <n v="0"/>
    <n v="0"/>
    <n v="0"/>
    <m/>
    <n v="1043196016"/>
    <s v="RS**"/>
  </r>
  <r>
    <x v="2"/>
    <s v="A"/>
    <s v="SALUD"/>
    <s v="URBANO "/>
    <s v="SALUD"/>
    <s v="FOMENTO"/>
    <s v="FOMENTO"/>
    <n v="36"/>
    <x v="2"/>
    <s v="SERV. SALUD OSORNO"/>
    <n v="40015599"/>
    <m/>
    <e v="#N/A"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100000000"/>
    <n v="0"/>
    <n v="100000000"/>
    <n v="0"/>
    <n v="0"/>
    <n v="0"/>
    <n v="0"/>
    <n v="0"/>
    <n v="0"/>
    <n v="0"/>
    <n v="0"/>
    <n v="0"/>
    <n v="0"/>
    <n v="0"/>
    <n v="0"/>
    <m/>
    <n v="83150000"/>
    <s v="RS**"/>
  </r>
  <r>
    <x v="2"/>
    <s v="A"/>
    <s v="SILVOAGROPECUARIO"/>
    <s v="RURAL"/>
    <s v="FOMENTO PRODUCTIVO"/>
    <s v="FOMENTO"/>
    <s v="FOMENTO"/>
    <n v="36"/>
    <x v="2"/>
    <s v="SAG"/>
    <n v="30482027"/>
    <m/>
    <s v="Luisa Adela  Macias Bahamonde"/>
    <s v="30482027SAG"/>
    <m/>
    <s v="ERRADICACION DE LA BRUCELOSIS BOVINA"/>
    <m/>
    <m/>
    <n v="694302000"/>
    <m/>
    <m/>
    <m/>
    <m/>
    <n v="499999364"/>
    <n v="420749364"/>
    <m/>
    <n v="53627529"/>
    <n v="53627529"/>
    <n v="0"/>
    <n v="0"/>
    <n v="0"/>
    <n v="0"/>
    <n v="0"/>
    <n v="0"/>
    <n v="72529"/>
    <n v="0"/>
    <n v="0"/>
    <n v="0"/>
    <n v="53555000"/>
    <n v="0"/>
    <n v="0"/>
    <m/>
    <n v="25622471"/>
    <s v="RS**"/>
  </r>
  <r>
    <x v="0"/>
    <m/>
    <m/>
    <m/>
    <m/>
    <m/>
    <m/>
    <m/>
    <x v="0"/>
    <m/>
    <m/>
    <m/>
    <s v="Luisa Adela  Macias Bahamonde"/>
    <m/>
    <m/>
    <s v="CONTRATACION DEL PROGRAMA"/>
    <m/>
    <m/>
    <n v="423766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s v="Luisa Adela  Macias Bahamonde"/>
    <m/>
    <m/>
    <s v="GASTOS ADMINISTRATIVOS"/>
    <m/>
    <m/>
    <n v="270536000"/>
    <m/>
    <m/>
    <m/>
    <m/>
    <m/>
    <m/>
    <m/>
    <m/>
    <n v="0"/>
    <m/>
    <m/>
    <m/>
    <m/>
    <m/>
    <m/>
    <m/>
    <m/>
    <m/>
    <m/>
    <m/>
    <m/>
    <m/>
    <m/>
    <n v="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x v="2"/>
    <s v="N"/>
    <s v="INDUSTRIA, COMERCIO, FINANZAS Y TURISMO"/>
    <s v="RURAL"/>
    <s v="FOMENTO PRODUCTIVO"/>
    <s v="FOMENTO"/>
    <s v="FOMENTO"/>
    <n v="36"/>
    <x v="7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</r>
  <r>
    <x v="0"/>
    <m/>
    <m/>
    <m/>
    <m/>
    <m/>
    <m/>
    <m/>
    <x v="0"/>
    <m/>
    <m/>
    <m/>
    <m/>
    <m/>
    <m/>
    <s v="TOTAL DE INICIATIVAS EN EJECUCION / LIQUIDACION / TERMINADAS"/>
    <m/>
    <m/>
    <m/>
    <m/>
    <m/>
    <m/>
    <m/>
    <n v="22029971579"/>
    <n v="12223592199"/>
    <m/>
    <n v="6741139145"/>
    <n v="1347452418"/>
    <n v="5393686727"/>
    <n v="0"/>
    <n v="0"/>
    <n v="0"/>
    <n v="0"/>
    <n v="0"/>
    <n v="466655149"/>
    <n v="50144214"/>
    <n v="140167108"/>
    <n v="175426362"/>
    <n v="515059585"/>
    <n v="0"/>
    <n v="0"/>
    <m/>
    <n v="306524023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x v="2"/>
    <s v="N"/>
    <s v="INDUSTRIA, COMERCIO, FINANZAS Y TURISMO"/>
    <s v="URBANO"/>
    <s v="FOMENTO PRODUCTIVO"/>
    <s v="FOMENTO"/>
    <s v="FOMENTO"/>
    <n v="36"/>
    <x v="2"/>
    <s v="SENAMA"/>
    <n v="40026610"/>
    <m/>
    <m/>
    <m/>
    <m/>
    <s v="INSUMOS Y ALIMENTACION PARA ELEAM DE LOS LAGOS, PUERTO MONTT"/>
    <s v="* CERT. CORE 223 07.20 APRUEBA"/>
    <m/>
    <m/>
    <m/>
    <m/>
    <m/>
    <m/>
    <n v="14917780"/>
    <n v="0"/>
    <m/>
    <n v="14917780"/>
    <n v="0"/>
    <n v="14917780"/>
    <m/>
    <m/>
    <m/>
    <m/>
    <m/>
    <m/>
    <m/>
    <m/>
    <m/>
    <m/>
    <m/>
    <m/>
    <m/>
    <n v="0"/>
    <s v="RS**"/>
  </r>
  <r>
    <x v="2"/>
    <s v="N"/>
    <s v="INDUSTRIA, COMERCIO, FINANZAS Y TURISMO"/>
    <s v="URBANO"/>
    <s v="FOMENTO PRODUCTIVO"/>
    <s v="FOMENTO"/>
    <s v="FOMENTO"/>
    <n v="36"/>
    <x v="2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6261750"/>
    <n v="0"/>
    <n v="6261750"/>
    <m/>
    <m/>
    <m/>
    <m/>
    <m/>
    <m/>
    <m/>
    <m/>
    <m/>
    <m/>
    <m/>
    <m/>
    <m/>
    <n v="0"/>
    <s v="RS**"/>
  </r>
  <r>
    <x v="2"/>
    <s v="A"/>
    <s v="RECURSOS NATURALES Y MEDIO AMBIENTE"/>
    <s v="RURAL"/>
    <s v="FOMENTO PRODUCTIVO"/>
    <s v="FOMENTO"/>
    <s v="FOMENTO"/>
    <n v="36"/>
    <x v="2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19927471"/>
    <n v="0"/>
    <n v="319927471"/>
    <n v="0"/>
    <n v="0"/>
    <n v="0"/>
    <n v="0"/>
    <n v="0"/>
    <n v="0"/>
    <n v="0"/>
    <n v="0"/>
    <n v="0"/>
    <n v="0"/>
    <n v="0"/>
    <n v="0"/>
    <m/>
    <n v="1892841760"/>
    <s v="RS**"/>
  </r>
  <r>
    <x v="2"/>
    <s v="A"/>
    <s v="MULTISECTORIAL"/>
    <s v="RURAL"/>
    <s v="SOCIAL"/>
    <s v="FOMENTO"/>
    <s v="FOMENTO"/>
    <n v="36"/>
    <x v="2"/>
    <m/>
    <n v="30485056"/>
    <m/>
    <e v="#N/A"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207800000"/>
    <s v="RS**"/>
  </r>
  <r>
    <x v="2"/>
    <s v="A"/>
    <s v="MULTISECTORIAL"/>
    <s v="RURAL"/>
    <s v="SOCIAL"/>
    <s v="FOMENTO"/>
    <s v="FOMENTO"/>
    <n v="36"/>
    <x v="2"/>
    <s v="SERCOTEC"/>
    <n v="40016559"/>
    <m/>
    <e v="#N/A"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10000000"/>
    <n v="0"/>
    <n v="110000000"/>
    <n v="0"/>
    <n v="0"/>
    <n v="0"/>
    <n v="0"/>
    <n v="0"/>
    <n v="0"/>
    <n v="0"/>
    <n v="0"/>
    <n v="0"/>
    <n v="0"/>
    <n v="0"/>
    <n v="0"/>
    <m/>
    <n v="121418750"/>
    <s v="RS**"/>
  </r>
  <r>
    <x v="2"/>
    <s v="A"/>
    <s v="RECURSOS NATURALES Y MEDIO AMBIENTE"/>
    <s v="RURAL"/>
    <s v="SILVOAGROPECUARIO"/>
    <s v="FOMENTO"/>
    <s v="FOMENTO"/>
    <n v="36"/>
    <x v="2"/>
    <s v="SEREMI DE AGRICULTURA"/>
    <n v="40012343"/>
    <s v="G"/>
    <e v="#N/A"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40352000"/>
    <n v="0"/>
    <n v="140352000"/>
    <n v="0"/>
    <n v="0"/>
    <n v="0"/>
    <n v="0"/>
    <n v="0"/>
    <n v="0"/>
    <n v="0"/>
    <n v="0"/>
    <n v="0"/>
    <n v="0"/>
    <n v="0"/>
    <n v="0"/>
    <m/>
    <n v="2116148000"/>
    <s v="RS**"/>
  </r>
  <r>
    <x v="2"/>
    <s v="A"/>
    <s v="INDUSTRIA, COMERCIO, FINANZAS Y TURISMO"/>
    <s v="RURAL"/>
    <s v="TURISMO"/>
    <s v="FOMENTO"/>
    <s v="FOMENTO"/>
    <n v="36"/>
    <x v="2"/>
    <s v="SERNATUR"/>
    <n v="40017839"/>
    <m/>
    <e v="#N/A"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500000000"/>
    <s v="RS**"/>
  </r>
  <r>
    <x v="2"/>
    <s v="N"/>
    <s v="SILVOAGROPECUARIO"/>
    <s v="RURAL"/>
    <s v="FOMENTO PRODUCTIVO"/>
    <s v="FOMENTO"/>
    <s v="FOMENTO"/>
    <n v="36"/>
    <x v="2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SILVOAGROPECUARIO"/>
    <s v="RURAL"/>
    <s v="FOMENTO PRODUCTIVO"/>
    <s v="FOMENTO"/>
    <s v="FOMENTO"/>
    <n v="36"/>
    <x v="2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SENAMA"/>
    <n v="40024008"/>
    <s v="AC. SOCIAL"/>
    <m/>
    <s v="40019534GORE"/>
    <m/>
    <s v="PREVENCION PROGRAMA MEJORAMIENTO INTEGRAL DE LA CALIDAD DE VIDA DE LAS PERSONAS MAYORES REGION DE LOS LAGOS"/>
    <s v="* CERT. CORE 207 07.20"/>
    <m/>
    <m/>
    <m/>
    <m/>
    <m/>
    <m/>
    <n v="474000000"/>
    <n v="0"/>
    <m/>
    <n v="474000000"/>
    <n v="0"/>
    <n v="474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SENAMA"/>
    <n v="40015477"/>
    <s v="AC. SOCIAL"/>
    <m/>
    <s v="40019534GORE"/>
    <m/>
    <s v="PREVENCION PROGRAMA DE CUIDADOS DOMICILIARIOS REGION DE LOS LAGOS"/>
    <s v="* CERT. CORE 47 02.20"/>
    <m/>
    <m/>
    <m/>
    <m/>
    <m/>
    <m/>
    <n v="456000000"/>
    <n v="0"/>
    <m/>
    <n v="456000000"/>
    <n v="0"/>
    <n v="456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TRANSPORTE Y VIVIENDA"/>
    <s v="URBANO"/>
    <s v="FOMENTO PRODUCTIVO"/>
    <s v="FOMENTO"/>
    <s v="FOMENTO"/>
    <n v="36"/>
    <x v="2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1300000000"/>
    <n v="0"/>
    <n v="13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TRANSPORTE Y VIVIENDA"/>
    <s v="URBANO"/>
    <s v="FOMENTO PRODUCTIVO"/>
    <s v="FOMENTO"/>
    <s v="FOMENTO"/>
    <n v="36"/>
    <x v="2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SILVOAGROPECUARIO"/>
    <s v="RURAL"/>
    <s v="FOMENTO PRODUCTIVO"/>
    <s v="FOMENTO"/>
    <s v="FOMENTO"/>
    <n v="36"/>
    <x v="2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SILVOAGROPECUARIO"/>
    <s v="RURAL"/>
    <s v="FOMENTO PRODUCTIVO"/>
    <s v="FOMENTO"/>
    <s v="FOMENTO"/>
    <n v="36"/>
    <x v="2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RURAL"/>
    <s v="FOMENTO PRODUCTIVO"/>
    <s v="FOMENTO"/>
    <s v="FOMENTO"/>
    <n v="36"/>
    <x v="2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RURAL"/>
    <s v="FOMENTO PRODUCTIVO"/>
    <s v="FOMENTO"/>
    <s v="FOMENTO"/>
    <n v="36"/>
    <x v="2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30000000"/>
    <n v="0"/>
    <n v="13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0"/>
    <s v="RS**"/>
  </r>
  <r>
    <x v="2"/>
    <s v="N"/>
    <s v="INDUSTRIA, COMERCIO, FINANZAS Y TURISMO"/>
    <s v="URBANO"/>
    <s v="FOMENTO PRODUCTIVO"/>
    <s v="FOMENTO"/>
    <s v="FOMENTO"/>
    <n v="36"/>
    <x v="2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0"/>
    <s v="RS**"/>
  </r>
  <r>
    <x v="2"/>
    <s v="N"/>
    <s v="RECURSOS NATURALES Y MEDIO AMBIENTE"/>
    <s v="URBANO"/>
    <s v="FOMENTO PRODUCTIVO"/>
    <s v="FOMENTO"/>
    <s v="FOMENTO"/>
    <n v="36"/>
    <x v="2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0"/>
    <s v="RS**"/>
  </r>
  <r>
    <x v="2"/>
    <s v="N"/>
    <s v="INDUSTRIA, COMERCIO, FINANZAS Y TURISMO"/>
    <s v="URBANO"/>
    <s v="FOMENTO PRODUCTIVO"/>
    <s v="FOMENTO"/>
    <s v="FOMENTO"/>
    <n v="36"/>
    <x v="2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750000000"/>
    <s v="RS**"/>
  </r>
  <r>
    <x v="2"/>
    <s v="N"/>
    <s v="INDUSTRIA, COMERCIO, FINANZAS Y TURISMO"/>
    <s v="URBANO"/>
    <s v="FOMENTO PRODUCTIVO"/>
    <s v="FOMENTO"/>
    <s v="FOMENTO"/>
    <n v="36"/>
    <x v="2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*"/>
  </r>
  <r>
    <x v="2"/>
    <s v="N"/>
    <s v="SILVOAGROPECUARIO"/>
    <s v="RURAL"/>
    <s v="FOMENTO PRODUCTIVO"/>
    <s v="FOMENTO"/>
    <s v="FOMENTO"/>
    <n v="36"/>
    <x v="2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90000000"/>
    <s v="RS**"/>
  </r>
  <r>
    <x v="0"/>
    <m/>
    <m/>
    <m/>
    <m/>
    <m/>
    <m/>
    <m/>
    <x v="0"/>
    <m/>
    <m/>
    <m/>
    <m/>
    <m/>
    <m/>
    <s v="TOTAL DE INICIATIVAS EN CONVENIO / LICITACION / ADJUDICACION"/>
    <m/>
    <m/>
    <m/>
    <m/>
    <m/>
    <m/>
    <m/>
    <n v="18569667511"/>
    <n v="0"/>
    <m/>
    <n v="6941459001"/>
    <n v="0"/>
    <n v="6941459001"/>
    <n v="0"/>
    <n v="0"/>
    <n v="0"/>
    <n v="0"/>
    <n v="0"/>
    <n v="0"/>
    <n v="0"/>
    <n v="0"/>
    <n v="0"/>
    <n v="0"/>
    <n v="0"/>
    <n v="0"/>
    <m/>
    <n v="6790000000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FOMENTO"/>
    <m/>
    <m/>
    <m/>
    <m/>
    <m/>
    <m/>
    <m/>
    <n v="40599639090"/>
    <n v="12223592199"/>
    <m/>
    <n v="13682598146"/>
    <n v="1347452418"/>
    <n v="12335145728"/>
    <n v="0"/>
    <n v="0"/>
    <n v="0"/>
    <n v="0"/>
    <n v="0"/>
    <n v="466655149"/>
    <n v="50144214"/>
    <n v="140167108"/>
    <n v="175426362"/>
    <n v="515059585"/>
    <n v="0"/>
    <n v="0"/>
    <m/>
    <n v="14693448745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x v="0"/>
    <m/>
    <m/>
    <m/>
    <m/>
    <m/>
    <m/>
    <m/>
    <x v="0"/>
    <m/>
    <m/>
    <m/>
    <m/>
    <m/>
    <m/>
    <s v="TOTAL PRESUPUESTO 2020"/>
    <m/>
    <m/>
    <m/>
    <m/>
    <m/>
    <m/>
    <m/>
    <n v="433393155830"/>
    <n v="109281988968"/>
    <m/>
    <n v="110295558389.33333"/>
    <n v="40090186269"/>
    <n v="70205372120.333328"/>
    <n v="0"/>
    <n v="0"/>
    <n v="0"/>
    <n v="0"/>
    <n v="0"/>
    <n v="3666740688"/>
    <n v="5684834714"/>
    <n v="5022881123"/>
    <n v="6520346324"/>
    <n v="6589090637"/>
    <n v="7082868531"/>
    <n v="5523424252"/>
    <m/>
    <n v="213815608472.66666"/>
    <m/>
  </r>
  <r>
    <x v="0"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902"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OSORN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1"/>
    <s v="OSORNO"/>
    <n v="1"/>
    <s v="FAR"/>
    <s v="EJECUCION"/>
    <n v="30043744"/>
    <m/>
    <s v="Ignacio Ortiz Martin"/>
    <s v="30043744EJECUCION"/>
    <m/>
    <s v="MEJORAMIENTO AVENIDA REPUBLICA"/>
    <s v="* CERT. CORE 71 06.04.17, APRUEBA AUMENTO DE PPTO."/>
    <m/>
    <n v="6857278000"/>
    <m/>
    <m/>
    <m/>
    <m/>
    <n v="7805646000"/>
    <n v="5858094246"/>
    <m/>
    <n v="1326112538"/>
    <n v="712617316"/>
    <n v="613495222"/>
    <n v="0"/>
    <n v="0"/>
    <n v="0"/>
    <n v="0"/>
    <n v="0"/>
    <n v="0"/>
    <n v="332864655"/>
    <n v="0"/>
    <n v="0"/>
    <n v="180086508"/>
    <n v="0"/>
    <n v="199666153"/>
    <m/>
    <n v="621439216"/>
    <s v="RS"/>
  </r>
  <r>
    <n v="31"/>
    <s v="A"/>
    <s v="EDUCACIÓN Y CULTURA"/>
    <s v="URBANO"/>
    <s v="SOCIAL"/>
    <x v="1"/>
    <s v="OSORNO"/>
    <n v="1"/>
    <s v="LIBRE"/>
    <s v="EJECUCION"/>
    <n v="30070862"/>
    <m/>
    <e v="#N/A"/>
    <s v="30070862EJECUCION"/>
    <m/>
    <s v="REPOSICION LICEO CARMELA CARVAJAL DE PRAT, OSORNO."/>
    <s v="* CERT. 246 22.08.19 - APRUEBA AUMENTO PPTO"/>
    <m/>
    <m/>
    <m/>
    <m/>
    <m/>
    <m/>
    <n v="7370081000"/>
    <n v="0"/>
    <m/>
    <n v="1397145700"/>
    <n v="556758918"/>
    <n v="840386782"/>
    <n v="0"/>
    <n v="0"/>
    <n v="0"/>
    <n v="0"/>
    <n v="0"/>
    <n v="188084339"/>
    <n v="202156837"/>
    <n v="166517742"/>
    <n v="0"/>
    <n v="0"/>
    <n v="0"/>
    <n v="0"/>
    <m/>
    <n v="5972935300"/>
    <s v="RS"/>
  </r>
  <r>
    <n v="31"/>
    <s v="A"/>
    <s v="DEFENSA Y SEGURIDAD"/>
    <s v="URBANO"/>
    <s v="SOCIAL"/>
    <x v="1"/>
    <s v="OSORNO"/>
    <n v="1"/>
    <s v="LIBRE"/>
    <s v="EJECUCION"/>
    <n v="30165522"/>
    <m/>
    <s v="GLORIA DEL CARMEN QUEZADA VELASQUEZ"/>
    <s v="30165522EJECUCION"/>
    <m/>
    <s v="CONSERVACION Y EQUIP. EDIFI. CIAS. BOMBEROS 4TA;5TA Y CUARTEL GENERAL (C33)"/>
    <m/>
    <m/>
    <m/>
    <m/>
    <m/>
    <m/>
    <m/>
    <n v="820000000"/>
    <n v="346084133"/>
    <m/>
    <n v="473915867"/>
    <n v="273385780"/>
    <n v="200530087"/>
    <n v="0"/>
    <n v="0"/>
    <n v="0"/>
    <n v="0"/>
    <n v="0"/>
    <n v="69573418"/>
    <n v="0"/>
    <n v="50255490"/>
    <n v="1111111"/>
    <n v="82363638"/>
    <n v="46903950"/>
    <n v="23178173"/>
    <m/>
    <n v="0"/>
    <s v="RS*"/>
  </r>
  <r>
    <n v="31"/>
    <s v="A"/>
    <s v="MULTISECTORIAL"/>
    <s v="URBANO"/>
    <s v="SOCIAL"/>
    <x v="1"/>
    <s v="OSORNO"/>
    <n v="1"/>
    <s v="LIBRE"/>
    <s v="EJECUCION"/>
    <n v="30135711"/>
    <m/>
    <s v="GLORIA DEL CARMEN QUEZADA VELASQUEZ"/>
    <s v="30135711EJECUCION"/>
    <m/>
    <s v="REPOSICION CASA DE ACOGIDA DE LA DISCAPACIDAD"/>
    <m/>
    <m/>
    <m/>
    <m/>
    <m/>
    <m/>
    <m/>
    <n v="151972000"/>
    <n v="129911143"/>
    <m/>
    <n v="22060857"/>
    <n v="6990"/>
    <n v="22053867"/>
    <m/>
    <m/>
    <m/>
    <m/>
    <m/>
    <n v="0"/>
    <n v="0"/>
    <n v="0"/>
    <n v="0"/>
    <n v="6990"/>
    <n v="0"/>
    <n v="0"/>
    <m/>
    <n v="0"/>
    <s v="RS"/>
  </r>
  <r>
    <n v="31"/>
    <s v="A"/>
    <s v="TRANSPORTE Y VIVIENDA"/>
    <s v="URBANO"/>
    <s v="SOCIAL"/>
    <x v="1"/>
    <s v="OSORNO"/>
    <n v="1"/>
    <s v="FAR"/>
    <s v="EJECUCION"/>
    <n v="40003069"/>
    <m/>
    <e v="#N/A"/>
    <s v="40003069EJECUCION"/>
    <s v="2308-91-LE19"/>
    <s v="CONSERVACION VEREDAS CERVANTES COMUNA DE OSORNO (C33)"/>
    <m/>
    <m/>
    <m/>
    <m/>
    <m/>
    <m/>
    <m/>
    <n v="77510000"/>
    <n v="0"/>
    <m/>
    <n v="77510000"/>
    <n v="69336255"/>
    <n v="8173745"/>
    <n v="0"/>
    <n v="0"/>
    <n v="0"/>
    <n v="0"/>
    <n v="0"/>
    <n v="0"/>
    <n v="0"/>
    <n v="0"/>
    <n v="19739016"/>
    <n v="0"/>
    <n v="49597239"/>
    <n v="0"/>
    <m/>
    <n v="0"/>
    <s v="RS*"/>
  </r>
  <r>
    <n v="31"/>
    <s v="A"/>
    <s v="EDUCACIÓN Y CULTURA"/>
    <s v="URBANO"/>
    <s v="SOCIAL"/>
    <x v="1"/>
    <s v="OSORNO"/>
    <n v="1"/>
    <s v="LIBRE"/>
    <s v="EJECUCION"/>
    <n v="30134836"/>
    <m/>
    <e v="#N/A"/>
    <s v="30134836EJECUCION"/>
    <s v="2308-97-LR19"/>
    <s v="REPOSICION ESCUELA RURAL WALTERIO MEYER RUSCA, AGUA BUENA, OSORNO"/>
    <m/>
    <m/>
    <m/>
    <m/>
    <m/>
    <m/>
    <m/>
    <n v="3295526000"/>
    <n v="0"/>
    <m/>
    <n v="528510046"/>
    <n v="428516676"/>
    <n v="99993370"/>
    <n v="0"/>
    <n v="0"/>
    <n v="0"/>
    <n v="0"/>
    <n v="0"/>
    <n v="182582886"/>
    <n v="142177586"/>
    <n v="0"/>
    <n v="103756204"/>
    <n v="0"/>
    <n v="0"/>
    <n v="0"/>
    <m/>
    <n v="2767015954"/>
    <s v="RS"/>
  </r>
  <r>
    <n v="31"/>
    <s v="A"/>
    <s v="DEPORTE"/>
    <s v="URBANO"/>
    <s v="SOCIAL"/>
    <x v="1"/>
    <s v="OSORNO"/>
    <n v="1"/>
    <s v="LIBRE"/>
    <s v="EJECUCION"/>
    <n v="40004690"/>
    <m/>
    <e v="#N/A"/>
    <s v="40004690EJECUCION"/>
    <s v="2308-108-LR19"/>
    <s v="MEJORAMIENTO INSTALACIONES ATLÉTICAS VILLA OLÍMPICA, OSORNO"/>
    <s v="* CERT. CORE 245 22.08.19 - APRUEBA INCORPORAR CON CARGO AL FNDR."/>
    <m/>
    <m/>
    <m/>
    <m/>
    <m/>
    <m/>
    <n v="1127041000"/>
    <n v="0"/>
    <m/>
    <n v="588530954"/>
    <n v="131911401"/>
    <n v="456619553"/>
    <n v="0"/>
    <n v="0"/>
    <n v="0"/>
    <n v="0"/>
    <n v="0"/>
    <n v="44638361"/>
    <n v="0"/>
    <n v="20426126"/>
    <n v="66846914"/>
    <n v="0"/>
    <n v="0"/>
    <n v="0"/>
    <m/>
    <n v="538510046"/>
    <s v="RS"/>
  </r>
  <r>
    <n v="31"/>
    <s v="A"/>
    <s v="SALUD"/>
    <s v="URBANO"/>
    <s v="SOCIAL"/>
    <x v="1"/>
    <s v="OSORNO"/>
    <n v="1"/>
    <s v="LIBRE"/>
    <s v="EJECUCION"/>
    <n v="30087456"/>
    <m/>
    <s v="Ignacio Ortiz Martin"/>
    <s v="30087456EJECUCION"/>
    <m/>
    <s v="** CONSTRUCCION CENTRO DE DIALIZADOS Y TRANSPLANTADOS RENALES"/>
    <s v="* CERT. CORE 133 ABRIL 2020 - INCORPORA SALDO"/>
    <m/>
    <m/>
    <m/>
    <m/>
    <m/>
    <m/>
    <n v="621261710"/>
    <n v="609651710"/>
    <m/>
    <n v="5565145"/>
    <n v="5565145"/>
    <n v="0"/>
    <m/>
    <m/>
    <m/>
    <m/>
    <m/>
    <n v="0"/>
    <n v="0"/>
    <n v="0"/>
    <n v="5565145"/>
    <m/>
    <m/>
    <m/>
    <m/>
    <n v="6044855"/>
    <s v="RS"/>
  </r>
  <r>
    <n v="31"/>
    <s v="A"/>
    <s v="AGUA POTABLE Y ALCANTARILLADO"/>
    <s v="RURAL"/>
    <s v="SOCIAL"/>
    <x v="1"/>
    <s v="OSORNO"/>
    <n v="1"/>
    <s v="LIBRE"/>
    <s v="EJECUCION"/>
    <n v="30257472"/>
    <m/>
    <e v="#N/A"/>
    <s v="30257472EJECUCION"/>
    <s v="2308-101-LR19"/>
    <s v="CONSTRUCCION RED DE ALCANTARILLADO Y PLANTA DE TRATAMIENTO SECTOR PICHIL, OSORNO"/>
    <s v="* CERT. CORE 175 20.06 - APRUEBA ETAPA EJECUCION CON CARGO FNDR."/>
    <m/>
    <m/>
    <m/>
    <m/>
    <m/>
    <m/>
    <n v="508482000"/>
    <n v="0"/>
    <m/>
    <n v="508482000"/>
    <n v="19628868"/>
    <n v="488853132"/>
    <n v="0"/>
    <n v="0"/>
    <n v="0"/>
    <n v="0"/>
    <n v="0"/>
    <n v="0"/>
    <n v="0"/>
    <n v="0"/>
    <n v="19628868"/>
    <n v="0"/>
    <n v="0"/>
    <n v="0"/>
    <m/>
    <n v="0"/>
    <s v="RS"/>
  </r>
  <r>
    <n v="31"/>
    <s v="A"/>
    <s v="SALUD"/>
    <s v="URBANO"/>
    <s v="SOCIAL"/>
    <x v="1"/>
    <s v="OSORNO"/>
    <n v="1"/>
    <s v="LIBRE"/>
    <s v="EJECUCION"/>
    <n v="30062818"/>
    <m/>
    <s v="Ignacio Ortiz Martin"/>
    <s v="30062818EJECUCION"/>
    <m/>
    <s v="** AMPLIACION CESFAM OVEJERIA OSORNO"/>
    <s v="* CERT. CORE 117 ABRIL 2020 INCOPORA SALDO"/>
    <m/>
    <m/>
    <m/>
    <m/>
    <m/>
    <m/>
    <n v="3289875729"/>
    <n v="3213972235"/>
    <m/>
    <n v="75903493"/>
    <n v="0"/>
    <n v="75903493"/>
    <m/>
    <m/>
    <m/>
    <m/>
    <m/>
    <n v="0"/>
    <n v="0"/>
    <n v="0"/>
    <n v="0"/>
    <m/>
    <m/>
    <m/>
    <m/>
    <n v="1"/>
    <s v="RS"/>
  </r>
  <r>
    <n v="31"/>
    <s v="A"/>
    <s v="SALUD"/>
    <s v="URBANO"/>
    <s v="SOCIAL"/>
    <x v="1"/>
    <s v="OSORNO"/>
    <n v="1"/>
    <s v="LIBRE"/>
    <s v="EJECUCION"/>
    <n v="30129384"/>
    <m/>
    <s v="Ignacio Ortiz Martin"/>
    <s v="30129384EJECUCION"/>
    <m/>
    <s v="** CONSTRUCCION CENTRO DE REFERENCIA Y DIAGNOSTICO MEDICO"/>
    <s v="* CERT. CORE 116 ABRIL 2020 INCORPORA SALDO"/>
    <m/>
    <m/>
    <m/>
    <m/>
    <m/>
    <m/>
    <n v="3654758972"/>
    <n v="3633546925"/>
    <m/>
    <n v="21212047"/>
    <n v="7039913"/>
    <n v="14172134"/>
    <m/>
    <m/>
    <m/>
    <m/>
    <m/>
    <n v="0"/>
    <n v="7039913"/>
    <n v="0"/>
    <n v="0"/>
    <m/>
    <m/>
    <m/>
    <m/>
    <n v="0"/>
    <s v="RS"/>
  </r>
  <r>
    <n v="31"/>
    <s v="A"/>
    <s v="SALUD"/>
    <s v="URBANO"/>
    <s v="SOCIAL"/>
    <x v="1"/>
    <s v="OSORNO"/>
    <n v="1"/>
    <s v="LIBRE"/>
    <s v="EJECUCION"/>
    <n v="30470902"/>
    <m/>
    <s v="Ignacio Ortiz Martin"/>
    <s v="30470902EJECUCION"/>
    <m/>
    <s v="** NORMALIZACION CECOSF COMUNA DE OSORNO (BOX DENTAL)"/>
    <s v="* CERT. CORE 115 ABRIL 2020, INCORPORA SALDO PENDIENTE"/>
    <m/>
    <m/>
    <m/>
    <m/>
    <m/>
    <m/>
    <n v="103084163"/>
    <n v="73317350"/>
    <m/>
    <n v="29766813"/>
    <n v="0"/>
    <n v="29766813"/>
    <m/>
    <m/>
    <m/>
    <m/>
    <m/>
    <n v="0"/>
    <n v="0"/>
    <n v="0"/>
    <n v="0"/>
    <m/>
    <m/>
    <m/>
    <m/>
    <n v="0"/>
    <s v="RS"/>
  </r>
  <r>
    <n v="33"/>
    <s v="A"/>
    <s v="MULTISECTORIAL"/>
    <s v="URBANO"/>
    <s v="SOCIAL"/>
    <x v="1"/>
    <s v="OSORNO"/>
    <n v="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OSORNO"/>
    <n v="1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9472062"/>
    <n v="209472062"/>
    <n v="0"/>
    <n v="0"/>
    <n v="0"/>
    <n v="0"/>
    <n v="0"/>
    <n v="0"/>
    <n v="30866995"/>
    <n v="69416176"/>
    <n v="0"/>
    <n v="109188891"/>
    <n v="0"/>
    <n v="0"/>
    <n v="0"/>
    <m/>
    <n v="-9472062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9125238574"/>
    <n v="13864577742"/>
    <m/>
    <n v="5364187522"/>
    <n v="2414239324"/>
    <n v="2949948198"/>
    <n v="0"/>
    <n v="0"/>
    <n v="0"/>
    <n v="0"/>
    <n v="0"/>
    <n v="515745999"/>
    <n v="753655167"/>
    <n v="237199358"/>
    <n v="325836149"/>
    <n v="262457136"/>
    <n v="96501189"/>
    <n v="222844326"/>
    <m/>
    <n v="989647331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1"/>
    <s v="OSORNO"/>
    <n v="1"/>
    <s v="LIBRE"/>
    <s v="EJECUCION"/>
    <n v="30463800"/>
    <m/>
    <e v="#N/A"/>
    <s v="30463800EJECUCION"/>
    <m/>
    <s v="* REPOSICION HOSPEDERIA HOGAR DE CRISTO, OSORNO"/>
    <m/>
    <m/>
    <m/>
    <m/>
    <m/>
    <m/>
    <m/>
    <n v="4144186000"/>
    <n v="0"/>
    <m/>
    <n v="295944484"/>
    <n v="0"/>
    <n v="295944484"/>
    <n v="0"/>
    <n v="0"/>
    <n v="0"/>
    <n v="0"/>
    <n v="0"/>
    <n v="0"/>
    <n v="0"/>
    <n v="0"/>
    <n v="0"/>
    <n v="0"/>
    <n v="0"/>
    <n v="0"/>
    <m/>
    <n v="3848241516"/>
    <s v="RS"/>
  </r>
  <r>
    <n v="31"/>
    <s v="A"/>
    <s v="TRANSPORTE Y VIVIENDA"/>
    <s v="URBANO"/>
    <s v="SOCIAL"/>
    <x v="1"/>
    <s v="OSORNO"/>
    <n v="1"/>
    <s v="LIBRE"/>
    <s v="EJECUCION"/>
    <n v="30123182"/>
    <s v="G"/>
    <e v="#N/A"/>
    <s v="30123182EJECUCION"/>
    <s v="656-58-LR19"/>
    <s v="CONSTRUCCION PARQUE HOTT DE OSORNO"/>
    <s v="* CERT. CORE 206 07.19 - SE INCORPORA AL PPTO 2019 CON CARGO AL FNDR"/>
    <m/>
    <m/>
    <s v="2680 16,09,19"/>
    <n v="5554317000"/>
    <m/>
    <m/>
    <n v="557927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5079270000"/>
    <s v="RS"/>
  </r>
  <r>
    <n v="31"/>
    <s v="N"/>
    <s v="TRANSPORTE Y VIVIENDA"/>
    <s v="URBANO"/>
    <s v="SOCIAL"/>
    <x v="1"/>
    <s v="OSORNO"/>
    <n v="1"/>
    <s v="LIBRE"/>
    <s v="EJECUCION"/>
    <n v="40019022"/>
    <m/>
    <e v="#N/A"/>
    <s v="40019022EJECUCION"/>
    <m/>
    <s v="* REPOSICION VEREDAS POBLACION ANGULO, COMUNA DE OSORNO"/>
    <s v="* CERT. CORE 206 07.19 - SE INCORPORA AL PPTO 2019 CON CARGO AL FNDR / * CERT. CORE 162 05,20 CAMBIA NOMBRE "/>
    <m/>
    <m/>
    <m/>
    <m/>
    <m/>
    <m/>
    <n v="519400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4394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0242856000"/>
    <n v="0"/>
    <m/>
    <n v="875944484"/>
    <n v="0"/>
    <n v="875944484"/>
    <n v="0"/>
    <n v="0"/>
    <n v="0"/>
    <n v="0"/>
    <n v="0"/>
    <n v="0"/>
    <n v="0"/>
    <n v="0"/>
    <n v="0"/>
    <n v="0"/>
    <n v="0"/>
    <n v="0"/>
    <m/>
    <n v="936691151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OSORNO"/>
    <m/>
    <m/>
    <m/>
    <m/>
    <m/>
    <m/>
    <m/>
    <n v="39368094574"/>
    <n v="13864577742"/>
    <m/>
    <n v="6240132006"/>
    <n v="2414239324"/>
    <n v="3825892682"/>
    <n v="0"/>
    <n v="0"/>
    <n v="0"/>
    <n v="0"/>
    <n v="0"/>
    <n v="515745999"/>
    <n v="753655167"/>
    <n v="237199358"/>
    <n v="325836149"/>
    <n v="262457136"/>
    <n v="96501189"/>
    <n v="222844326"/>
    <m/>
    <n v="1926338482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OCTAY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PTO. OCTAY"/>
    <n v="2"/>
    <s v="LIBRE"/>
    <s v="DISEÑO"/>
    <n v="30412923"/>
    <m/>
    <s v="Ignacio Ortiz Martin"/>
    <s v="30412923DISEÑO"/>
    <m/>
    <s v="CONSTRUCCION POSTA SALUD EL PONCHO"/>
    <m/>
    <m/>
    <m/>
    <m/>
    <m/>
    <m/>
    <m/>
    <n v="19780000"/>
    <n v="7512000"/>
    <m/>
    <n v="12268000"/>
    <n v="0"/>
    <n v="12268000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RURAL"/>
    <s v="SOCIAL"/>
    <x v="1"/>
    <s v="PTO. OCTAY"/>
    <n v="2"/>
    <s v="FIE"/>
    <s v="EJECUCION"/>
    <n v="30478036"/>
    <m/>
    <e v="#N/A"/>
    <s v="30478036EJECUCION"/>
    <s v="739231-39-LR19"/>
    <s v="REPOSICION ESCUELA RURAL EL ISLOTE RUPANCO, PUERTO OCTAY"/>
    <s v="* CERT. CORE 247 22.08.19 - APRUEBA REINCORPORAR CON CARGO AL FNDR."/>
    <m/>
    <m/>
    <m/>
    <m/>
    <m/>
    <m/>
    <n v="1262109000"/>
    <n v="0"/>
    <m/>
    <n v="566061838"/>
    <n v="566061838"/>
    <n v="0"/>
    <n v="0"/>
    <n v="0"/>
    <n v="0"/>
    <n v="0"/>
    <n v="0"/>
    <n v="230229291"/>
    <n v="0"/>
    <n v="117327599"/>
    <n v="0"/>
    <n v="143857420"/>
    <n v="32277284"/>
    <n v="42370244"/>
    <m/>
    <n v="696047162"/>
    <s v="RS"/>
  </r>
  <r>
    <n v="29"/>
    <s v="A"/>
    <s v="MULTISECTORIAL"/>
    <s v="RURAL"/>
    <s v="SOCIAL"/>
    <x v="1"/>
    <s v="PTO. OCTAY"/>
    <n v="2"/>
    <s v="LIBRE"/>
    <s v="EJECUCION"/>
    <n v="30362030"/>
    <m/>
    <m/>
    <s v="30362030EJECUCION"/>
    <m/>
    <s v="REPOSICION CONTENEDORES PARA LA DISPOSICION DE RSD EN LA COMUNA (C33)"/>
    <m/>
    <m/>
    <m/>
    <m/>
    <m/>
    <m/>
    <m/>
    <n v="47124000"/>
    <n v="0"/>
    <m/>
    <n v="36404510"/>
    <n v="17007052"/>
    <n v="19397458"/>
    <m/>
    <m/>
    <m/>
    <m/>
    <m/>
    <n v="0"/>
    <n v="0"/>
    <n v="0"/>
    <n v="0"/>
    <n v="17007052"/>
    <n v="0"/>
    <n v="0"/>
    <m/>
    <n v="10719490"/>
    <s v="RS*"/>
  </r>
  <r>
    <n v="31"/>
    <s v="A"/>
    <s v="TRANSPORTE Y VIVIENDA"/>
    <s v="RURAL"/>
    <s v="SOCIAL"/>
    <x v="1"/>
    <s v="PTO. OCTAY"/>
    <n v="2"/>
    <s v="FAR"/>
    <s v="EJECUCION"/>
    <n v="40008506"/>
    <m/>
    <e v="#N/A"/>
    <s v="40008506EJECUCION"/>
    <s v="739231-45-LE19"/>
    <s v="* CONSERVACION 12,9 KM CAMINOS NO ENROLADOS, DIVERSOS SECTORES COMUNA PUERTO OCTAY (C33)"/>
    <s v="*CERT. CORE 281 12.09.19 - APRUEBA AUMENTO PPTO. / CERT. CORE 204 07.20 AUMENTA COSTO"/>
    <m/>
    <m/>
    <m/>
    <m/>
    <m/>
    <m/>
    <n v="525553000"/>
    <n v="0"/>
    <m/>
    <n v="522153000"/>
    <n v="441005926"/>
    <n v="81147074"/>
    <n v="0"/>
    <n v="0"/>
    <n v="0"/>
    <n v="0"/>
    <n v="0"/>
    <n v="181999954"/>
    <n v="0"/>
    <n v="76487317"/>
    <n v="53359322"/>
    <n v="127159333"/>
    <n v="2000000"/>
    <n v="0"/>
    <m/>
    <n v="3400000"/>
    <s v="RS*"/>
  </r>
  <r>
    <n v="33"/>
    <s v="A"/>
    <s v="MULTISECTORIAL"/>
    <s v="URBANO"/>
    <s v="SOCIAL"/>
    <x v="1"/>
    <s v="PTO. OCTAY"/>
    <n v="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PTO. OCTAY"/>
    <n v="2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63176346"/>
    <n v="136823654"/>
    <n v="0"/>
    <n v="0"/>
    <n v="0"/>
    <n v="0"/>
    <n v="0"/>
    <n v="0"/>
    <n v="0"/>
    <n v="0"/>
    <n v="63176346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154566000"/>
    <n v="7512000"/>
    <m/>
    <n v="1436887348"/>
    <n v="1087251162"/>
    <n v="349636186"/>
    <n v="0"/>
    <n v="0"/>
    <n v="0"/>
    <n v="0"/>
    <n v="0"/>
    <n v="412229245"/>
    <n v="0"/>
    <n v="193814916"/>
    <n v="116535668"/>
    <n v="288023805"/>
    <n v="34277284"/>
    <n v="42370244"/>
    <m/>
    <n v="71016665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RURAL"/>
    <s v="CONECTIVIDAD"/>
    <x v="1"/>
    <s v="PTO. OCTAY"/>
    <n v="2"/>
    <s v="FAR"/>
    <s v="EJECUCION"/>
    <n v="40013401"/>
    <m/>
    <s v="GLORIA DEL CARMEN QUEZADA VELASQUEZ"/>
    <s v="40013401EJECUCION"/>
    <m/>
    <s v="CONSERVACION CAMINOS NO ENROLADOS 6 SECTORES RURALES COMUNA DE PUERTO OCTAY (C33)"/>
    <s v="*CERT. CORE 281 12.09.19 - APRUEBA AUMENTO PPTO. / * ORD. 3251 27.09.19 (RS)"/>
    <m/>
    <m/>
    <s v="853 17,04,20"/>
    <n v="460788000"/>
    <m/>
    <m/>
    <n v="449112000"/>
    <n v="0"/>
    <m/>
    <n v="284568728"/>
    <n v="0"/>
    <n v="284568728"/>
    <n v="0"/>
    <n v="0"/>
    <n v="0"/>
    <n v="0"/>
    <n v="0"/>
    <n v="0"/>
    <n v="0"/>
    <n v="0"/>
    <n v="0"/>
    <n v="0"/>
    <n v="0"/>
    <n v="0"/>
    <m/>
    <n v="164543272"/>
    <s v="RS*"/>
  </r>
  <r>
    <n v="29"/>
    <s v="N"/>
    <s v="MULTISECTORIAL"/>
    <s v="URBANO"/>
    <s v="SOCIAL"/>
    <x v="1"/>
    <s v="PTO. OCTAY"/>
    <n v="2"/>
    <s v="LIBRE"/>
    <s v="EJECUCION"/>
    <n v="40018079"/>
    <m/>
    <m/>
    <s v="40018079EJECUCION"/>
    <m/>
    <s v="ADQUISICION CAMION MULTIPROPOSITO COMUNA DE PUERTO OCTAY (C33)"/>
    <m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749112000"/>
    <n v="0"/>
    <m/>
    <n v="584568728"/>
    <n v="0"/>
    <n v="584568728"/>
    <n v="0"/>
    <n v="0"/>
    <n v="0"/>
    <n v="0"/>
    <n v="0"/>
    <n v="0"/>
    <n v="0"/>
    <n v="0"/>
    <n v="0"/>
    <n v="0"/>
    <n v="0"/>
    <n v="0"/>
    <m/>
    <n v="16454327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ERTO OCTAY"/>
    <m/>
    <m/>
    <m/>
    <m/>
    <m/>
    <m/>
    <m/>
    <n v="2903678000"/>
    <n v="7512000"/>
    <m/>
    <n v="2021456076"/>
    <n v="1087251162"/>
    <n v="934204914"/>
    <n v="0"/>
    <n v="0"/>
    <n v="0"/>
    <n v="0"/>
    <n v="0"/>
    <n v="412229245"/>
    <n v="0"/>
    <n v="193814916"/>
    <n v="116535668"/>
    <n v="288023805"/>
    <n v="34277284"/>
    <n v="42370244"/>
    <m/>
    <n v="87470992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RRANQ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1"/>
    <s v="PURRANQUE"/>
    <n v="3"/>
    <s v="LIBRE"/>
    <s v="EJECUCION"/>
    <n v="30397335"/>
    <m/>
    <s v="GLORIA DEL CARMEN QUEZADA VELASQUEZ"/>
    <s v="30397335EJECUCION"/>
    <m/>
    <s v="CONSTRUCCION SERVICIO APR COLONIA PONCE, PURRANQUE"/>
    <m/>
    <m/>
    <m/>
    <m/>
    <m/>
    <m/>
    <m/>
    <n v="529939000"/>
    <n v="234367073"/>
    <m/>
    <n v="295571927"/>
    <n v="232563115"/>
    <n v="63008812"/>
    <n v="0"/>
    <n v="0"/>
    <n v="0"/>
    <n v="0"/>
    <n v="0"/>
    <n v="0"/>
    <n v="1437500"/>
    <n v="88750560"/>
    <n v="1437500"/>
    <n v="27733376"/>
    <n v="30903705"/>
    <n v="82300474"/>
    <m/>
    <n v="0"/>
    <s v="RS"/>
  </r>
  <r>
    <n v="31"/>
    <s v="A"/>
    <s v="DEPORTE"/>
    <s v="RURAL"/>
    <s v="SOCIAL"/>
    <x v="1"/>
    <s v="PURRANQUE"/>
    <n v="3"/>
    <s v="FAR"/>
    <s v="EJECUCION"/>
    <n v="30134930"/>
    <m/>
    <s v="GLORIA DEL CARMEN QUEZADA VELASQUEZ"/>
    <s v="30134930EJECUCION"/>
    <m/>
    <s v="CONSTRUCCION ESTADIO CORTE-ALTO, PURRANQUE"/>
    <m/>
    <m/>
    <m/>
    <m/>
    <m/>
    <m/>
    <m/>
    <n v="1004973000"/>
    <n v="315623727"/>
    <m/>
    <n v="549604272"/>
    <n v="450936556"/>
    <n v="98667716"/>
    <n v="0"/>
    <n v="0"/>
    <n v="0"/>
    <n v="0"/>
    <n v="0"/>
    <n v="74972489"/>
    <n v="28757605"/>
    <n v="118465254"/>
    <n v="0"/>
    <n v="125744916"/>
    <n v="102996292"/>
    <n v="0"/>
    <m/>
    <n v="139745001"/>
    <s v="RS"/>
  </r>
  <r>
    <n v="31"/>
    <s v="A"/>
    <s v="TRANSPORTE Y VIVIENDA"/>
    <s v="RURAL"/>
    <s v="SOCIAL"/>
    <x v="1"/>
    <s v="PURRANQUE"/>
    <n v="3"/>
    <s v="FAR"/>
    <s v="EJECUCION"/>
    <n v="40005410"/>
    <m/>
    <s v="GLORIA DEL CARMEN QUEZADA VELASQUEZ"/>
    <s v="40005410EJECUCION"/>
    <m/>
    <s v="CONSERVACION VEREDAS SECTOR CENTRO NORTE, COMUNA DE PURRANQUE (C33)"/>
    <m/>
    <m/>
    <m/>
    <m/>
    <m/>
    <m/>
    <m/>
    <n v="521481000"/>
    <n v="215960599"/>
    <m/>
    <n v="305520401"/>
    <n v="277529490"/>
    <n v="27990911"/>
    <n v="0"/>
    <n v="0"/>
    <n v="0"/>
    <n v="0"/>
    <n v="0"/>
    <n v="34551979"/>
    <n v="0"/>
    <n v="0"/>
    <n v="0"/>
    <n v="14219107"/>
    <n v="228758404"/>
    <n v="0"/>
    <m/>
    <n v="0"/>
    <s v="RS*"/>
  </r>
  <r>
    <n v="31"/>
    <s v="A"/>
    <s v="TRANSPORTE Y VIVIENDA"/>
    <s v="RURAL"/>
    <s v="SOCIAL"/>
    <x v="1"/>
    <s v="PURRANQUE"/>
    <n v="3"/>
    <s v="FAR"/>
    <s v="EJECUCION"/>
    <n v="40005409"/>
    <m/>
    <s v="GLORIA DEL CARMEN QUEZADA VELASQUEZ"/>
    <s v="40005409EJECUCION"/>
    <m/>
    <s v="CONSERVACION CAMINOS NO ENROLADOS COMUNA DE PURRANQUE (C33)"/>
    <m/>
    <m/>
    <m/>
    <m/>
    <m/>
    <m/>
    <m/>
    <n v="358631000"/>
    <n v="165275947"/>
    <m/>
    <n v="193355053"/>
    <n v="125059189"/>
    <n v="68295864"/>
    <n v="0"/>
    <n v="0"/>
    <n v="0"/>
    <n v="0"/>
    <n v="0"/>
    <n v="35943384"/>
    <n v="0"/>
    <n v="0"/>
    <n v="0"/>
    <n v="12234359"/>
    <n v="76881446"/>
    <n v="0"/>
    <m/>
    <n v="0"/>
    <s v="RS*"/>
  </r>
  <r>
    <n v="31"/>
    <s v="A"/>
    <s v="SALUD"/>
    <s v="RURAL"/>
    <s v="SOCIAL"/>
    <x v="1"/>
    <s v="PURRANQUE"/>
    <n v="3"/>
    <s v="LIBRE"/>
    <s v="DISEÑO"/>
    <n v="30171924"/>
    <m/>
    <s v="(en blanco)"/>
    <s v="30171924DISEÑO"/>
    <m/>
    <s v="REPOSICION POSTA RURAL COLONIA PONCE, PURRANQUE"/>
    <m/>
    <m/>
    <m/>
    <m/>
    <m/>
    <m/>
    <m/>
    <n v="21277640"/>
    <n v="16219730"/>
    <m/>
    <n v="743880"/>
    <n v="0"/>
    <n v="743880"/>
    <n v="0"/>
    <n v="0"/>
    <n v="0"/>
    <n v="0"/>
    <n v="0"/>
    <n v="0"/>
    <n v="0"/>
    <n v="0"/>
    <n v="0"/>
    <n v="0"/>
    <n v="0"/>
    <n v="0"/>
    <m/>
    <n v="4314030"/>
    <s v="RS"/>
  </r>
  <r>
    <n v="31"/>
    <s v="A"/>
    <s v="SALUD"/>
    <s v="RURAL"/>
    <s v="SOCIAL"/>
    <x v="1"/>
    <s v="PURRANQUE"/>
    <n v="3"/>
    <s v="LIBRE"/>
    <s v="DISEÑO"/>
    <n v="30171875"/>
    <m/>
    <e v="#N/A"/>
    <s v="30171875DISEÑO"/>
    <s v="3443-47-LE19"/>
    <s v="REPOSICION POSTA SALUD RURAL COLIGUAL, PURRANQUE"/>
    <m/>
    <m/>
    <m/>
    <m/>
    <m/>
    <m/>
    <m/>
    <n v="25140000"/>
    <n v="0"/>
    <m/>
    <n v="8380000"/>
    <n v="4610000"/>
    <n v="3770000"/>
    <n v="0"/>
    <n v="0"/>
    <n v="0"/>
    <n v="0"/>
    <n v="0"/>
    <n v="0"/>
    <n v="0"/>
    <n v="4610000"/>
    <n v="0"/>
    <n v="0"/>
    <n v="0"/>
    <n v="0"/>
    <m/>
    <n v="16760000"/>
    <s v="RS"/>
  </r>
  <r>
    <n v="31"/>
    <s v="A"/>
    <s v="SALUD"/>
    <s v="RURAL"/>
    <s v="SOCIAL"/>
    <x v="1"/>
    <s v="PURRANQUE"/>
    <n v="3"/>
    <s v="LIBRE"/>
    <s v="DISEÑO"/>
    <n v="30171923"/>
    <m/>
    <s v="Ignacio Ortiz Martin"/>
    <s v="30171923DISEÑO"/>
    <m/>
    <s v="REPOSICION POSTA DE SALUD RURAL HUEYUSCA, PURRANQUE"/>
    <s v="* CERT. CORE 127 05.19 - APRUEBA AUMENTO PPTO Y ACTUALIZA COSTO"/>
    <m/>
    <m/>
    <m/>
    <m/>
    <m/>
    <m/>
    <n v="19500000"/>
    <n v="7800000"/>
    <m/>
    <n v="11700000"/>
    <n v="0"/>
    <n v="11700000"/>
    <n v="0"/>
    <n v="0"/>
    <n v="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1"/>
    <s v="PURRANQUE"/>
    <n v="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PURRANQUE"/>
    <n v="3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7834777"/>
    <n v="192165223"/>
    <n v="0"/>
    <n v="0"/>
    <n v="0"/>
    <n v="0"/>
    <n v="0"/>
    <n v="0"/>
    <n v="0"/>
    <n v="6554029"/>
    <n v="1280748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780941640"/>
    <n v="955247076"/>
    <m/>
    <n v="1664875533"/>
    <n v="1098533127"/>
    <n v="566342406"/>
    <n v="0"/>
    <n v="0"/>
    <n v="0"/>
    <n v="0"/>
    <n v="0"/>
    <n v="145467852"/>
    <n v="30195105"/>
    <n v="218379843"/>
    <n v="2718248"/>
    <n v="179931758"/>
    <n v="439539847"/>
    <n v="82300474"/>
    <m/>
    <n v="16081903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PURRANQUE"/>
    <n v="3"/>
    <s v="LIBRE"/>
    <s v="DISEÑO"/>
    <n v="30068433"/>
    <m/>
    <s v="Ignacio Ortiz Martin"/>
    <s v="30068433DISEÑO"/>
    <m/>
    <s v="CONSTRUCCION POSTA RURAL MANQUEMAPU - PURRANQUE"/>
    <s v="* CERT. CORE 19 02.19 - INCORPORA ITEM CONSULTORIA. * CERT. CORE 69 04.19 - ACTUALIZA PPTO."/>
    <m/>
    <m/>
    <s v="976 15,04,19"/>
    <m/>
    <m/>
    <m/>
    <n v="20374000"/>
    <n v="0"/>
    <m/>
    <n v="6791333.3333333302"/>
    <n v="0"/>
    <n v="6791333.3333333302"/>
    <n v="0"/>
    <n v="0"/>
    <n v="0"/>
    <n v="0"/>
    <n v="0"/>
    <n v="0"/>
    <n v="0"/>
    <n v="0"/>
    <n v="0"/>
    <n v="0"/>
    <n v="0"/>
    <n v="0"/>
    <m/>
    <n v="13582666.66666667"/>
    <s v="RS"/>
  </r>
  <r>
    <n v="31"/>
    <s v="N"/>
    <s v="ENERGIA"/>
    <s v="RURAL"/>
    <s v="SOCIAL"/>
    <x v="1"/>
    <s v="PURRANQUE"/>
    <n v="3"/>
    <s v="ENERGIZACION"/>
    <s v="EJECUCION"/>
    <n v="30426825"/>
    <m/>
    <m/>
    <s v="30426825EJECUCION"/>
    <m/>
    <s v="* HABILITACION SUMINISTRO ELECTRICO SECTOR LA POZA, COMUNA PURRANQUE"/>
    <s v="* CERT. CORE 95 03.2020 - AUMENTA PPTO"/>
    <m/>
    <m/>
    <m/>
    <m/>
    <m/>
    <m/>
    <n v="153631000"/>
    <n v="0"/>
    <m/>
    <n v="15363100"/>
    <n v="0"/>
    <n v="15363100"/>
    <n v="0"/>
    <n v="0"/>
    <n v="0"/>
    <n v="0"/>
    <n v="0"/>
    <n v="0"/>
    <n v="0"/>
    <n v="0"/>
    <n v="0"/>
    <n v="0"/>
    <n v="0"/>
    <n v="0"/>
    <m/>
    <n v="138267900"/>
    <s v="RS"/>
  </r>
  <r>
    <n v="29"/>
    <s v="N"/>
    <s v="DEFENSA Y SEGURIDAD"/>
    <s v="URBANO"/>
    <s v="SOCIAL"/>
    <x v="1"/>
    <s v="PURRANQUE"/>
    <n v="3"/>
    <s v="LIBRE"/>
    <s v="EJECUCION"/>
    <n v="40005408"/>
    <m/>
    <m/>
    <s v="40005408EJECUCION"/>
    <m/>
    <s v="REPOSICION DE LUMINARIAS Y EQUIPOS DEL ALUMBRADO PUBLICO, COMUNA DE PURRANQUE (C33)"/>
    <s v="* ORD. 125 15.01.2020 (C33) - RS"/>
    <m/>
    <m/>
    <m/>
    <m/>
    <m/>
    <m/>
    <n v="516681732"/>
    <n v="0"/>
    <m/>
    <n v="72872828"/>
    <n v="0"/>
    <n v="72872828"/>
    <n v="0"/>
    <n v="0"/>
    <n v="0"/>
    <n v="0"/>
    <n v="0"/>
    <n v="0"/>
    <n v="0"/>
    <n v="0"/>
    <n v="0"/>
    <n v="0"/>
    <n v="0"/>
    <n v="0"/>
    <m/>
    <n v="443808904"/>
    <s v="RS*"/>
  </r>
  <r>
    <n v="31"/>
    <s v="N"/>
    <s v="TRANSPORTE Y VIVIENDA"/>
    <s v="URBANO"/>
    <s v="SOCIAL"/>
    <x v="1"/>
    <s v="PURRANQUE"/>
    <n v="3"/>
    <s v="LIBRE"/>
    <s v="EJECUCION"/>
    <n v="40019095"/>
    <m/>
    <m/>
    <s v="40019095EJECUCION"/>
    <m/>
    <s v="CONSERVACION VEREDAS SECTOR CENTRO SUR (C33)"/>
    <s v="* CERT. CORE 19 02.19 - INCORPORA ITEM CONSULTORIA. * CERT. CORE 69 04.19 - ACTUALIZA PPTO."/>
    <m/>
    <m/>
    <m/>
    <m/>
    <m/>
    <m/>
    <n v="694291000"/>
    <n v="0"/>
    <m/>
    <n v="67286886"/>
    <n v="0"/>
    <n v="67286886"/>
    <n v="0"/>
    <n v="0"/>
    <n v="0"/>
    <n v="0"/>
    <n v="0"/>
    <n v="0"/>
    <n v="0"/>
    <n v="0"/>
    <n v="0"/>
    <n v="0"/>
    <n v="0"/>
    <n v="0"/>
    <m/>
    <n v="627004114"/>
    <s v="RS*"/>
  </r>
  <r>
    <n v="29"/>
    <s v="N"/>
    <s v="MULTISECTORIAL"/>
    <s v="URBANO"/>
    <s v="SOCIAL"/>
    <x v="1"/>
    <s v="PURRANQUE"/>
    <n v="3"/>
    <s v="FAR"/>
    <s v="EJECUCION"/>
    <n v="40016563"/>
    <m/>
    <m/>
    <s v="40016563EJECUCION"/>
    <m/>
    <s v="** REPOSICION RETROEXCAVADORA, COMUNA PURRANQUE (C33)"/>
    <s v="* CERT. CORE 94 03.2020 - EN REEMPLAZO DEL 40019357 BUS"/>
    <m/>
    <m/>
    <m/>
    <m/>
    <m/>
    <m/>
    <n v="79135000"/>
    <n v="0"/>
    <m/>
    <n v="79135000"/>
    <n v="0"/>
    <n v="79135000"/>
    <n v="0"/>
    <n v="0"/>
    <n v="0"/>
    <n v="0"/>
    <n v="0"/>
    <n v="0"/>
    <n v="0"/>
    <n v="0"/>
    <n v="0"/>
    <n v="0"/>
    <n v="0"/>
    <n v="0"/>
    <m/>
    <n v="0"/>
    <s v="RS*"/>
  </r>
  <r>
    <n v="31"/>
    <s v="N"/>
    <s v="TRANSPORTE Y VIVIENDA"/>
    <s v="RURAL"/>
    <s v="CONECTIVIDAD"/>
    <x v="1"/>
    <s v="PURRANQUE"/>
    <n v="3"/>
    <s v="FAR"/>
    <s v="EJECUCION"/>
    <n v="40019354"/>
    <m/>
    <m/>
    <s v="40019354EJECUCION"/>
    <m/>
    <s v="CONSERVACION CAMINOS NO ENROLADOS COLONIA PONCE (C33)"/>
    <m/>
    <m/>
    <m/>
    <m/>
    <m/>
    <m/>
    <m/>
    <n v="500000000"/>
    <n v="0"/>
    <m/>
    <n v="40000000"/>
    <n v="0"/>
    <n v="40000000"/>
    <n v="0"/>
    <n v="0"/>
    <n v="0"/>
    <n v="0"/>
    <n v="0"/>
    <n v="0"/>
    <n v="0"/>
    <n v="0"/>
    <n v="0"/>
    <n v="0"/>
    <n v="0"/>
    <n v="0"/>
    <m/>
    <n v="460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964112732"/>
    <n v="0"/>
    <m/>
    <n v="281449147.33333331"/>
    <n v="0"/>
    <n v="281449147.33333331"/>
    <n v="0"/>
    <n v="0"/>
    <n v="0"/>
    <n v="0"/>
    <n v="0"/>
    <n v="0"/>
    <n v="0"/>
    <n v="0"/>
    <n v="0"/>
    <n v="0"/>
    <n v="0"/>
    <n v="0"/>
    <m/>
    <n v="1682663584.666666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RRANQUE"/>
    <m/>
    <m/>
    <m/>
    <m/>
    <m/>
    <m/>
    <m/>
    <n v="4745054372"/>
    <n v="955247076"/>
    <m/>
    <n v="1946324680.3333333"/>
    <n v="1098533127"/>
    <n v="847791553.33333325"/>
    <n v="0"/>
    <n v="0"/>
    <n v="0"/>
    <n v="0"/>
    <n v="0"/>
    <n v="145467852"/>
    <n v="30195105"/>
    <n v="218379843"/>
    <n v="2718248"/>
    <n v="179931758"/>
    <n v="439539847"/>
    <n v="82300474"/>
    <m/>
    <n v="1843482615.666666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YE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CONECTIVIDAD"/>
    <x v="1"/>
    <s v="PUYEHUE"/>
    <n v="4"/>
    <s v="FAR"/>
    <s v="EJECUCION"/>
    <n v="40001354"/>
    <m/>
    <e v="#N/A"/>
    <s v="40001354EJECUCION"/>
    <m/>
    <s v="** REPOSICION DE CAMION TOLVA Y ADQUISICION DE CAMION Y MINICARGADOR (C33)"/>
    <s v="* / * CERT. CORE 19 01.20 - INCORPORAR INICIATIVA FNDR 2020"/>
    <m/>
    <m/>
    <m/>
    <m/>
    <m/>
    <m/>
    <n v="243145000"/>
    <n v="44350881"/>
    <m/>
    <n v="198794119"/>
    <n v="176765456"/>
    <n v="22028663"/>
    <n v="0"/>
    <n v="0"/>
    <n v="0"/>
    <n v="0"/>
    <n v="0"/>
    <n v="0"/>
    <n v="0"/>
    <n v="176765456"/>
    <n v="0"/>
    <n v="0"/>
    <n v="0"/>
    <n v="0"/>
    <m/>
    <n v="0"/>
    <s v="RS*"/>
  </r>
  <r>
    <n v="31"/>
    <s v="A"/>
    <s v="EDUCACIÓN Y CULTURA"/>
    <s v="RURAL"/>
    <s v="SOCIAL"/>
    <x v="1"/>
    <s v="PUYEHUE"/>
    <n v="4"/>
    <s v="LIBRE"/>
    <s v="EJECUCION"/>
    <n v="30067012"/>
    <m/>
    <s v="Ignacio Ortiz Martin"/>
    <s v="30067012EJECUCION"/>
    <m/>
    <s v="** REPOSICION PARCIAL LICEO LAS AMERICAS ENTRE LAGOS"/>
    <s v="* CERT. CORE 118 ABRIL 2020 INCORPORA SALDO"/>
    <m/>
    <m/>
    <m/>
    <m/>
    <m/>
    <m/>
    <n v="3101704930"/>
    <n v="3070834107"/>
    <m/>
    <n v="2820514"/>
    <n v="2820514"/>
    <n v="0"/>
    <m/>
    <m/>
    <m/>
    <m/>
    <m/>
    <n v="0"/>
    <n v="678300"/>
    <n v="2142214"/>
    <n v="0"/>
    <m/>
    <m/>
    <m/>
    <m/>
    <n v="28050309"/>
    <s v="IN"/>
  </r>
  <r>
    <n v="29"/>
    <s v="A"/>
    <s v="TRANSPORTE Y VIVIENDA"/>
    <s v="URBANO"/>
    <s v="SOCIAL"/>
    <x v="1"/>
    <s v="PUYEHUE"/>
    <n v="4"/>
    <s v="LIBRE"/>
    <s v="EJECUCION"/>
    <n v="40018376"/>
    <m/>
    <e v="#N/A"/>
    <s v="40018376EJECUCION"/>
    <s v="2885-5-LP20"/>
    <s v="ADQUISICION CAMION LIMPIA FOSAS, COMUNA DE PUYEHUE (C33)"/>
    <s v="* CERT. CORE 383 21.11.19 - APRUEBA ADQ. CON CARGO FNDR"/>
    <m/>
    <n v="94626000"/>
    <s v="4224 27,11,19"/>
    <n v="94626000"/>
    <m/>
    <m/>
    <n v="94625230"/>
    <n v="0"/>
    <m/>
    <n v="94625230"/>
    <n v="94625230"/>
    <n v="0"/>
    <n v="0"/>
    <n v="0"/>
    <n v="0"/>
    <n v="0"/>
    <n v="0"/>
    <n v="94625230"/>
    <n v="0"/>
    <n v="0"/>
    <n v="0"/>
    <n v="0"/>
    <n v="0"/>
    <n v="0"/>
    <m/>
    <n v="0"/>
    <s v="RS*"/>
  </r>
  <r>
    <n v="33"/>
    <s v="A"/>
    <s v="MULTISECTORIAL"/>
    <s v="URBANO"/>
    <s v="SOCIAL"/>
    <x v="1"/>
    <s v="PUYEHUE"/>
    <n v="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PUYEHUE"/>
    <n v="4"/>
    <s v="FRIL"/>
    <s v="EJECUCION"/>
    <s v="FRIL"/>
    <m/>
    <m/>
    <s v="FRILEJECUCION"/>
    <m/>
    <s v="FONDO REGIONAL DE INICIATIVAS LOCAL - ANEXO PAGINA 2"/>
    <m/>
    <m/>
    <m/>
    <m/>
    <m/>
    <m/>
    <m/>
    <n v="200000000"/>
    <n v="0"/>
    <m/>
    <n v="200000000"/>
    <n v="109473218"/>
    <n v="90526782"/>
    <n v="0"/>
    <n v="0"/>
    <n v="0"/>
    <n v="0"/>
    <n v="0"/>
    <n v="0"/>
    <n v="54869950"/>
    <n v="0"/>
    <n v="24692135"/>
    <n v="0"/>
    <n v="29911133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739475160"/>
    <n v="3115184988"/>
    <m/>
    <n v="596239863"/>
    <n v="383684418"/>
    <n v="212555445"/>
    <n v="0"/>
    <n v="0"/>
    <n v="0"/>
    <n v="0"/>
    <n v="0"/>
    <n v="94625230"/>
    <n v="55548250"/>
    <n v="178907670"/>
    <n v="24692135"/>
    <n v="0"/>
    <n v="29911133"/>
    <n v="0"/>
    <m/>
    <n v="2805030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CONECTIVIDAD"/>
    <x v="1"/>
    <s v="PUYEHUE"/>
    <n v="4"/>
    <s v="LIBRE"/>
    <s v="EJECUCION"/>
    <n v="40015603"/>
    <m/>
    <m/>
    <s v="40015603EJECUCION"/>
    <s v="1515-8-LQ20"/>
    <s v="HABILITACION ESTRUCTURA MODULAR MAQUINA RX CF CARDENAL SAMORE, PUYEHUE"/>
    <s v="* CERT. CORE 422 18.12.19 - APRUEBA INICIATIVA ETAPA EJECUCION "/>
    <m/>
    <n v="105695000"/>
    <s v="514 13,02,20"/>
    <n v="103016000"/>
    <m/>
    <m/>
    <n v="103016000"/>
    <n v="0"/>
    <m/>
    <n v="103016000"/>
    <n v="0"/>
    <n v="103016000"/>
    <n v="0"/>
    <n v="0"/>
    <n v="0"/>
    <n v="0"/>
    <n v="0"/>
    <n v="0"/>
    <n v="0"/>
    <n v="0"/>
    <n v="0"/>
    <n v="0"/>
    <n v="0"/>
    <n v="0"/>
    <m/>
    <n v="0"/>
    <s v="RS"/>
  </r>
  <r>
    <n v="31"/>
    <s v="A"/>
    <s v="SALUD"/>
    <s v="RURAL"/>
    <s v="SALUD"/>
    <x v="1"/>
    <s v="PUYEHUE"/>
    <n v="4"/>
    <s v="LIBRE"/>
    <s v="DISEÑO"/>
    <n v="40007052"/>
    <m/>
    <e v="#N/A"/>
    <s v="40007052DISEÑO"/>
    <s v="1077241-3-LE20"/>
    <s v="REPOSICION CECOSF EL ENCANTO, COMUNA DE PUYEHUE"/>
    <s v="* CERT. CORE 305 26.09.19 - APRUEBA ETAPA DISEÑO CON CARGO FNDR"/>
    <m/>
    <m/>
    <s v="4145 22,11,19 ssosorno"/>
    <n v="26527000"/>
    <m/>
    <m/>
    <n v="26527000"/>
    <n v="0"/>
    <m/>
    <n v="13250770"/>
    <n v="0"/>
    <n v="13250770"/>
    <n v="0"/>
    <n v="0"/>
    <n v="0"/>
    <n v="0"/>
    <n v="0"/>
    <n v="0"/>
    <n v="0"/>
    <n v="0"/>
    <n v="0"/>
    <n v="0"/>
    <n v="0"/>
    <n v="0"/>
    <m/>
    <n v="1327623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29543000"/>
    <n v="0"/>
    <m/>
    <n v="116266770"/>
    <n v="0"/>
    <n v="116266770"/>
    <n v="0"/>
    <n v="0"/>
    <n v="0"/>
    <n v="0"/>
    <n v="0"/>
    <n v="0"/>
    <n v="0"/>
    <n v="0"/>
    <n v="0"/>
    <n v="0"/>
    <n v="0"/>
    <n v="0"/>
    <m/>
    <n v="1327623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YEHUE"/>
    <m/>
    <m/>
    <m/>
    <m/>
    <m/>
    <m/>
    <m/>
    <n v="3869018160"/>
    <n v="3115184988"/>
    <m/>
    <n v="712506633"/>
    <n v="383684418"/>
    <n v="328822215"/>
    <n v="0"/>
    <n v="0"/>
    <n v="0"/>
    <n v="0"/>
    <n v="0"/>
    <n v="94625230"/>
    <n v="55548250"/>
    <n v="178907670"/>
    <n v="24692135"/>
    <n v="0"/>
    <n v="29911133"/>
    <n v="0"/>
    <m/>
    <n v="4132653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RIO NEGR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s v="RIO NEGRO"/>
    <n v="5"/>
    <s v="LIBRE"/>
    <s v="DISEÑO"/>
    <n v="30088194"/>
    <m/>
    <s v="Ignacio Ortiz Martin"/>
    <s v="30088194DISEÑO"/>
    <m/>
    <s v="REPOSICION ESCUELA ANDREW JACKSON RIO NEGRO"/>
    <m/>
    <m/>
    <m/>
    <m/>
    <m/>
    <m/>
    <m/>
    <n v="168868000"/>
    <n v="112337477"/>
    <m/>
    <n v="56530523"/>
    <n v="42216590"/>
    <n v="14313933"/>
    <n v="0"/>
    <n v="0"/>
    <n v="0"/>
    <n v="0"/>
    <n v="0"/>
    <n v="0"/>
    <n v="0"/>
    <n v="42216590"/>
    <n v="0"/>
    <n v="0"/>
    <n v="0"/>
    <n v="0"/>
    <m/>
    <n v="0"/>
    <s v="RS"/>
  </r>
  <r>
    <n v="31"/>
    <s v="A"/>
    <s v="MULTISECTORIAL"/>
    <s v="URBANO"/>
    <s v="SOCIAL"/>
    <x v="1"/>
    <s v="RIO NEGRO"/>
    <n v="5"/>
    <s v="FAR"/>
    <s v="EJECUCION"/>
    <n v="30284622"/>
    <m/>
    <e v="#N/A"/>
    <s v="30284622EJECUCION"/>
    <s v="450-134-LR19"/>
    <s v="REPOSICION PLAZA DE ARMAS RIO NEGRO"/>
    <m/>
    <m/>
    <m/>
    <m/>
    <m/>
    <m/>
    <m/>
    <n v="692739000"/>
    <n v="0"/>
    <m/>
    <n v="673567593"/>
    <n v="666417182"/>
    <n v="7150411"/>
    <n v="0"/>
    <n v="0"/>
    <n v="0"/>
    <n v="0"/>
    <n v="0"/>
    <n v="1714285"/>
    <n v="1714285"/>
    <n v="113353943"/>
    <n v="245651400"/>
    <n v="181100621"/>
    <n v="122882648"/>
    <n v="0"/>
    <m/>
    <n v="19171407"/>
    <s v="RS"/>
  </r>
  <r>
    <n v="33"/>
    <s v="A"/>
    <s v="MULTISECTORIAL"/>
    <s v="URBANO"/>
    <s v="SOCIAL"/>
    <x v="1"/>
    <s v="RIO NEGRO"/>
    <n v="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RIO NEGRO"/>
    <n v="5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79859710"/>
    <n v="20140290"/>
    <n v="0"/>
    <n v="0"/>
    <n v="0"/>
    <n v="0"/>
    <n v="0"/>
    <n v="24259524"/>
    <n v="44987754"/>
    <n v="0"/>
    <n v="0"/>
    <n v="110612432"/>
    <n v="0"/>
    <n v="0"/>
    <m/>
    <n v="0"/>
    <s v="RS**"/>
  </r>
  <r>
    <n v="31"/>
    <s v="A"/>
    <s v="MULTISECTORIAL"/>
    <s v="URBANO"/>
    <s v="SOCIAL"/>
    <x v="1"/>
    <s v="RIO NEGRO"/>
    <n v="5"/>
    <s v="LIBRE"/>
    <s v="EJECUCION"/>
    <n v="30102235"/>
    <m/>
    <m/>
    <m/>
    <m/>
    <s v="CONSERVACION GIMNASIO FISCAL RIO NEGRO (C33)"/>
    <s v="* CERT. CORE 203 07.20 - ACTUALIZA COSTO"/>
    <m/>
    <m/>
    <m/>
    <m/>
    <m/>
    <m/>
    <n v="397780901"/>
    <n v="352822901"/>
    <m/>
    <n v="36093304"/>
    <n v="0"/>
    <n v="36093304"/>
    <m/>
    <m/>
    <m/>
    <m/>
    <m/>
    <n v="0"/>
    <m/>
    <m/>
    <m/>
    <m/>
    <m/>
    <m/>
    <m/>
    <n v="8864696"/>
    <s v="RS*"/>
  </r>
  <r>
    <n v="29"/>
    <s v="N"/>
    <s v="TRANSPORTE Y VIVIENDA"/>
    <s v="RURAL"/>
    <s v="CONECTIVIDAD"/>
    <x v="1"/>
    <s v="RIO NEGRO"/>
    <n v="5"/>
    <s v="FAR"/>
    <s v="EJECUCION"/>
    <n v="40008792"/>
    <m/>
    <m/>
    <s v="40008792EJECUCION"/>
    <m/>
    <s v="REPOSICION VEHICULOS Y MAQUINARIAS Y ADQUISICION DE EXCAVADORA (C33)"/>
    <m/>
    <m/>
    <m/>
    <m/>
    <m/>
    <m/>
    <m/>
    <n v="447872986"/>
    <n v="44787298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007260887"/>
    <n v="913033364"/>
    <m/>
    <n v="1066191420"/>
    <n v="888493482"/>
    <n v="177697938"/>
    <n v="0"/>
    <n v="0"/>
    <n v="0"/>
    <n v="0"/>
    <n v="0"/>
    <n v="25973809"/>
    <n v="46702039"/>
    <n v="155570533"/>
    <n v="245651400"/>
    <n v="291713053"/>
    <n v="122882648"/>
    <n v="0"/>
    <m/>
    <n v="1917140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1"/>
    <s v="RIO NEGRO"/>
    <n v="5"/>
    <s v="LIBRE"/>
    <s v="DISEÑO"/>
    <n v="40010103"/>
    <m/>
    <m/>
    <s v="40010103DISEÑO"/>
    <m/>
    <s v="CONSTRUCCION CECOSF CHIFIN"/>
    <m/>
    <m/>
    <m/>
    <s v="1075 11,05,20"/>
    <n v="28497000"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4340000"/>
    <n v="0"/>
    <m/>
    <n v="5000000"/>
    <n v="0"/>
    <n v="5000000"/>
    <n v="0"/>
    <n v="0"/>
    <n v="0"/>
    <n v="0"/>
    <n v="0"/>
    <n v="0"/>
    <n v="0"/>
    <n v="0"/>
    <n v="0"/>
    <n v="0"/>
    <n v="0"/>
    <n v="0"/>
    <m/>
    <n v="2934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RIO NEGRO"/>
    <m/>
    <m/>
    <m/>
    <m/>
    <m/>
    <m/>
    <m/>
    <n v="2041600887"/>
    <n v="913033364"/>
    <m/>
    <n v="1071191420"/>
    <n v="888493482"/>
    <n v="182697938"/>
    <n v="0"/>
    <n v="0"/>
    <n v="0"/>
    <n v="0"/>
    <n v="0"/>
    <n v="25973809"/>
    <n v="46702039"/>
    <n v="155570533"/>
    <n v="245651400"/>
    <n v="291713053"/>
    <n v="122882648"/>
    <n v="0"/>
    <m/>
    <n v="5737610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SAN JUAN DE LA COST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1"/>
    <s v="SAN JUAN DE LA COSTA"/>
    <n v="6"/>
    <s v="FIE"/>
    <s v="EJECUCION"/>
    <n v="30110580"/>
    <m/>
    <s v="Ignacio Ortiz Martin"/>
    <s v="30110580EJECUCION"/>
    <m/>
    <s v="REPOSICION LICEO INTERNADO ANTULAFKEN PUAUCHO"/>
    <m/>
    <m/>
    <m/>
    <m/>
    <m/>
    <m/>
    <m/>
    <n v="3406943000"/>
    <n v="3059398659"/>
    <m/>
    <n v="288197803"/>
    <n v="145505558"/>
    <n v="142692245"/>
    <n v="0"/>
    <n v="0"/>
    <n v="0"/>
    <n v="0"/>
    <n v="0"/>
    <n v="0"/>
    <n v="0"/>
    <n v="142672223"/>
    <n v="0"/>
    <n v="0"/>
    <n v="0"/>
    <n v="2833335"/>
    <m/>
    <n v="59346538"/>
    <s v="RE"/>
  </r>
  <r>
    <n v="31"/>
    <s v="N"/>
    <s v="ENERGIA"/>
    <s v="RURAL"/>
    <s v="SOCIAL"/>
    <x v="1"/>
    <s v="SAN JUAN DE LA COSTA"/>
    <n v="6"/>
    <s v="ENERGIZACION"/>
    <s v="EJECUCION"/>
    <n v="30124368"/>
    <m/>
    <m/>
    <s v="30124368EJECUCION"/>
    <m/>
    <s v="HABILITACION SUMINISTRO ENERGIA ELECTRICA, SECTOR ALEUCAPI"/>
    <m/>
    <m/>
    <m/>
    <m/>
    <m/>
    <m/>
    <m/>
    <n v="320930000"/>
    <n v="0"/>
    <m/>
    <n v="305630000"/>
    <n v="305630000"/>
    <n v="0"/>
    <n v="0"/>
    <n v="0"/>
    <n v="0"/>
    <n v="0"/>
    <n v="0"/>
    <n v="0"/>
    <n v="0"/>
    <n v="305630000"/>
    <n v="0"/>
    <n v="0"/>
    <n v="0"/>
    <n v="0"/>
    <m/>
    <n v="15300000"/>
    <s v="RS"/>
  </r>
  <r>
    <n v="31"/>
    <s v="A"/>
    <s v="SALUD"/>
    <s v="RURAL"/>
    <s v="SOCIAL"/>
    <x v="1"/>
    <s v="SAN JUAN DE LA COSTA"/>
    <n v="6"/>
    <s v="LIBRE"/>
    <s v="EJECUCION"/>
    <n v="30071878"/>
    <s v="SALUD"/>
    <s v="GLORIA DEL CARMEN QUEZADA VELASQUEZ"/>
    <s v="30071878EJECUCION"/>
    <m/>
    <s v="REPOSICION CONSULTORIO DE SALUD RURAL BAHIA MANSA"/>
    <m/>
    <m/>
    <m/>
    <m/>
    <m/>
    <m/>
    <m/>
    <n v="2587228000"/>
    <n v="0"/>
    <m/>
    <n v="364048000"/>
    <n v="26644784"/>
    <n v="337403216"/>
    <n v="0"/>
    <n v="0"/>
    <n v="0"/>
    <n v="0"/>
    <n v="0"/>
    <n v="0"/>
    <n v="12994362"/>
    <n v="0"/>
    <n v="901728"/>
    <n v="12748694"/>
    <n v="0"/>
    <n v="0"/>
    <m/>
    <n v="2223180000"/>
    <s v="RS"/>
  </r>
  <r>
    <n v="33"/>
    <s v="A"/>
    <s v="MULTISECTORIAL"/>
    <s v="URBANO"/>
    <s v="SOCIAL"/>
    <x v="1"/>
    <s v="SAN JUAN DE LA COSTA"/>
    <n v="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SAN JUAN DE LA COSTA"/>
    <n v="6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119980911"/>
    <n v="80019089"/>
    <n v="0"/>
    <n v="0"/>
    <n v="0"/>
    <n v="0"/>
    <n v="0"/>
    <n v="7574094"/>
    <n v="23293344"/>
    <n v="0"/>
    <n v="62159365"/>
    <n v="0"/>
    <n v="26954108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SAN JUAN DE LA COSTA"/>
    <m/>
    <m/>
    <m/>
    <m/>
    <m/>
    <m/>
    <m/>
    <n v="6615101000"/>
    <n v="3059398659"/>
    <m/>
    <n v="1257875803"/>
    <n v="597761253"/>
    <n v="660114550"/>
    <n v="0"/>
    <n v="0"/>
    <n v="0"/>
    <n v="0"/>
    <n v="0"/>
    <n v="7574094"/>
    <n v="36287706"/>
    <n v="448302223"/>
    <n v="63061093"/>
    <n v="12748694"/>
    <n v="26954108"/>
    <n v="2833335"/>
    <m/>
    <n v="229782653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SAN PABL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1"/>
    <s v="SAN PABLO"/>
    <n v="7"/>
    <s v="LIBRE"/>
    <s v="DISEÑO"/>
    <n v="30405773"/>
    <m/>
    <s v="GLORIA DEL CARMEN QUEZADA VELASQUEZ"/>
    <s v="30405773DISEÑO"/>
    <m/>
    <s v="REPOSICION POSTA RURAL LA POZA, COMUNA DE SAN PABLO"/>
    <m/>
    <m/>
    <m/>
    <m/>
    <m/>
    <m/>
    <m/>
    <n v="24900000"/>
    <n v="6679000"/>
    <m/>
    <n v="17947699"/>
    <n v="5050500"/>
    <n v="12897199"/>
    <n v="0"/>
    <n v="0"/>
    <n v="0"/>
    <n v="0"/>
    <n v="0"/>
    <n v="0"/>
    <n v="5050500"/>
    <n v="0"/>
    <n v="0"/>
    <n v="0"/>
    <n v="0"/>
    <n v="0"/>
    <m/>
    <n v="273301"/>
    <s v="RS"/>
  </r>
  <r>
    <n v="29"/>
    <s v="A"/>
    <s v="EDUCACIÓN Y CULTURA"/>
    <s v="URBANO"/>
    <s v="SOCIAL"/>
    <x v="1"/>
    <s v="SAN PABLO"/>
    <n v="7"/>
    <s v="FIE"/>
    <s v="EJECUCION"/>
    <n v="40000985"/>
    <m/>
    <s v="GLORIA DEL CARMEN QUEZADA VELASQUEZ"/>
    <s v="40000985EJECUCION"/>
    <m/>
    <s v="ADQUISICION EQUIPAMIENTO EDUCATIVO PARA ESTABLECIMIENTOS DE ENSEÑANZA BASICA PRIMER CICLO (C33)"/>
    <s v="* CERT. CORE 254 22.08.19 - APRUEBA INCORPORAR CON CARGO AL FNDR"/>
    <m/>
    <m/>
    <m/>
    <m/>
    <m/>
    <m/>
    <n v="300881000"/>
    <n v="137471258"/>
    <m/>
    <n v="163409014"/>
    <n v="163408107"/>
    <n v="907"/>
    <n v="0"/>
    <n v="0"/>
    <n v="0"/>
    <n v="0"/>
    <n v="0"/>
    <n v="0"/>
    <n v="0"/>
    <n v="0"/>
    <n v="105255061"/>
    <n v="58153046"/>
    <n v="0"/>
    <n v="0"/>
    <m/>
    <n v="728"/>
    <s v="RS*"/>
  </r>
  <r>
    <n v="29"/>
    <s v="N"/>
    <s v="SALUD"/>
    <s v="URBANO"/>
    <s v="SOCIAL"/>
    <x v="1"/>
    <s v="SAN PABLO"/>
    <n v="7"/>
    <s v="FAR"/>
    <s v="EJECUCION"/>
    <n v="40012048"/>
    <m/>
    <m/>
    <s v="40012048EJECUCION"/>
    <s v="2943-3-LE20"/>
    <s v="MINIBUS PARA EL TRASLADO DE PACIENTES DIALIZADOS, CESFAM  (C33) "/>
    <s v="* ORD. 3196 13.09.2019 RS"/>
    <m/>
    <m/>
    <m/>
    <m/>
    <m/>
    <m/>
    <n v="40500001"/>
    <n v="0"/>
    <m/>
    <n v="40500001"/>
    <n v="40500001"/>
    <n v="0"/>
    <n v="0"/>
    <n v="0"/>
    <n v="0"/>
    <n v="0"/>
    <n v="0"/>
    <n v="0"/>
    <n v="0"/>
    <n v="40500001"/>
    <n v="0"/>
    <n v="0"/>
    <n v="0"/>
    <n v="0"/>
    <m/>
    <n v="0"/>
    <s v="RS*"/>
  </r>
  <r>
    <n v="29"/>
    <s v="N"/>
    <s v="MULTISECTORIAL"/>
    <s v="URBANO"/>
    <s v="SOCIAL"/>
    <x v="1"/>
    <s v="SAN PABLO"/>
    <n v="7"/>
    <s v="LIBRE"/>
    <s v="EJECUCION"/>
    <n v="40013525"/>
    <m/>
    <m/>
    <s v="40013525EJECUCION"/>
    <s v="2943-5-LP20"/>
    <s v="ADQUISICION CAMION COMPACTADOR RSD (C33)"/>
    <s v="* ORD. 4008 09.12.2019 RS"/>
    <m/>
    <m/>
    <m/>
    <m/>
    <m/>
    <m/>
    <n v="89690300"/>
    <n v="0"/>
    <m/>
    <n v="89690300"/>
    <n v="89690300"/>
    <n v="0"/>
    <n v="0"/>
    <n v="0"/>
    <n v="0"/>
    <n v="0"/>
    <n v="0"/>
    <n v="89690300"/>
    <n v="0"/>
    <n v="0"/>
    <n v="0"/>
    <n v="0"/>
    <n v="0"/>
    <n v="0"/>
    <m/>
    <n v="0"/>
    <s v="RS*"/>
  </r>
  <r>
    <n v="33"/>
    <s v="A"/>
    <s v="MULTISECTORIAL"/>
    <s v="URBANO"/>
    <s v="SOCIAL"/>
    <x v="1"/>
    <s v="SAN PABLO"/>
    <n v="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1"/>
    <s v="SAN PABLO"/>
    <n v="7"/>
    <s v="FRIL"/>
    <s v="EJECUCION"/>
    <s v="FRIL"/>
    <m/>
    <m/>
    <s v="FRILEJECUCION"/>
    <m/>
    <s v="FONDO REGIONAL DE INICIATIVAS LOCAL - ANEXO PAGINA 3"/>
    <m/>
    <m/>
    <m/>
    <m/>
    <m/>
    <m/>
    <m/>
    <n v="200000000"/>
    <n v="0"/>
    <m/>
    <n v="200000000"/>
    <n v="80049584"/>
    <n v="119950416"/>
    <n v="0"/>
    <n v="0"/>
    <n v="0"/>
    <n v="0"/>
    <n v="0"/>
    <n v="0"/>
    <n v="0"/>
    <n v="3706026"/>
    <n v="44076261"/>
    <n v="0"/>
    <n v="32267297"/>
    <n v="0"/>
    <m/>
    <n v="0"/>
    <s v="RS**"/>
  </r>
  <r>
    <n v="31"/>
    <s v="N"/>
    <s v="TRANSPORTE Y VIVIENDA"/>
    <s v="URBANO"/>
    <s v="CONECTIVIDAD"/>
    <x v="1"/>
    <s v="SAN PABLO"/>
    <n v="7"/>
    <s v="FAR"/>
    <s v="EJECUCION"/>
    <n v="30247072"/>
    <m/>
    <m/>
    <s v="30247072EJECUCION"/>
    <m/>
    <s v="MEJORAMIENTO ACCESO NORTE A SAN PABLO"/>
    <m/>
    <m/>
    <m/>
    <m/>
    <m/>
    <m/>
    <m/>
    <n v="14960000"/>
    <n v="1496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770931301"/>
    <n v="159110258"/>
    <m/>
    <n v="611547014"/>
    <n v="378698492"/>
    <n v="232848522"/>
    <n v="0"/>
    <n v="0"/>
    <n v="0"/>
    <n v="0"/>
    <n v="0"/>
    <n v="89690300"/>
    <n v="5050500"/>
    <n v="44206027"/>
    <n v="149331322"/>
    <n v="58153046"/>
    <n v="32267297"/>
    <n v="0"/>
    <m/>
    <n v="27402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EDUCACIÓN Y CULTURA"/>
    <s v="URBANO"/>
    <s v="SOCIAL"/>
    <x v="1"/>
    <s v="SAN PABLO"/>
    <n v="7"/>
    <s v="FIE"/>
    <s v="EJECUCION"/>
    <n v="40000986"/>
    <m/>
    <e v="#N/A"/>
    <s v="40000986EJECUCION"/>
    <s v="2943-24-LQ19 / 2943-26-LQ19"/>
    <s v="ADQUISICION EQUIPOS Y EQUIPAMIENTOS PARA ESTABLECIMIENTOS EDUCACIÓN BÁSICA 2DO CICLO (C33)"/>
    <s v="* CERT. CORE 306 26.09.19 - APRUEBA INCORPORAR CON CARGO AL FNDR"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99605000"/>
    <n v="0"/>
    <m/>
    <n v="299605000"/>
    <n v="0"/>
    <n v="299605000"/>
    <n v="0"/>
    <n v="0"/>
    <n v="0"/>
    <n v="0"/>
    <n v="0"/>
    <n v="0"/>
    <n v="0"/>
    <n v="0"/>
    <n v="0"/>
    <n v="0"/>
    <n v="0"/>
    <n v="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SAN PABLO"/>
    <m/>
    <m/>
    <m/>
    <m/>
    <m/>
    <m/>
    <m/>
    <n v="1070536301"/>
    <n v="159110258"/>
    <m/>
    <n v="911152014"/>
    <n v="378698492"/>
    <n v="532453522"/>
    <n v="0"/>
    <n v="0"/>
    <n v="0"/>
    <n v="0"/>
    <n v="0"/>
    <n v="89690300"/>
    <n v="5050500"/>
    <n v="44206027"/>
    <n v="149331322"/>
    <n v="58153046"/>
    <n v="32267297"/>
    <n v="0"/>
    <m/>
    <n v="27402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1"/>
    <s v="PROV. OSORNO"/>
    <n v="8"/>
    <s v="LIBRE"/>
    <s v="EJECUCION"/>
    <n v="30086815"/>
    <s v="G"/>
    <s v="KARIN DEL CARMEN BARRIENTOS WINTER"/>
    <s v="30086815EJECUCION"/>
    <m/>
    <s v="CONSTRUCCION  RELLENO SANITARIO PROV. DE OSORNO"/>
    <m/>
    <m/>
    <m/>
    <m/>
    <m/>
    <m/>
    <m/>
    <n v="15318985549"/>
    <n v="4736606083"/>
    <m/>
    <n v="25158315"/>
    <n v="0"/>
    <n v="25158315"/>
    <n v="0"/>
    <n v="0"/>
    <n v="0"/>
    <n v="0"/>
    <n v="0"/>
    <n v="0"/>
    <n v="0"/>
    <n v="0"/>
    <n v="0"/>
    <n v="0"/>
    <n v="0"/>
    <n v="0"/>
    <m/>
    <n v="10557221151"/>
    <s v="RS"/>
  </r>
  <r>
    <n v="31"/>
    <s v="A"/>
    <s v="TRANSPORTE Y VIVIENDA"/>
    <s v="RURAL"/>
    <s v="CONECTIVIDAD"/>
    <x v="1"/>
    <s v="PROV. OSORNO"/>
    <n v="8"/>
    <s v="FAR"/>
    <s v="EJECUCION"/>
    <n v="40001554"/>
    <m/>
    <e v="#N/A"/>
    <s v="40001554EJECUCION"/>
    <m/>
    <s v="CONSERVACION DE CAMINOS DE ACC. COMUN. INDIGENAS PUYEHUE, RIO NEGRO Y PURRANQUE (C33)"/>
    <m/>
    <m/>
    <m/>
    <m/>
    <m/>
    <m/>
    <m/>
    <n v="271000000"/>
    <n v="45085404"/>
    <m/>
    <n v="170017735"/>
    <n v="119701022"/>
    <n v="50316713"/>
    <n v="0"/>
    <n v="0"/>
    <n v="0"/>
    <n v="0"/>
    <n v="0"/>
    <n v="0"/>
    <n v="0"/>
    <n v="16290216"/>
    <n v="0"/>
    <n v="16999179"/>
    <n v="86411627"/>
    <n v="0"/>
    <m/>
    <n v="55896861"/>
    <s v="RS*"/>
  </r>
  <r>
    <n v="31"/>
    <s v="A"/>
    <s v="SALUD"/>
    <s v="URBANO"/>
    <s v="SOCIAL"/>
    <x v="1"/>
    <s v="PROV. OSORNO"/>
    <n v="8"/>
    <s v="LIBRE"/>
    <s v="EJECUCION"/>
    <n v="30126279"/>
    <s v="SALUD"/>
    <s v="GLORIA DEL CARMEN QUEZADA VELASQUEZ"/>
    <s v="30126279EJECUCION"/>
    <m/>
    <s v="REPOSICION CENTRO COMUNITARIO SALUD MENTAL OSORNO"/>
    <s v="* CERT. CORE 89 04.19 - AUMENTO PPTO E ITEM OBRAS CIVILES * CERT. CORE 277 12.09.19 - AUMENTA PPTO"/>
    <m/>
    <m/>
    <m/>
    <m/>
    <m/>
    <m/>
    <n v="1947625000"/>
    <n v="1881774366"/>
    <m/>
    <n v="65678971"/>
    <n v="60826407"/>
    <n v="4852564"/>
    <n v="0"/>
    <n v="0"/>
    <n v="0"/>
    <n v="0"/>
    <n v="0"/>
    <n v="0"/>
    <n v="1868167"/>
    <n v="33075410"/>
    <n v="0"/>
    <n v="25882830"/>
    <n v="0"/>
    <n v="0"/>
    <m/>
    <n v="171663"/>
    <s v="RS"/>
  </r>
  <r>
    <n v="31"/>
    <s v="A"/>
    <s v="TRANSPORTE Y VIVIENDA"/>
    <s v="RURAL"/>
    <s v="CONECTIVIDAD"/>
    <x v="1"/>
    <s v="PROV. OSORNO"/>
    <n v="8"/>
    <s v="FAR"/>
    <s v="EJECUCION"/>
    <n v="30448275"/>
    <m/>
    <s v="GLORIA DEL CARMEN QUEZADA VELASQUEZ"/>
    <s v="30448275EJECUCION"/>
    <m/>
    <s v="** CONSERVACION CAMINOS VECINALES POR GLOSA 7, ETAPA 1, PROVINCIA OSORNO(C33)"/>
    <s v="* CERT. CORE 88 04.19 - AUMENTA ITEM OBRAS CIVILES Y ACTUALIZA COSTO. / * CERT CORE 21 01.20 - INCORPORAR PPTO FNDR 2020"/>
    <m/>
    <m/>
    <m/>
    <m/>
    <m/>
    <m/>
    <n v="404079018"/>
    <n v="388107468"/>
    <m/>
    <n v="8621550"/>
    <n v="0"/>
    <n v="8621550"/>
    <n v="0"/>
    <n v="0"/>
    <n v="0"/>
    <n v="0"/>
    <n v="0"/>
    <n v="0"/>
    <n v="0"/>
    <n v="0"/>
    <n v="0"/>
    <n v="0"/>
    <n v="0"/>
    <n v="0"/>
    <m/>
    <n v="7350000"/>
    <s v="RS*"/>
  </r>
  <r>
    <n v="31"/>
    <s v="A"/>
    <s v="DEFENSA Y SEGURIDAD"/>
    <s v="RURAL"/>
    <s v="SOCIAL"/>
    <x v="1"/>
    <s v="PROV. OSORNO"/>
    <n v="8"/>
    <s v="LIBRE"/>
    <s v="EJECUCION"/>
    <n v="30087497"/>
    <s v="G"/>
    <s v="Ignacio Ortiz Martin"/>
    <s v="30087497EJECUCION"/>
    <m/>
    <s v="* REPOSICION CUARTEL POLICIAL PREFECTURA PROVINCIAL OSORNO"/>
    <s v="* CERT. CORE 216 07.20 - AUMENTA COSTO"/>
    <m/>
    <m/>
    <m/>
    <m/>
    <m/>
    <m/>
    <n v="6809615000"/>
    <n v="1003077381"/>
    <m/>
    <n v="2064914131.6666601"/>
    <n v="2060777476"/>
    <n v="4136655.6666600704"/>
    <n v="0"/>
    <n v="0"/>
    <n v="0"/>
    <n v="0"/>
    <n v="0"/>
    <n v="0"/>
    <n v="395388053"/>
    <n v="401942413"/>
    <n v="4837654"/>
    <n v="441994391"/>
    <n v="518614764"/>
    <n v="298000201"/>
    <m/>
    <n v="3741623487.3333397"/>
    <s v="RS"/>
  </r>
  <r>
    <n v="31"/>
    <s v="A"/>
    <s v="SALUD"/>
    <s v="URBANO"/>
    <s v="SOCIAL"/>
    <x v="1"/>
    <s v="PROV. OSORNO"/>
    <n v="8"/>
    <s v="LIBRE"/>
    <s v="EJECUCION"/>
    <n v="30158072"/>
    <m/>
    <m/>
    <s v="30158072EJECUCION"/>
    <m/>
    <s v="** MEJORAMIENTO HOSPITAL DE PTO OCTAY"/>
    <s v="* CERT. CORE 205 07.20 - AUMENTA PPTO"/>
    <m/>
    <m/>
    <m/>
    <m/>
    <m/>
    <m/>
    <n v="1452174000"/>
    <n v="1337217055"/>
    <m/>
    <n v="7294860"/>
    <n v="7294860"/>
    <n v="0"/>
    <m/>
    <m/>
    <m/>
    <m/>
    <m/>
    <n v="0"/>
    <n v="0"/>
    <n v="7294860"/>
    <m/>
    <m/>
    <m/>
    <m/>
    <m/>
    <n v="107662085"/>
    <s v="RE"/>
  </r>
  <r>
    <n v="29"/>
    <s v="N"/>
    <s v="SALUD"/>
    <s v="URBANO"/>
    <s v="SOCIAL"/>
    <x v="1"/>
    <s v="PROV. OSORNO"/>
    <n v="8"/>
    <s v="LIBRE"/>
    <s v="EJECUCION"/>
    <n v="40020228"/>
    <m/>
    <m/>
    <s v="40020228EJECUCION"/>
    <m/>
    <s v="** REPOSICION AMBULANCIAS SAMU SERVICIO SALUD OSORNO (C33)"/>
    <s v="* CERT. CORE 143 04.2020 - INCORPORA"/>
    <m/>
    <m/>
    <s v="1056 05,05,20"/>
    <n v="163364000"/>
    <m/>
    <m/>
    <n v="163364000"/>
    <n v="0"/>
    <m/>
    <n v="163364000"/>
    <n v="163364000"/>
    <n v="0"/>
    <m/>
    <m/>
    <m/>
    <m/>
    <m/>
    <n v="0"/>
    <n v="163364000"/>
    <n v="0"/>
    <n v="0"/>
    <m/>
    <m/>
    <m/>
    <m/>
    <n v="0"/>
    <s v="RS*"/>
  </r>
  <r>
    <n v="29"/>
    <s v="N"/>
    <s v="SALUD"/>
    <s v="URBANO"/>
    <s v="SOCIAL"/>
    <x v="1"/>
    <s v="PROV. OSORNO"/>
    <n v="8"/>
    <s v="LIBRE"/>
    <s v="EJECUCION"/>
    <n v="40023321"/>
    <m/>
    <m/>
    <s v="40023321EJECUCION"/>
    <m/>
    <s v="** ADQUISICION  E INSTALACION CARPA HOSPITALARIA HOSPITAL SAN JOSÉ DE OSORNO (C33)"/>
    <s v="* CERT. CORE 145 04.2020 - INCORPORA"/>
    <m/>
    <m/>
    <s v="1055 05,05,20"/>
    <n v="487104000"/>
    <m/>
    <m/>
    <n v="487104000"/>
    <n v="0"/>
    <m/>
    <n v="43887869"/>
    <n v="43887869"/>
    <n v="0"/>
    <m/>
    <m/>
    <m/>
    <m/>
    <m/>
    <n v="43887869"/>
    <n v="0"/>
    <n v="0"/>
    <n v="0"/>
    <m/>
    <m/>
    <m/>
    <m/>
    <n v="443216131"/>
    <s v="RS*"/>
  </r>
  <r>
    <n v="31"/>
    <s v="A"/>
    <s v="SALUD"/>
    <s v="RURAL"/>
    <s v="SOCIAL"/>
    <x v="1"/>
    <s v="PROV. OSORNO"/>
    <n v="8"/>
    <s v="LIBRE"/>
    <s v="EJECUCION"/>
    <n v="30126943"/>
    <s v="SALUD"/>
    <s v="GLORIA DEL CARMEN QUEZADA VELASQUEZ"/>
    <s v="30126943EJECUCION"/>
    <m/>
    <s v="MEJORAMIENTO HOSPITAL DE RIO NEGRO"/>
    <m/>
    <m/>
    <m/>
    <m/>
    <m/>
    <m/>
    <m/>
    <n v="3542559000"/>
    <n v="2092000"/>
    <m/>
    <n v="599559468"/>
    <n v="44744000"/>
    <n v="554815468"/>
    <n v="0"/>
    <n v="0"/>
    <n v="0"/>
    <n v="0"/>
    <n v="0"/>
    <n v="0"/>
    <n v="0"/>
    <n v="0"/>
    <n v="0"/>
    <n v="44744000"/>
    <n v="0"/>
    <n v="0"/>
    <m/>
    <n v="2940907532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0396505567"/>
    <n v="9393959757"/>
    <m/>
    <n v="3148496899.6666603"/>
    <n v="2500595634"/>
    <n v="647901265.66666007"/>
    <n v="0"/>
    <n v="0"/>
    <n v="0"/>
    <n v="0"/>
    <n v="0"/>
    <n v="43887869"/>
    <n v="560620220"/>
    <n v="458602899"/>
    <n v="4837654"/>
    <n v="529620400"/>
    <n v="605026391"/>
    <n v="298000201"/>
    <m/>
    <n v="17854048910.3333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1"/>
    <s v="PROV. OSORNO"/>
    <n v="8"/>
    <s v="LIBRE"/>
    <s v="EJECUCION"/>
    <n v="30402378"/>
    <m/>
    <e v="#N/A"/>
    <s v="30402378EJECUCION"/>
    <m/>
    <s v="DIAGNOSTICO INFRAESTRUCTURA PSR DE LA RED ASISTENCIAL DE OSORNO"/>
    <m/>
    <m/>
    <m/>
    <m/>
    <m/>
    <m/>
    <m/>
    <n v="32260000"/>
    <n v="0"/>
    <m/>
    <n v="32260000"/>
    <n v="0"/>
    <n v="32260000"/>
    <n v="0"/>
    <n v="0"/>
    <n v="0"/>
    <n v="0"/>
    <n v="0"/>
    <n v="0"/>
    <n v="0"/>
    <n v="0"/>
    <n v="0"/>
    <n v="0"/>
    <n v="0"/>
    <n v="0"/>
    <m/>
    <n v="0"/>
    <s v="RS"/>
  </r>
  <r>
    <n v="31"/>
    <s v="N"/>
    <s v="TRANSPORTE Y VIVIENDA"/>
    <s v="URBANO"/>
    <s v="AGUA POTABLE"/>
    <x v="1"/>
    <s v="PROV. OSORNO"/>
    <n v="8"/>
    <s v="LIBRE"/>
    <s v="EJECUCION"/>
    <n v="30376573"/>
    <s v="CIU.+HUM."/>
    <m/>
    <s v="30376573PREFACTIBILIDAD"/>
    <m/>
    <s v="* ACTUALIZACION PLAN MAESTRO DE AGUAS LLUVIAS DE OSORNO"/>
    <s v="* CERT. CORE 40 07.02.20 - ACTUALIZA COSTO"/>
    <m/>
    <m/>
    <m/>
    <m/>
    <m/>
    <m/>
    <n v="402984000"/>
    <n v="0"/>
    <m/>
    <n v="0"/>
    <n v="0"/>
    <n v="0"/>
    <n v="0"/>
    <n v="0"/>
    <n v="0"/>
    <n v="0"/>
    <n v="0"/>
    <n v="0"/>
    <n v="0"/>
    <n v="0"/>
    <n v="0"/>
    <n v="0"/>
    <n v="0"/>
    <n v="0"/>
    <m/>
    <n v="402984000"/>
    <s v="RS"/>
  </r>
  <r>
    <n v="29"/>
    <s v="N"/>
    <s v="SALUD"/>
    <s v="URBANO"/>
    <s v="SOCIAL"/>
    <x v="1"/>
    <s v="PROV. OSORNO"/>
    <n v="8"/>
    <s v="LIBRE"/>
    <s v="EJECUCION"/>
    <n v="40020224"/>
    <m/>
    <m/>
    <s v="40020224EJECUCION"/>
    <m/>
    <s v="** ADQUISICION VEHÍCULO APOYO LOGÍSTICO SERVICIO DE SALUD OSORNO (C33)"/>
    <s v="* CERT. CORE 180 06.2020 - INCORPORA"/>
    <m/>
    <m/>
    <m/>
    <m/>
    <m/>
    <m/>
    <n v="52816000"/>
    <n v="0"/>
    <m/>
    <n v="0"/>
    <n v="0"/>
    <n v="0"/>
    <m/>
    <m/>
    <m/>
    <m/>
    <m/>
    <n v="0"/>
    <n v="0"/>
    <n v="0"/>
    <n v="0"/>
    <n v="0"/>
    <n v="0"/>
    <n v="0"/>
    <m/>
    <n v="52816000"/>
    <s v="RS*"/>
  </r>
  <r>
    <n v="31"/>
    <s v="A"/>
    <s v="TRANSPORTE Y VIVIENDA"/>
    <s v="RURAL"/>
    <s v="CONECTIVIDAD"/>
    <x v="1"/>
    <s v="PROV. OSORNO"/>
    <n v="8"/>
    <s v="FAR"/>
    <s v="EJECUCION"/>
    <n v="30395473"/>
    <m/>
    <e v="#N/A"/>
    <s v="30395473EJECUCION"/>
    <m/>
    <s v="CONSERVACION CAMINOS BASICOS,CAMINO U-925,CARRIL-MEDIALUNA PAMPAGRANDE (C33)"/>
    <m/>
    <m/>
    <m/>
    <m/>
    <m/>
    <m/>
    <m/>
    <n v="1688957000"/>
    <n v="0"/>
    <m/>
    <n v="343614936"/>
    <n v="0"/>
    <n v="343614936"/>
    <n v="0"/>
    <n v="0"/>
    <n v="0"/>
    <n v="0"/>
    <n v="0"/>
    <n v="0"/>
    <n v="0"/>
    <n v="0"/>
    <n v="0"/>
    <n v="0"/>
    <n v="0"/>
    <n v="0"/>
    <m/>
    <n v="1345342064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177017000"/>
    <n v="0"/>
    <m/>
    <n v="375874936"/>
    <n v="0"/>
    <n v="375874936"/>
    <n v="0"/>
    <n v="0"/>
    <n v="0"/>
    <n v="0"/>
    <n v="0"/>
    <n v="0"/>
    <n v="0"/>
    <n v="0"/>
    <n v="0"/>
    <n v="0"/>
    <n v="0"/>
    <n v="0"/>
    <m/>
    <n v="180114206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LES"/>
    <m/>
    <m/>
    <m/>
    <m/>
    <m/>
    <m/>
    <m/>
    <n v="32573522567"/>
    <n v="9393959757"/>
    <m/>
    <n v="3524371835.6666603"/>
    <n v="2500595634"/>
    <n v="1023776201.6666601"/>
    <n v="0"/>
    <n v="0"/>
    <n v="0"/>
    <n v="0"/>
    <n v="0"/>
    <n v="43887869"/>
    <n v="560620220"/>
    <n v="458602899"/>
    <n v="4837654"/>
    <n v="529620400"/>
    <n v="605026391"/>
    <n v="298000201"/>
    <m/>
    <n v="19655190974.3333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OSORNO"/>
    <m/>
    <m/>
    <m/>
    <m/>
    <m/>
    <m/>
    <m/>
    <n v="93186605861"/>
    <n v="31468023844"/>
    <m/>
    <n v="17685010467.999992"/>
    <n v="9349256892"/>
    <n v="8335753575.9999933"/>
    <n v="0"/>
    <n v="0"/>
    <n v="0"/>
    <n v="0"/>
    <n v="0"/>
    <n v="1335194398"/>
    <n v="1488058987"/>
    <n v="1934983469"/>
    <n v="932663669"/>
    <n v="1622647892"/>
    <n v="1387359897"/>
    <n v="648348580"/>
    <m/>
    <n v="44033571549.00000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MONTT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s v="P. MONTT"/>
    <n v="9"/>
    <s v="FIE"/>
    <s v="EJECUCION"/>
    <n v="30440174"/>
    <m/>
    <s v="KARIN DEL CARMEN BARRIENTOS WINTER"/>
    <s v="30440174EJECUCION"/>
    <m/>
    <s v="CONSERVACION MULTICANCHA CUBIERTA LICEO DE HOMBRES MANUEL MONTT (C33)"/>
    <s v="* CERT. CORE 179 08.18 - AUMENTA COSTO CON CARGO AL FNDR."/>
    <m/>
    <m/>
    <m/>
    <m/>
    <m/>
    <m/>
    <n v="480579888"/>
    <n v="459548200"/>
    <m/>
    <n v="21031688"/>
    <n v="0"/>
    <n v="21031688"/>
    <n v="0"/>
    <n v="0"/>
    <n v="0"/>
    <n v="0"/>
    <n v="0"/>
    <n v="0"/>
    <n v="0"/>
    <n v="0"/>
    <n v="0"/>
    <n v="0"/>
    <n v="0"/>
    <n v="0"/>
    <m/>
    <n v="0"/>
    <s v="RS*"/>
  </r>
  <r>
    <n v="31"/>
    <s v="A"/>
    <s v="SALUD"/>
    <s v="RURAL"/>
    <s v="SOCIAL"/>
    <x v="2"/>
    <s v="P. MONTT"/>
    <n v="9"/>
    <s v="LIBRE"/>
    <s v="DISEÑO"/>
    <n v="40005337"/>
    <m/>
    <e v="#N/A"/>
    <s v="40005337DISEÑO"/>
    <m/>
    <s v="REPOSICION POSTA TRAPEN, PUERTO MONTT"/>
    <s v="* CERT. CORE 242 22.08.19 - APRUEBA INCORPORAR CON CARGO AL FNDR."/>
    <m/>
    <m/>
    <m/>
    <m/>
    <m/>
    <m/>
    <n v="49462000"/>
    <n v="0"/>
    <m/>
    <n v="49462000"/>
    <n v="0"/>
    <n v="49462000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URBANO"/>
    <s v="SOCIAL"/>
    <x v="2"/>
    <s v="P. MONTT"/>
    <n v="9"/>
    <s v="LIBRE"/>
    <s v="EJECUCION"/>
    <n v="30103446"/>
    <m/>
    <s v="PAULINA HUIDOBRO JARAMI"/>
    <s v="30103446EJECUCION"/>
    <m/>
    <s v="CONSTRUCCION ESTABLECIMIENTO EDUCACIONAL SEC. ALERCE I ETAPA P MONTT"/>
    <s v="* CERT. CORE 36 03.19 - ACTUALIZA PPTO, EMPERO, A OBS. CONTRALORIA ACTUALIZA PPTO DE ACUERDO A FICHA IDI."/>
    <m/>
    <m/>
    <m/>
    <m/>
    <m/>
    <m/>
    <n v="4519772966"/>
    <n v="451977296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TRANSPORTE Y VIVIENDA"/>
    <s v="URBANO"/>
    <s v="SOCIAL"/>
    <x v="2"/>
    <s v="P. MONTT"/>
    <n v="9"/>
    <s v="FAR"/>
    <s v="EJECUCION"/>
    <n v="30072731"/>
    <s v="G"/>
    <s v="PAULINA HUIDOBRO JARAMI"/>
    <s v="30072731EJECUCION"/>
    <m/>
    <s v="* MEJORAMIENTO CALLE ANTONIO VARAS, PUERTO MONTT"/>
    <s v="* CERT. CORE 79 03.2020 - AUMENTA PPTO"/>
    <m/>
    <m/>
    <m/>
    <m/>
    <m/>
    <m/>
    <n v="8304377035"/>
    <n v="4050000"/>
    <m/>
    <n v="43363388"/>
    <n v="0"/>
    <n v="43363388"/>
    <n v="0"/>
    <n v="0"/>
    <n v="0"/>
    <n v="0"/>
    <n v="0"/>
    <n v="0"/>
    <n v="0"/>
    <n v="0"/>
    <n v="0"/>
    <n v="0"/>
    <n v="0"/>
    <n v="0"/>
    <m/>
    <n v="8256963647"/>
    <s v="RS"/>
  </r>
  <r>
    <n v="31"/>
    <s v="A"/>
    <s v="TRANSPORTE Y VIVIENDA"/>
    <s v="URBANO"/>
    <s v="CONECTIVIDAD"/>
    <x v="2"/>
    <s v="P. MONTT"/>
    <n v="9"/>
    <s v="LIBRE"/>
    <s v="EJECUCION"/>
    <n v="30080460"/>
    <m/>
    <s v="KARIN DEL CARMEN BARRIENTOS WINTER"/>
    <s v="30080460EJECUCION"/>
    <m/>
    <s v="** CONSTRUCCION PUENTE EL SARGAZO DE PTO MONTT"/>
    <s v="* CERT. CORE 303 26.09.19 - AUMENTO DE PPTO. / * CERT. CORE 08 01.20 - INCORPORAR PPTO FNDR 2020"/>
    <m/>
    <m/>
    <m/>
    <m/>
    <m/>
    <m/>
    <n v="394331499"/>
    <n v="251353837"/>
    <m/>
    <n v="105744512"/>
    <n v="105744512"/>
    <n v="0"/>
    <n v="0"/>
    <n v="0"/>
    <n v="0"/>
    <n v="0"/>
    <n v="0"/>
    <n v="2500000"/>
    <n v="0"/>
    <n v="0"/>
    <n v="0"/>
    <n v="0"/>
    <n v="66534722"/>
    <n v="36709790"/>
    <m/>
    <n v="37233150"/>
    <s v="RS"/>
  </r>
  <r>
    <n v="31"/>
    <s v="A"/>
    <s v="MULTISECTORIAL"/>
    <s v="URBANO"/>
    <s v="SOCIAL"/>
    <x v="2"/>
    <s v="P. MONTT"/>
    <n v="9"/>
    <s v="LIBRE"/>
    <s v="EJECUCION"/>
    <n v="30104476"/>
    <m/>
    <s v="KARIN DEL CARMEN BARRIENTOS WINTER"/>
    <s v="30104476EJECUCION"/>
    <m/>
    <s v="CONSTRUCCION CIERRE VERTEDERO MUNICIPAL COMUNA DE PUERTO MONTT"/>
    <m/>
    <m/>
    <m/>
    <m/>
    <m/>
    <m/>
    <m/>
    <n v="1111238000"/>
    <n v="2101000"/>
    <m/>
    <n v="308433000"/>
    <n v="108933337"/>
    <n v="199499663"/>
    <n v="0"/>
    <n v="0"/>
    <n v="0"/>
    <n v="0"/>
    <n v="0"/>
    <n v="1800000"/>
    <n v="36753623"/>
    <n v="32932146"/>
    <n v="16139435"/>
    <n v="1800000"/>
    <n v="19508133"/>
    <n v="0"/>
    <m/>
    <n v="800704000"/>
    <s v="RS"/>
  </r>
  <r>
    <n v="33"/>
    <s v="A"/>
    <s v="MULTISECTORIAL"/>
    <s v="URBANO"/>
    <s v="SOCIAL"/>
    <x v="2"/>
    <s v="P. MONTT"/>
    <n v="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P. MONTT"/>
    <n v="9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4257666"/>
    <n v="195742334"/>
    <n v="0"/>
    <n v="0"/>
    <n v="0"/>
    <n v="0"/>
    <n v="0"/>
    <n v="684580"/>
    <n v="0"/>
    <n v="0"/>
    <n v="0"/>
    <n v="0"/>
    <n v="3573086"/>
    <n v="0"/>
    <m/>
    <n v="0"/>
    <s v="RS**"/>
  </r>
  <r>
    <n v="31"/>
    <s v="N"/>
    <s v="SALUD"/>
    <s v="URBANO"/>
    <s v="SOCIAL"/>
    <x v="2"/>
    <s v="P. MONTT"/>
    <n v="9"/>
    <s v="LIBRE"/>
    <s v="EJECUCION"/>
    <n v="20190549"/>
    <m/>
    <m/>
    <s v="20190549EJECUCION"/>
    <m/>
    <s v="AMPLIACION Y REMODELACION CONSULTORIO ANTONIO VARAS, PUERTO MONTT"/>
    <m/>
    <m/>
    <m/>
    <m/>
    <m/>
    <m/>
    <m/>
    <n v="3987121039"/>
    <n v="39871210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9146882427"/>
    <n v="9223947042"/>
    <m/>
    <n v="828034588"/>
    <n v="218935515"/>
    <n v="609099073"/>
    <n v="0"/>
    <n v="0"/>
    <n v="0"/>
    <n v="0"/>
    <n v="0"/>
    <n v="4984580"/>
    <n v="36753623"/>
    <n v="32932146"/>
    <n v="16139435"/>
    <n v="1800000"/>
    <n v="89615941"/>
    <n v="36709790"/>
    <m/>
    <n v="909490079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s v="P. MONTT"/>
    <n v="9"/>
    <s v="LIBRE"/>
    <s v="DISEÑO"/>
    <n v="30080922"/>
    <m/>
    <e v="#N/A"/>
    <s v="30080922DISEÑO"/>
    <s v="2332-42-LE19"/>
    <s v="REPOSICIÓN POSTA DE SALUD RURAL DE HUELMO"/>
    <m/>
    <m/>
    <m/>
    <s v="335 15,02,19"/>
    <n v="23524000"/>
    <m/>
    <m/>
    <n v="23524000"/>
    <n v="0"/>
    <m/>
    <n v="14524000"/>
    <n v="0"/>
    <n v="14524000"/>
    <n v="0"/>
    <n v="0"/>
    <n v="0"/>
    <n v="0"/>
    <n v="0"/>
    <n v="0"/>
    <n v="0"/>
    <n v="0"/>
    <n v="0"/>
    <n v="0"/>
    <n v="0"/>
    <n v="0"/>
    <m/>
    <n v="9000000"/>
    <s v="RS"/>
  </r>
  <r>
    <n v="31"/>
    <s v="A"/>
    <s v="SALUD"/>
    <s v="RURAL"/>
    <s v="SOCIAL"/>
    <x v="2"/>
    <s v="P. MONTT"/>
    <n v="9"/>
    <s v="LIBRE"/>
    <s v="DISEÑO"/>
    <n v="30080921"/>
    <m/>
    <s v="KARIN DEL CARMEN BARRIENTOS WINTER"/>
    <s v="30080921DISEÑO"/>
    <s v="2332-84-LE19"/>
    <s v="REPOSICION POSTA  RURAL DE PIEDRA  AZUL, PUERTO MONTT"/>
    <s v="* CERT. CORE 243 22.08.19 - APRUEBA INCORPORAR CON CARGO AL FNDR."/>
    <m/>
    <m/>
    <m/>
    <m/>
    <m/>
    <m/>
    <n v="22645000"/>
    <n v="0"/>
    <m/>
    <n v="22645000"/>
    <n v="0"/>
    <n v="22645000"/>
    <n v="0"/>
    <n v="0"/>
    <n v="0"/>
    <n v="0"/>
    <n v="0"/>
    <n v="0"/>
    <n v="0"/>
    <n v="0"/>
    <n v="0"/>
    <n v="0"/>
    <n v="0"/>
    <n v="0"/>
    <m/>
    <n v="0"/>
    <s v="RS"/>
  </r>
  <r>
    <n v="31"/>
    <s v="A"/>
    <s v="SALUD"/>
    <s v="RURAL"/>
    <s v="SOCIAL"/>
    <x v="2"/>
    <s v="P. MONTT"/>
    <n v="9"/>
    <s v="LIBRE"/>
    <s v="DISEÑO"/>
    <n v="30270222"/>
    <m/>
    <s v="KARIN DEL CARMEN BARRIENTOS WINTER"/>
    <s v="30270222DISEÑO"/>
    <s v="2332-84-LE19"/>
    <s v="REPOSICIÓN POSTA DE SALUD RURAL DE CORRENTOSO"/>
    <m/>
    <m/>
    <m/>
    <m/>
    <m/>
    <m/>
    <m/>
    <n v="22000000"/>
    <n v="0"/>
    <m/>
    <n v="17500000"/>
    <n v="0"/>
    <n v="17500000"/>
    <n v="0"/>
    <n v="0"/>
    <n v="0"/>
    <n v="0"/>
    <n v="0"/>
    <n v="0"/>
    <n v="0"/>
    <n v="0"/>
    <n v="0"/>
    <n v="0"/>
    <n v="0"/>
    <n v="0"/>
    <m/>
    <n v="4500000"/>
    <s v="RS"/>
  </r>
  <r>
    <n v="31"/>
    <s v="N"/>
    <s v="AGUA POTABLE Y ALCANTARILLADO"/>
    <s v="URBANO"/>
    <s v="ALCANTARILLADO"/>
    <x v="2"/>
    <s v="P. MONTT"/>
    <n v="9"/>
    <s v="LIBRE"/>
    <s v="EJECUCION"/>
    <n v="30429872"/>
    <s v="G"/>
    <s v="PAULINA HUIDOBRO JARAMI"/>
    <s v="30429872EJECUCION"/>
    <m/>
    <s v="CONSTRUCCION REDES AGUA POTABLE Y ALC. VILLA LOS PINOS ALTOS"/>
    <m/>
    <m/>
    <m/>
    <s v="1101 18,05,20"/>
    <n v="445639000"/>
    <m/>
    <m/>
    <n v="445639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345639000"/>
    <s v="RS"/>
  </r>
  <r>
    <n v="31"/>
    <s v="N"/>
    <s v="EDUCACIÓN Y CULTURA"/>
    <s v="URBANO"/>
    <s v="SOCIAL"/>
    <x v="2"/>
    <s v="P. MONTT"/>
    <n v="9"/>
    <s v="LIBRE"/>
    <s v="EJECUCION"/>
    <n v="30077490"/>
    <s v="G"/>
    <s v="PAULINA HUIDOBRO JARAMI"/>
    <s v="30077490EJECUCION"/>
    <m/>
    <s v="* CONSERVACION CASA PAULY PUERTO MONTT"/>
    <s v="* CERT. CORE 06 01.20 - AUMENTA PPTO"/>
    <m/>
    <m/>
    <s v="980 27,04,20"/>
    <n v="2466782000"/>
    <m/>
    <m/>
    <n v="2466782000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416782000"/>
    <s v="RS"/>
  </r>
  <r>
    <n v="31"/>
    <s v="N"/>
    <s v="DEFENSA Y SEGURIDAD"/>
    <s v="URBANO"/>
    <s v="SOCIAL"/>
    <x v="2"/>
    <s v="P. MONTT"/>
    <n v="9"/>
    <s v="LIBRE"/>
    <s v="EJECUCION"/>
    <n v="30115395"/>
    <m/>
    <m/>
    <s v="30115395EJECUCION"/>
    <m/>
    <s v="CONSTRUCCION CUARTEL OCTAVA COMPAÑIA DE BOMBEROS, PUERTO MONTT"/>
    <m/>
    <m/>
    <m/>
    <s v="869 27,04,20"/>
    <n v="832941000"/>
    <m/>
    <m/>
    <n v="929015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809015000"/>
    <s v="RS"/>
  </r>
  <r>
    <n v="31"/>
    <s v="N"/>
    <s v="TRANSPORTE Y VIVIENDA"/>
    <s v="URBANO"/>
    <s v="CONECTIVIDAD"/>
    <x v="2"/>
    <s v="P. MONTT"/>
    <n v="9"/>
    <s v="FAR"/>
    <s v="EJECUCION"/>
    <n v="40012877"/>
    <m/>
    <m/>
    <s v="40012877EJECUCION"/>
    <m/>
    <s v="MEJORAMIENTO CALLE ESPAÑA ENTRE CALLE QUEPE Y AVDA. JUAN SOLER MANFREDINI"/>
    <m/>
    <m/>
    <m/>
    <m/>
    <m/>
    <m/>
    <m/>
    <n v="525598000"/>
    <n v="0"/>
    <m/>
    <n v="12000000"/>
    <n v="0"/>
    <n v="12000000"/>
    <n v="0"/>
    <n v="0"/>
    <n v="0"/>
    <n v="0"/>
    <n v="0"/>
    <n v="0"/>
    <n v="0"/>
    <n v="0"/>
    <n v="0"/>
    <n v="0"/>
    <n v="0"/>
    <n v="0"/>
    <m/>
    <n v="513598000"/>
    <s v="RS"/>
  </r>
  <r>
    <n v="31"/>
    <s v="A"/>
    <s v="SALUD"/>
    <s v="URBANO"/>
    <s v="SOCIAL"/>
    <x v="2"/>
    <s v="P. MONTT"/>
    <n v="9"/>
    <s v="LIBRE"/>
    <s v="EJECUCION"/>
    <n v="30128140"/>
    <m/>
    <s v="KARIN DEL CARMEN BARRIENTOS WINTER"/>
    <s v="30128140EJECUCION"/>
    <m/>
    <s v="NORMALIZACION CESFAM ALERCE "/>
    <m/>
    <m/>
    <m/>
    <m/>
    <m/>
    <m/>
    <m/>
    <n v="4090104000"/>
    <n v="4000000"/>
    <m/>
    <n v="498204000"/>
    <n v="0"/>
    <n v="498204000"/>
    <n v="0"/>
    <n v="0"/>
    <n v="0"/>
    <n v="0"/>
    <n v="0"/>
    <n v="0"/>
    <n v="0"/>
    <n v="0"/>
    <n v="0"/>
    <n v="0"/>
    <n v="0"/>
    <n v="0"/>
    <m/>
    <n v="35879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8525307000"/>
    <n v="4000000"/>
    <m/>
    <n v="834873000"/>
    <n v="0"/>
    <n v="834873000"/>
    <n v="0"/>
    <n v="0"/>
    <n v="0"/>
    <n v="0"/>
    <n v="0"/>
    <n v="0"/>
    <n v="0"/>
    <n v="0"/>
    <n v="0"/>
    <n v="0"/>
    <n v="0"/>
    <n v="0"/>
    <m/>
    <n v="7686434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. MONTT"/>
    <m/>
    <m/>
    <m/>
    <m/>
    <m/>
    <m/>
    <m/>
    <n v="27672189427"/>
    <n v="9227947042"/>
    <m/>
    <n v="1662907588"/>
    <n v="218935515"/>
    <n v="1443972073"/>
    <n v="0"/>
    <n v="0"/>
    <n v="0"/>
    <n v="0"/>
    <n v="0"/>
    <n v="4984580"/>
    <n v="36753623"/>
    <n v="32932146"/>
    <n v="16139435"/>
    <n v="1800000"/>
    <n v="89615941"/>
    <n v="36709790"/>
    <m/>
    <n v="1678133479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ALBUC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SOCIAL"/>
    <x v="2"/>
    <s v="CALBUCO"/>
    <n v="10"/>
    <s v="ENERGIZACION"/>
    <s v="EJECUCION"/>
    <n v="30133915"/>
    <m/>
    <m/>
    <s v="30133915EJECUCION"/>
    <m/>
    <s v="SUBSIDIO OPERACIÓN SIST. AUTOGENERACION QUENU TABON"/>
    <m/>
    <m/>
    <m/>
    <m/>
    <m/>
    <m/>
    <m/>
    <n v="300000000"/>
    <n v="0"/>
    <m/>
    <n v="300000000"/>
    <n v="113656769"/>
    <n v="186343231"/>
    <n v="0"/>
    <n v="0"/>
    <n v="0"/>
    <n v="0"/>
    <n v="0"/>
    <n v="0"/>
    <n v="35920984"/>
    <n v="0"/>
    <n v="15827056"/>
    <n v="31320144"/>
    <n v="30588585"/>
    <n v="0"/>
    <m/>
    <n v="0"/>
    <s v="RS***"/>
  </r>
  <r>
    <n v="31"/>
    <s v="A"/>
    <s v="MULTISECTORIAL"/>
    <s v="RURAL"/>
    <s v="SOCIAL"/>
    <x v="2"/>
    <s v="CALBUCO"/>
    <n v="10"/>
    <s v="LIBRE"/>
    <s v="EJECUCION"/>
    <n v="30087299"/>
    <m/>
    <s v="PAULINA HUIDOBRO JARAMI"/>
    <s v="30087299EJECUCION"/>
    <m/>
    <s v="CONSTRUCCION CEMENTERIO MUNICIPAL DE CALBUCO"/>
    <s v="* CERT. CORE 403 05.12.19 - AUMENTO PPTO A $1.283.216.463"/>
    <m/>
    <n v="1294012000"/>
    <m/>
    <m/>
    <m/>
    <m/>
    <n v="1283216463"/>
    <n v="1063778013"/>
    <m/>
    <n v="216909034"/>
    <n v="82320466"/>
    <n v="134588568"/>
    <n v="0"/>
    <n v="0"/>
    <n v="0"/>
    <n v="0"/>
    <n v="0"/>
    <n v="41382967"/>
    <n v="40937499"/>
    <n v="0"/>
    <n v="0"/>
    <n v="0"/>
    <n v="0"/>
    <n v="0"/>
    <m/>
    <n v="2529416"/>
    <s v="RS"/>
  </r>
  <r>
    <m/>
    <m/>
    <m/>
    <m/>
    <m/>
    <x v="0"/>
    <m/>
    <m/>
    <m/>
    <m/>
    <m/>
    <m/>
    <e v="#N/A"/>
    <m/>
    <m/>
    <s v="CONSULTORIA"/>
    <m/>
    <m/>
    <n v="18392000"/>
    <m/>
    <m/>
    <m/>
    <m/>
    <n v="18392000"/>
    <m/>
    <m/>
    <m/>
    <m/>
    <m/>
    <m/>
    <m/>
    <m/>
    <m/>
    <m/>
    <m/>
    <m/>
    <m/>
    <m/>
    <m/>
    <m/>
    <m/>
    <m/>
    <n v="18392000"/>
    <m/>
  </r>
  <r>
    <m/>
    <m/>
    <m/>
    <m/>
    <m/>
    <x v="0"/>
    <m/>
    <m/>
    <m/>
    <m/>
    <m/>
    <m/>
    <e v="#N/A"/>
    <m/>
    <m/>
    <s v="EQUIPAMIENTO"/>
    <m/>
    <m/>
    <n v="6404000"/>
    <m/>
    <m/>
    <m/>
    <m/>
    <n v="6404000"/>
    <m/>
    <m/>
    <m/>
    <m/>
    <m/>
    <m/>
    <m/>
    <m/>
    <m/>
    <m/>
    <m/>
    <m/>
    <m/>
    <m/>
    <m/>
    <m/>
    <m/>
    <m/>
    <n v="6404000"/>
    <m/>
  </r>
  <r>
    <m/>
    <m/>
    <m/>
    <m/>
    <m/>
    <x v="0"/>
    <m/>
    <m/>
    <m/>
    <m/>
    <m/>
    <m/>
    <e v="#N/A"/>
    <m/>
    <m/>
    <s v="EQUIPOS"/>
    <m/>
    <m/>
    <n v="73180000"/>
    <m/>
    <m/>
    <m/>
    <m/>
    <n v="73180000"/>
    <m/>
    <m/>
    <m/>
    <m/>
    <m/>
    <m/>
    <m/>
    <m/>
    <m/>
    <m/>
    <m/>
    <m/>
    <m/>
    <m/>
    <m/>
    <m/>
    <m/>
    <m/>
    <n v="73180000"/>
    <m/>
  </r>
  <r>
    <m/>
    <m/>
    <m/>
    <m/>
    <m/>
    <x v="0"/>
    <m/>
    <m/>
    <m/>
    <m/>
    <m/>
    <m/>
    <e v="#N/A"/>
    <m/>
    <m/>
    <s v="GASTOS ADMINISTRATIVOS"/>
    <m/>
    <m/>
    <m/>
    <m/>
    <m/>
    <m/>
    <m/>
    <n v="0"/>
    <m/>
    <m/>
    <m/>
    <m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e v="#N/A"/>
    <m/>
    <m/>
    <s v="OBRAS CIVILES"/>
    <m/>
    <m/>
    <n v="1196036000"/>
    <m/>
    <m/>
    <m/>
    <m/>
    <n v="1196036000"/>
    <m/>
    <m/>
    <m/>
    <m/>
    <m/>
    <m/>
    <m/>
    <m/>
    <m/>
    <m/>
    <m/>
    <m/>
    <m/>
    <m/>
    <m/>
    <m/>
    <m/>
    <m/>
    <n v="1196036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31"/>
    <s v="A"/>
    <s v="EDUCACIÓN Y CULTURA"/>
    <s v="URBANO"/>
    <s v="SOCIAL"/>
    <x v="2"/>
    <s v="CALBUCO"/>
    <n v="10"/>
    <s v="LIBRE"/>
    <s v="EJECUCION"/>
    <n v="20086686"/>
    <s v="G"/>
    <s v="PAULINA HUIDOBRO JARAMI"/>
    <s v="20086686EJECUCION"/>
    <m/>
    <s v="REPOSICION PARCIAL LICEO POLITECNICO DE CALBUCO"/>
    <s v="* CERTIF. CORE 204 07.19 - AUMENTA PPTO A $9.889.982.000"/>
    <m/>
    <m/>
    <m/>
    <m/>
    <m/>
    <m/>
    <n v="9889982000"/>
    <n v="168015250"/>
    <m/>
    <n v="400000000"/>
    <n v="0"/>
    <n v="400000000"/>
    <n v="0"/>
    <n v="0"/>
    <n v="0"/>
    <n v="0"/>
    <n v="0"/>
    <n v="0"/>
    <n v="0"/>
    <n v="0"/>
    <n v="0"/>
    <n v="0"/>
    <n v="0"/>
    <n v="0"/>
    <m/>
    <n v="9321966750"/>
    <s v="RS"/>
  </r>
  <r>
    <n v="31"/>
    <s v="A"/>
    <s v="EDUCACIÓN Y CULTURA"/>
    <s v="RURAL"/>
    <s v="SOCIAL"/>
    <x v="2"/>
    <s v="CALBUCO"/>
    <n v="10"/>
    <s v="LIBRE"/>
    <s v="DISEÑO"/>
    <n v="30326322"/>
    <m/>
    <s v="KARIN DEL CARMEN BARRIENTOS WINTER"/>
    <s v="30326322DISEÑO"/>
    <m/>
    <s v="REPOSICION ESCUELA BERNARDO OHIGGINS, CALBUCO"/>
    <m/>
    <m/>
    <m/>
    <m/>
    <m/>
    <m/>
    <m/>
    <n v="290974000"/>
    <n v="200000000"/>
    <m/>
    <n v="90974000"/>
    <n v="0"/>
    <n v="90974000"/>
    <n v="0"/>
    <n v="0"/>
    <n v="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2"/>
    <s v="CALBUCO"/>
    <n v="1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CALBUCO"/>
    <n v="10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91627806"/>
    <n v="108372194"/>
    <n v="0"/>
    <n v="0"/>
    <n v="0"/>
    <n v="0"/>
    <n v="0"/>
    <n v="14021603"/>
    <n v="7264992"/>
    <n v="0"/>
    <n v="61444815"/>
    <n v="8896396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2064172463"/>
    <n v="1431793263"/>
    <m/>
    <n v="1307883034"/>
    <n v="287605041"/>
    <n v="1020277993"/>
    <n v="0"/>
    <n v="0"/>
    <n v="0"/>
    <n v="0"/>
    <n v="0"/>
    <n v="55404570"/>
    <n v="84123475"/>
    <n v="0"/>
    <n v="77271871"/>
    <n v="40216540"/>
    <n v="30588585"/>
    <n v="0"/>
    <m/>
    <n v="932449616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RECURSOS NATURALES Y MEDIO AMBIENTE"/>
    <s v="URBANO"/>
    <s v="SOCIAL"/>
    <x v="2"/>
    <s v="CALBUCO"/>
    <n v="10"/>
    <s v="RSD"/>
    <s v="EJECUCION"/>
    <n v="30135967"/>
    <m/>
    <m/>
    <s v="30135967EJECUCION"/>
    <m/>
    <s v="CONSTRUCCION ESTACION DE TRANSFERENCIA LA CAMPANA, CALBUCO"/>
    <m/>
    <m/>
    <m/>
    <m/>
    <m/>
    <m/>
    <m/>
    <n v="1553691000"/>
    <n v="0"/>
    <m/>
    <n v="388423000"/>
    <n v="0"/>
    <n v="388423000"/>
    <n v="0"/>
    <n v="0"/>
    <n v="0"/>
    <n v="0"/>
    <n v="0"/>
    <n v="0"/>
    <n v="0"/>
    <n v="0"/>
    <n v="0"/>
    <n v="0"/>
    <n v="0"/>
    <n v="0"/>
    <m/>
    <n v="1165268000"/>
    <s v="RS"/>
  </r>
  <r>
    <n v="31"/>
    <s v="N"/>
    <s v="TRANSPORTE Y VIVIENDA"/>
    <s v="URBANO"/>
    <s v="CONECTIVIDAD"/>
    <x v="2"/>
    <s v="CALBUCO"/>
    <n v="10"/>
    <s v="FAR"/>
    <s v="EJECUCION"/>
    <n v="40015774"/>
    <m/>
    <m/>
    <s v="40015774EJECUCION"/>
    <m/>
    <s v="CONSTRUCCION PAVIMENTO CALLE SAN ANDRES Y LOS TULIPANES"/>
    <m/>
    <m/>
    <m/>
    <m/>
    <m/>
    <m/>
    <m/>
    <n v="269785542"/>
    <n v="0"/>
    <m/>
    <n v="50000000"/>
    <n v="0"/>
    <n v="50000000"/>
    <n v="0"/>
    <n v="0"/>
    <n v="0"/>
    <n v="0"/>
    <n v="0"/>
    <n v="0"/>
    <n v="0"/>
    <n v="0"/>
    <n v="0"/>
    <n v="0"/>
    <n v="0"/>
    <n v="0"/>
    <m/>
    <n v="219785542"/>
    <s v="RS"/>
  </r>
  <r>
    <n v="31"/>
    <s v="N"/>
    <s v="TRANSPORTE Y VIVIENDA"/>
    <s v="URBANO"/>
    <s v="CONECTIVIDAD"/>
    <x v="2"/>
    <s v="CALBUCO"/>
    <n v="10"/>
    <s v="FAR"/>
    <s v="EJECUCION"/>
    <n v="40015770"/>
    <m/>
    <m/>
    <s v="40015770EJECUCION"/>
    <m/>
    <s v="CONSTRUCCION PAVIMENTO CALLE CONDELL, FRAGATA COCHRANE Y LAS VERTIENTES"/>
    <m/>
    <m/>
    <m/>
    <m/>
    <m/>
    <m/>
    <m/>
    <n v="370712904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300712904"/>
    <s v="RS"/>
  </r>
  <r>
    <n v="22"/>
    <s v="N"/>
    <s v="TRANSPORTE Y VIVIENDA"/>
    <s v="URBANO"/>
    <s v="SOCIAL"/>
    <x v="2"/>
    <s v="CALBUCO"/>
    <n v="10"/>
    <s v="LIBRE"/>
    <s v="EJECUCION"/>
    <n v="30465134"/>
    <m/>
    <m/>
    <s v="30465134EJECUCION"/>
    <s v="3479-92-LQ20"/>
    <s v="ACTUALIZACION PLAN REGULADOR COMUNAL CALBUCO (C33)"/>
    <s v="* ORD. 4152 12.12.2019 (RS)"/>
    <m/>
    <m/>
    <s v="868 27,04,20"/>
    <n v="110000000"/>
    <m/>
    <m/>
    <n v="11000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95000000"/>
    <s v="RS*"/>
  </r>
  <r>
    <n v="31"/>
    <s v="N"/>
    <s v="AGUA POTABLE Y ALCANTARILLADO"/>
    <s v="RURAL"/>
    <s v="AGUA POTABLE"/>
    <x v="2"/>
    <s v="CALBUCO"/>
    <n v="10"/>
    <s v="LIBRE"/>
    <s v="EJECUCION"/>
    <n v="30480526"/>
    <m/>
    <m/>
    <s v="30480526EJECUCION"/>
    <m/>
    <s v="CONSTRUCCION SERVICIO AGUA POTABLE RURAL LA CAMPANA"/>
    <m/>
    <m/>
    <m/>
    <m/>
    <m/>
    <m/>
    <m/>
    <n v="791085000"/>
    <n v="0"/>
    <m/>
    <n v="70000000"/>
    <n v="0"/>
    <n v="70000000"/>
    <n v="0"/>
    <n v="0"/>
    <n v="0"/>
    <n v="0"/>
    <n v="0"/>
    <n v="0"/>
    <n v="0"/>
    <n v="0"/>
    <n v="0"/>
    <n v="0"/>
    <n v="0"/>
    <n v="0"/>
    <m/>
    <n v="721085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095274446"/>
    <n v="0"/>
    <m/>
    <n v="593423000"/>
    <n v="0"/>
    <n v="593423000"/>
    <n v="0"/>
    <n v="0"/>
    <n v="0"/>
    <n v="0"/>
    <n v="0"/>
    <n v="0"/>
    <n v="0"/>
    <n v="0"/>
    <n v="0"/>
    <n v="0"/>
    <n v="0"/>
    <n v="0"/>
    <m/>
    <n v="250185144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ALBUCO"/>
    <m/>
    <m/>
    <m/>
    <m/>
    <m/>
    <m/>
    <m/>
    <n v="15159446909"/>
    <n v="1431793263"/>
    <m/>
    <n v="1901306034"/>
    <n v="287605041"/>
    <n v="1613700993"/>
    <n v="0"/>
    <n v="0"/>
    <n v="0"/>
    <n v="0"/>
    <n v="0"/>
    <n v="55404570"/>
    <n v="84123475"/>
    <n v="0"/>
    <n v="77271871"/>
    <n v="40216540"/>
    <n v="30588585"/>
    <n v="0"/>
    <m/>
    <n v="1182634761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OCHAM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2"/>
    <s v="COCHAMO"/>
    <n v="11"/>
    <s v="LIBRE"/>
    <s v="DISEÑO"/>
    <n v="30085125"/>
    <s v="V"/>
    <s v="KARIN DEL CARMEN BARRIENTOS WINTER"/>
    <s v="30085125DISEÑO"/>
    <m/>
    <s v="REPOSICION POSTA DE SALUD RURAL PASO EL LEON, COCHAMO"/>
    <m/>
    <m/>
    <m/>
    <m/>
    <m/>
    <m/>
    <m/>
    <n v="23800000"/>
    <n v="1300000"/>
    <m/>
    <n v="22500000"/>
    <n v="8800000"/>
    <n v="13700000"/>
    <n v="0"/>
    <n v="0"/>
    <n v="0"/>
    <n v="0"/>
    <n v="0"/>
    <n v="0"/>
    <n v="4400000"/>
    <n v="0"/>
    <n v="0"/>
    <n v="0"/>
    <n v="4400000"/>
    <n v="0"/>
    <m/>
    <n v="0"/>
    <s v="RS"/>
  </r>
  <r>
    <n v="31"/>
    <s v="A"/>
    <s v="DEPORTE"/>
    <s v="RURAL"/>
    <s v="SOCIAL"/>
    <x v="2"/>
    <s v="COCHAMO"/>
    <n v="11"/>
    <s v="LIBRE"/>
    <s v="DISEÑO"/>
    <n v="30328431"/>
    <s v="V"/>
    <s v="KARIN DEL CARMEN BARRIENTOS WINTER"/>
    <s v="30328431DISEÑO"/>
    <m/>
    <s v="CONSTRUCCION GIMNASIO LLANADA GRANDE"/>
    <m/>
    <m/>
    <m/>
    <m/>
    <m/>
    <m/>
    <m/>
    <n v="40280000"/>
    <n v="1000000"/>
    <m/>
    <n v="39280000"/>
    <n v="19740000"/>
    <n v="19540000"/>
    <n v="0"/>
    <n v="0"/>
    <n v="0"/>
    <n v="0"/>
    <n v="0"/>
    <n v="0"/>
    <n v="0"/>
    <n v="0"/>
    <n v="13160000"/>
    <n v="0"/>
    <n v="0"/>
    <n v="6580000"/>
    <m/>
    <n v="0"/>
    <s v="RS"/>
  </r>
  <r>
    <n v="33"/>
    <s v="A"/>
    <s v="MULTISECTORIAL"/>
    <s v="URBANO"/>
    <s v="SOCIAL"/>
    <x v="2"/>
    <s v="COCHAMO"/>
    <n v="1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COCHAMO"/>
    <n v="11"/>
    <s v="FRIL"/>
    <s v="EJECUCION"/>
    <s v="FRIL"/>
    <m/>
    <m/>
    <s v="FRILEJECUCION"/>
    <m/>
    <s v="FONDO REGIONAL DE INICIATIVAS LOCAL - ANEXO PAGINA 4"/>
    <m/>
    <m/>
    <m/>
    <m/>
    <m/>
    <m/>
    <m/>
    <n v="200000000"/>
    <n v="0"/>
    <m/>
    <n v="200000000"/>
    <n v="78356571"/>
    <n v="121643429"/>
    <n v="0"/>
    <n v="0"/>
    <n v="0"/>
    <n v="0"/>
    <n v="0"/>
    <n v="0"/>
    <n v="0"/>
    <n v="9381246"/>
    <n v="7681695"/>
    <n v="0"/>
    <n v="6129363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64080000"/>
    <n v="2300000"/>
    <m/>
    <n v="361780000"/>
    <n v="106896571"/>
    <n v="254883429"/>
    <n v="0"/>
    <n v="0"/>
    <n v="0"/>
    <n v="0"/>
    <n v="0"/>
    <n v="0"/>
    <n v="4400000"/>
    <n v="9381246"/>
    <n v="20841695"/>
    <n v="0"/>
    <n v="65693630"/>
    <n v="658000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2"/>
    <s v="COCHAMO"/>
    <n v="11"/>
    <s v="LIBRE"/>
    <s v="DISEÑO"/>
    <n v="40006863"/>
    <m/>
    <e v="#N/A"/>
    <s v="40006863DISEÑO"/>
    <s v="4831-20-LQ19"/>
    <s v="REPOSICION ESCUELA JUAN SOLER MANFREDINI, COCHAMO"/>
    <s v="* CERT. CORE 230 08.08.19 - APRUEBA INCORPORAR CON CARGO AL FNDR"/>
    <m/>
    <m/>
    <s v="2697 23,09,19"/>
    <n v="129430000"/>
    <m/>
    <m/>
    <n v="129430000"/>
    <n v="0"/>
    <m/>
    <n v="60000000"/>
    <n v="0"/>
    <n v="60000000"/>
    <n v="0"/>
    <n v="0"/>
    <n v="0"/>
    <n v="0"/>
    <n v="0"/>
    <n v="0"/>
    <n v="0"/>
    <n v="0"/>
    <n v="0"/>
    <n v="0"/>
    <n v="0"/>
    <n v="0"/>
    <m/>
    <n v="69430000"/>
    <s v="RS"/>
  </r>
  <r>
    <n v="29"/>
    <s v="N"/>
    <s v="DEFENSA Y SEGURIDAD"/>
    <s v="RURAL"/>
    <s v="SOCIAL"/>
    <x v="2"/>
    <s v="COCHAMO"/>
    <n v="11"/>
    <s v="ENERGIZACION"/>
    <s v="EJECUCION"/>
    <n v="30328279"/>
    <m/>
    <m/>
    <s v="30328279EJECUCION"/>
    <s v="4831-6-LQ20"/>
    <s v="EQUIPOS DE ALUMBRADO PUBLICO LOCALIDADES DE RIO PUELO Y LLANADA GRANDE (C33)"/>
    <s v="* ORD. 3930 29.11.2019 RS"/>
    <m/>
    <m/>
    <s v="368 10,02,20"/>
    <n v="127690000"/>
    <m/>
    <m/>
    <n v="127689582"/>
    <n v="0"/>
    <m/>
    <n v="127689582"/>
    <n v="0"/>
    <n v="127689582"/>
    <n v="0"/>
    <n v="0"/>
    <n v="0"/>
    <n v="0"/>
    <n v="0"/>
    <n v="0"/>
    <n v="0"/>
    <n v="0"/>
    <n v="0"/>
    <n v="0"/>
    <n v="0"/>
    <n v="0"/>
    <m/>
    <n v="0"/>
    <s v="RS*"/>
  </r>
  <r>
    <n v="29"/>
    <s v="A"/>
    <s v="SALUD"/>
    <s v="RURAL"/>
    <s v="SOCIAL"/>
    <x v="2"/>
    <s v="COCHAMO"/>
    <n v="11"/>
    <s v="FAR"/>
    <s v="EJECUCION"/>
    <n v="40005418"/>
    <m/>
    <e v="#N/A"/>
    <s v="40005418EJECUCION"/>
    <s v="4831-2-LQ20"/>
    <s v="ADQUISICION Y REPOSICION AMBULANCIAS DE EMERGENCIAS PARA TRASLADO DE PACIENTES (C33)"/>
    <m/>
    <m/>
    <m/>
    <s v="369 10,02,20"/>
    <n v="137960000"/>
    <m/>
    <m/>
    <n v="54300000"/>
    <n v="0"/>
    <m/>
    <n v="54300000"/>
    <n v="0"/>
    <n v="54300000"/>
    <n v="0"/>
    <n v="0"/>
    <n v="0"/>
    <n v="0"/>
    <n v="0"/>
    <n v="0"/>
    <n v="0"/>
    <n v="0"/>
    <n v="0"/>
    <n v="0"/>
    <n v="0"/>
    <n v="0"/>
    <m/>
    <n v="0"/>
    <s v="RS*"/>
  </r>
  <r>
    <n v="31"/>
    <s v="N"/>
    <s v="AGUA POTABLE Y ALCANTARILLADO"/>
    <s v="RURAL"/>
    <s v="AGUA POTABLE"/>
    <x v="2"/>
    <s v="COCHAMO"/>
    <n v="11"/>
    <s v="LIBRE"/>
    <s v="EJECUCION"/>
    <n v="30116479"/>
    <m/>
    <s v="KARIN DEL CARMEN BARRIENTOS WINTER"/>
    <s v="30116479EJECUCION"/>
    <s v="4831-7-LR20"/>
    <s v="* CONSTRUCCION SISTEMA APR DE LLAGUEPE"/>
    <s v="* CERT. CORE 41 07.02.20 - ACTUALIZA COSTO"/>
    <m/>
    <m/>
    <s v="781 18,03,20"/>
    <n v="425454000"/>
    <m/>
    <m/>
    <n v="425454000"/>
    <n v="0"/>
    <m/>
    <n v="80000000"/>
    <n v="0"/>
    <n v="80000000"/>
    <n v="0"/>
    <n v="0"/>
    <n v="0"/>
    <n v="0"/>
    <n v="0"/>
    <n v="0"/>
    <n v="0"/>
    <n v="0"/>
    <n v="0"/>
    <n v="0"/>
    <n v="0"/>
    <n v="0"/>
    <m/>
    <n v="345454000"/>
    <s v="RS"/>
  </r>
  <r>
    <n v="29"/>
    <s v="N"/>
    <s v="EDUCACIÓN Y CULTURA"/>
    <s v="URBANO"/>
    <s v="SOCIAL"/>
    <x v="2"/>
    <s v="COCHAMO"/>
    <n v="11"/>
    <s v="LIBRE"/>
    <s v="EJECUCION"/>
    <n v="40013393"/>
    <m/>
    <m/>
    <s v="40013393EJECUCION"/>
    <m/>
    <s v="** ADQUISICION EQUIPAMIENTO DIDACTICO PARA 14 ESTABLECIMIENTOS EDUCACIONALES, PRIMER CICLO (C33)"/>
    <s v="* CERT. CORE 75 03.2020 - APRUEBA INCORPORAR PPTO20"/>
    <m/>
    <m/>
    <m/>
    <m/>
    <m/>
    <m/>
    <n v="290674000"/>
    <n v="0"/>
    <m/>
    <n v="0"/>
    <n v="0"/>
    <n v="0"/>
    <n v="0"/>
    <n v="0"/>
    <n v="0"/>
    <n v="0"/>
    <n v="0"/>
    <n v="0"/>
    <n v="0"/>
    <n v="0"/>
    <n v="0"/>
    <n v="0"/>
    <n v="0"/>
    <n v="0"/>
    <m/>
    <n v="290674000"/>
    <s v="RS*"/>
  </r>
  <r>
    <n v="31"/>
    <s v="N"/>
    <s v="EDUCACIÓN Y CULTURA"/>
    <s v="RURAL"/>
    <s v="SOCIAL"/>
    <x v="2"/>
    <s v="COCHAMO"/>
    <n v="11"/>
    <s v="LIBRE"/>
    <s v="DISEÑO"/>
    <n v="40015801"/>
    <m/>
    <m/>
    <s v="40015801DISEÑO"/>
    <m/>
    <s v="REPOSICION ESCUELA LLANADA GRANDE"/>
    <m/>
    <m/>
    <m/>
    <m/>
    <m/>
    <m/>
    <m/>
    <n v="122370000"/>
    <n v="0"/>
    <m/>
    <n v="25000000"/>
    <n v="0"/>
    <n v="25000000"/>
    <n v="0"/>
    <n v="0"/>
    <n v="0"/>
    <n v="0"/>
    <n v="0"/>
    <n v="0"/>
    <n v="0"/>
    <n v="0"/>
    <n v="0"/>
    <n v="0"/>
    <n v="0"/>
    <n v="0"/>
    <m/>
    <n v="97370000"/>
    <s v="RS"/>
  </r>
  <r>
    <n v="31"/>
    <s v="N"/>
    <s v="ENERGIA"/>
    <s v="RURAL"/>
    <s v="ENERGIA"/>
    <x v="2"/>
    <s v="COCHAMO"/>
    <n v="11"/>
    <s v="LIBRE"/>
    <s v="EJECUCION"/>
    <n v="40019107"/>
    <s v="AC. COMPL."/>
    <m/>
    <s v="40019107EJECUCION"/>
    <m/>
    <s v="* CONSTRUCCION SUM. ENERGIA FOTOVOLTAICA  EL MANSO-L V GORMAZ-L T. TAGUA-LOS GUINDOS, COCHAMO"/>
    <s v="* CERT. CORE 33 07.02.20 - APRUEBA / CERT. CORE 187 06.2020 - ELIMINA/UNIFICA INICIATIVAS Y AJUSTA COSTO"/>
    <m/>
    <m/>
    <m/>
    <m/>
    <m/>
    <m/>
    <n v="769101000"/>
    <n v="0"/>
    <m/>
    <n v="766527000"/>
    <n v="0"/>
    <n v="766527000"/>
    <n v="0"/>
    <n v="0"/>
    <n v="0"/>
    <n v="0"/>
    <n v="0"/>
    <n v="0"/>
    <n v="0"/>
    <n v="0"/>
    <n v="0"/>
    <n v="0"/>
    <n v="0"/>
    <n v="0"/>
    <m/>
    <n v="2574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919018582"/>
    <n v="0"/>
    <m/>
    <n v="1113516582"/>
    <n v="0"/>
    <n v="1113516582"/>
    <n v="0"/>
    <n v="0"/>
    <n v="0"/>
    <n v="0"/>
    <n v="0"/>
    <n v="0"/>
    <n v="0"/>
    <n v="0"/>
    <n v="0"/>
    <n v="0"/>
    <n v="0"/>
    <n v="0"/>
    <m/>
    <n v="80550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OCHAMO"/>
    <m/>
    <m/>
    <m/>
    <m/>
    <m/>
    <m/>
    <m/>
    <n v="2283098582"/>
    <n v="2300000"/>
    <m/>
    <n v="1475296582"/>
    <n v="106896571"/>
    <n v="1368400011"/>
    <n v="0"/>
    <n v="0"/>
    <n v="0"/>
    <n v="0"/>
    <n v="0"/>
    <n v="0"/>
    <n v="4400000"/>
    <n v="9381246"/>
    <n v="20841695"/>
    <n v="0"/>
    <n v="65693630"/>
    <n v="6580000"/>
    <m/>
    <n v="80550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RESI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2"/>
    <s v="FRESIA"/>
    <n v="12"/>
    <s v="LIBRE"/>
    <s v="EJECUCION"/>
    <n v="30088011"/>
    <s v="G"/>
    <s v="PAULINA HUIDOBRO JARAMI"/>
    <s v="30088011EJECUCION"/>
    <m/>
    <s v="CONSTRUCCION PLANTA DE TRATAMIENTO PARGA"/>
    <m/>
    <m/>
    <m/>
    <m/>
    <m/>
    <m/>
    <m/>
    <n v="646979000"/>
    <n v="305360040"/>
    <m/>
    <n v="341618960"/>
    <n v="29853568"/>
    <n v="311765392"/>
    <n v="0"/>
    <n v="0"/>
    <n v="0"/>
    <n v="0"/>
    <n v="0"/>
    <n v="0"/>
    <n v="0"/>
    <n v="0"/>
    <n v="0"/>
    <n v="10007311"/>
    <n v="3487763"/>
    <n v="16358494"/>
    <m/>
    <n v="0"/>
    <s v="RS"/>
  </r>
  <r>
    <n v="31"/>
    <s v="A"/>
    <s v="AGUA POTABLE Y ALCANTARILLADO"/>
    <s v="RURAL"/>
    <s v="AGUA POTABLE"/>
    <x v="2"/>
    <s v="FRESIA"/>
    <n v="12"/>
    <s v="LIBRE"/>
    <s v="EJECUCION"/>
    <n v="30397144"/>
    <s v="G"/>
    <s v="PAULINA HUIDOBRO JARAMI"/>
    <s v="30397144EJECUCION"/>
    <m/>
    <s v="CONSTRUCCION SISTEMA APR SECTOR LAS CRUCES, COMUNA DE FRESIA"/>
    <m/>
    <m/>
    <m/>
    <m/>
    <m/>
    <m/>
    <m/>
    <n v="1134291000"/>
    <n v="698836765"/>
    <m/>
    <n v="435454235"/>
    <n v="258467213"/>
    <n v="176987022"/>
    <n v="0"/>
    <n v="0"/>
    <n v="0"/>
    <n v="0"/>
    <n v="0"/>
    <n v="1250000"/>
    <n v="1250000"/>
    <n v="9961818"/>
    <n v="39677906"/>
    <n v="67667864"/>
    <n v="42695534"/>
    <n v="95964091"/>
    <m/>
    <n v="0"/>
    <s v="RE"/>
  </r>
  <r>
    <n v="31"/>
    <s v="A"/>
    <s v="EDUCACIÓN Y CULTURA"/>
    <s v="RURAL"/>
    <s v="SOCIAL"/>
    <x v="2"/>
    <s v="FRESIA"/>
    <n v="12"/>
    <s v="LIBRE"/>
    <s v="EJECUCION"/>
    <n v="30396276"/>
    <m/>
    <s v="KARIN DEL CARMEN BARRIENTOS WINTER"/>
    <s v="30396276EJECUCION"/>
    <m/>
    <s v="CONSERVACION EDIFICIO DAEM, FRESIA (C33)"/>
    <m/>
    <m/>
    <m/>
    <m/>
    <m/>
    <m/>
    <m/>
    <n v="68303000"/>
    <n v="61049360"/>
    <m/>
    <n v="7253640"/>
    <n v="6450636"/>
    <n v="803004"/>
    <n v="0"/>
    <n v="0"/>
    <n v="0"/>
    <n v="0"/>
    <n v="0"/>
    <n v="0"/>
    <n v="1416666"/>
    <n v="3617304"/>
    <n v="0"/>
    <n v="0"/>
    <n v="0"/>
    <n v="1416666"/>
    <m/>
    <n v="0"/>
    <s v="RS*"/>
  </r>
  <r>
    <n v="31"/>
    <s v="A"/>
    <s v="SALUD"/>
    <s v="RURAL"/>
    <s v="SOCIAL"/>
    <x v="2"/>
    <s v="FRESIA"/>
    <n v="12"/>
    <s v="LIBRE"/>
    <s v="EJECUCION"/>
    <n v="30282773"/>
    <s v="SALUD"/>
    <s v="KARIN DEL CARMEN BARRIENTOS WINTER"/>
    <s v="30282773EJECUCION"/>
    <m/>
    <s v="REPOSICION POSTA DE SALUD RURAL EL TRAIGUEN, FRESIA"/>
    <m/>
    <m/>
    <m/>
    <m/>
    <m/>
    <m/>
    <m/>
    <n v="466789000"/>
    <n v="27961790"/>
    <m/>
    <n v="438827210"/>
    <n v="89282896"/>
    <n v="349544314"/>
    <n v="0"/>
    <n v="0"/>
    <n v="0"/>
    <n v="0"/>
    <n v="0"/>
    <n v="1330000"/>
    <n v="66702268"/>
    <n v="6795593"/>
    <n v="10465035"/>
    <n v="2660000"/>
    <n v="0"/>
    <n v="1330000"/>
    <m/>
    <n v="0"/>
    <s v="RS"/>
  </r>
  <r>
    <n v="29"/>
    <s v="A"/>
    <s v="DEFENSA Y SEGURIDAD"/>
    <s v="RURAL"/>
    <s v="SOCIAL"/>
    <x v="2"/>
    <s v="FRESIA"/>
    <n v="12"/>
    <s v="LIBRE"/>
    <s v="EJECUCION"/>
    <n v="30340925"/>
    <m/>
    <e v="#N/A"/>
    <s v="30340925EJECUCION"/>
    <m/>
    <s v="** REPOSICION GANCHOS Y LUMINARIAS COMUNA DE FRESIA (C33)"/>
    <s v="* CERT. CORE 17 01.20 - APRUEBA INCORPORAR INICIATIVA PPTO 2020"/>
    <m/>
    <m/>
    <m/>
    <m/>
    <m/>
    <m/>
    <n v="534844000"/>
    <n v="0"/>
    <m/>
    <n v="212085350"/>
    <n v="0"/>
    <n v="212085350"/>
    <n v="0"/>
    <n v="0"/>
    <n v="0"/>
    <n v="0"/>
    <n v="0"/>
    <n v="0"/>
    <n v="0"/>
    <n v="0"/>
    <n v="0"/>
    <n v="0"/>
    <n v="0"/>
    <n v="0"/>
    <m/>
    <n v="322758650"/>
    <s v="RS*"/>
  </r>
  <r>
    <n v="31"/>
    <s v="A"/>
    <s v="AGUA POTABLE Y ALCANTARILLADO"/>
    <s v="RURAL"/>
    <s v="AGUA POTABLE"/>
    <x v="2"/>
    <s v="FRESIA"/>
    <n v="12"/>
    <s v="LIBRE"/>
    <s v="EJECUCION"/>
    <n v="30212472"/>
    <m/>
    <s v="KARIN DEL CARMEN BARRIENTOS WINTER"/>
    <s v="30212472EJECUCION"/>
    <m/>
    <s v="CONSTRUCCION APR EL MAÑIO"/>
    <s v="* CERT. CORE 20 02.19 - APRUEBA INCORPORAR ITEM OBRAS CIVILES * CERT. CORE 35 03.19 - ACTUALIZA PPTO."/>
    <m/>
    <m/>
    <m/>
    <m/>
    <m/>
    <m/>
    <n v="490790000"/>
    <n v="376365503"/>
    <m/>
    <n v="114424497"/>
    <n v="0"/>
    <n v="114424497"/>
    <n v="0"/>
    <n v="0"/>
    <n v="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2"/>
    <s v="FRESIA"/>
    <n v="1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FRESIA"/>
    <n v="12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92828132"/>
    <n v="107171868"/>
    <n v="0"/>
    <n v="0"/>
    <n v="0"/>
    <n v="0"/>
    <n v="0"/>
    <n v="0"/>
    <n v="5966708"/>
    <n v="0"/>
    <n v="35633834"/>
    <n v="0"/>
    <n v="5122759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641996000"/>
    <n v="1469573458"/>
    <m/>
    <n v="1849663892"/>
    <n v="476882445"/>
    <n v="1372781447"/>
    <n v="0"/>
    <n v="0"/>
    <n v="0"/>
    <n v="0"/>
    <n v="0"/>
    <n v="2580000"/>
    <n v="75335642"/>
    <n v="20374715"/>
    <n v="85776775"/>
    <n v="80335175"/>
    <n v="97410887"/>
    <n v="115069251"/>
    <m/>
    <n v="32275865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s v="FRESIA"/>
    <n v="12"/>
    <s v="LIBRE"/>
    <s v="EJECUCION"/>
    <n v="30134714"/>
    <m/>
    <e v="#N/A"/>
    <s v="30134714EJECUCION"/>
    <m/>
    <s v="CONSTRUCCION ESTADIO MUNICIPAL ANFUR, COMUNA DE FRESIA"/>
    <s v="* CERT. CORE 332 10.10.19 - APRUEBA INCORPORAR INICIATIVA CON CARGO AL FNDR."/>
    <m/>
    <n v="919116000"/>
    <s v="4358 06,12,19"/>
    <n v="909473000"/>
    <m/>
    <m/>
    <n v="919116000"/>
    <n v="0"/>
    <m/>
    <n v="319116000"/>
    <n v="0"/>
    <n v="319116000"/>
    <n v="0"/>
    <n v="0"/>
    <n v="0"/>
    <n v="0"/>
    <n v="0"/>
    <n v="0"/>
    <n v="0"/>
    <n v="0"/>
    <n v="0"/>
    <n v="0"/>
    <n v="0"/>
    <n v="0"/>
    <m/>
    <n v="600000000"/>
    <s v="RS"/>
  </r>
  <r>
    <n v="31"/>
    <s v="A"/>
    <s v="TRANSPORTE Y VIVIENDA"/>
    <s v="RURAL"/>
    <s v="CONECTIVIDAD"/>
    <x v="2"/>
    <s v="FRESIA"/>
    <n v="12"/>
    <s v="FAR"/>
    <s v="EJECUCION"/>
    <n v="40006229"/>
    <m/>
    <e v="#N/A"/>
    <s v="40006229EJECUCION"/>
    <s v="4037-132-LR19"/>
    <s v="MEJORAMIENTO DIVERSAS CALLES, COMUNA DE FRESIA"/>
    <m/>
    <m/>
    <m/>
    <m/>
    <m/>
    <m/>
    <m/>
    <n v="774200000"/>
    <n v="0"/>
    <m/>
    <n v="237621258"/>
    <n v="0"/>
    <n v="237621258"/>
    <n v="0"/>
    <n v="0"/>
    <n v="0"/>
    <n v="0"/>
    <n v="0"/>
    <n v="0"/>
    <n v="0"/>
    <n v="0"/>
    <n v="0"/>
    <n v="0"/>
    <n v="0"/>
    <n v="0"/>
    <m/>
    <n v="536578742"/>
    <s v="RS"/>
  </r>
  <r>
    <n v="31"/>
    <s v="N"/>
    <s v="TRANSPORTE Y VIVIENDA"/>
    <s v="RURAL"/>
    <s v="CONECTIVIDAD"/>
    <x v="2"/>
    <s v="FRESIA"/>
    <n v="12"/>
    <s v="FAR"/>
    <s v="EJECUCION"/>
    <n v="30396424"/>
    <m/>
    <m/>
    <s v="30396424EJECUCION"/>
    <s v="4037-59-LR20"/>
    <s v="CONSERVACION CAMINOS NO ENROLADOS, DIVERSOS SECTORES DE FRESIA (C33)"/>
    <s v="* ORD. 3275 30.09.2019 (RS)"/>
    <m/>
    <m/>
    <s v="784 18,03,20"/>
    <n v="866629000"/>
    <m/>
    <m/>
    <n v="866629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716629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559945000"/>
    <n v="0"/>
    <m/>
    <n v="706737258"/>
    <n v="0"/>
    <n v="706737258"/>
    <n v="0"/>
    <n v="0"/>
    <n v="0"/>
    <n v="0"/>
    <n v="0"/>
    <n v="0"/>
    <n v="0"/>
    <n v="0"/>
    <n v="0"/>
    <n v="0"/>
    <n v="0"/>
    <n v="0"/>
    <m/>
    <n v="185320774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RESIA"/>
    <m/>
    <m/>
    <m/>
    <m/>
    <m/>
    <m/>
    <m/>
    <n v="6201941000"/>
    <n v="1469573458"/>
    <m/>
    <n v="2556401150"/>
    <n v="476882445"/>
    <n v="2079518705"/>
    <n v="0"/>
    <n v="0"/>
    <n v="0"/>
    <n v="0"/>
    <n v="0"/>
    <n v="2580000"/>
    <n v="75335642"/>
    <n v="20374715"/>
    <n v="85776775"/>
    <n v="80335175"/>
    <n v="97410887"/>
    <n v="115069251"/>
    <m/>
    <n v="217596639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RUTILLAR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s v="FRUTILLAR"/>
    <n v="13"/>
    <s v="LIBRE"/>
    <s v="EJECUCION"/>
    <n v="30484262"/>
    <m/>
    <s v="KARIN DEL CARMEN BARRIENTOS WINTER"/>
    <s v="30484262EJECUCION"/>
    <m/>
    <s v="CONSTRUCCION SERVICIO DE APR LOMA DE LA PIEDRA-LA HUACHA, FRUTILLAR"/>
    <m/>
    <m/>
    <m/>
    <m/>
    <m/>
    <m/>
    <m/>
    <n v="373315000"/>
    <n v="222006266"/>
    <m/>
    <n v="151308734"/>
    <n v="146837549"/>
    <n v="4471185"/>
    <n v="0"/>
    <n v="0"/>
    <n v="0"/>
    <n v="0"/>
    <n v="0"/>
    <n v="0"/>
    <n v="1122000"/>
    <n v="3482005"/>
    <n v="1122000"/>
    <n v="1122000"/>
    <n v="43406118"/>
    <n v="96583426"/>
    <m/>
    <n v="0"/>
    <s v="RS"/>
  </r>
  <r>
    <n v="31"/>
    <s v="A"/>
    <s v="AGUA POTABLE Y ALCANTARILLADO"/>
    <s v="RURAL"/>
    <s v="AGUA POTABLE"/>
    <x v="2"/>
    <s v="FRUTILLAR"/>
    <n v="13"/>
    <s v="LIBRE"/>
    <s v="EJECUCION"/>
    <n v="30465246"/>
    <m/>
    <s v="PAULINA HUIDOBRO JARAMI"/>
    <s v="30465246EJECUCION"/>
    <m/>
    <s v="CONSTRUCCION RED DE APR SECTOR VILLA ALEGRE"/>
    <m/>
    <m/>
    <m/>
    <m/>
    <m/>
    <m/>
    <m/>
    <n v="175409000"/>
    <n v="148115391"/>
    <m/>
    <n v="27293609"/>
    <n v="3600000"/>
    <n v="23693609"/>
    <n v="0"/>
    <n v="0"/>
    <n v="0"/>
    <n v="0"/>
    <n v="0"/>
    <n v="0"/>
    <n v="0"/>
    <n v="0"/>
    <n v="0"/>
    <n v="1200000"/>
    <n v="1200000"/>
    <n v="1200000"/>
    <m/>
    <n v="0"/>
    <s v="RS"/>
  </r>
  <r>
    <n v="31"/>
    <s v="A"/>
    <s v="EDUCACIÓN Y CULTURA"/>
    <s v="RURAL"/>
    <s v="SOCIAL"/>
    <x v="2"/>
    <s v="FRUTILLAR"/>
    <n v="13"/>
    <s v="LIBRE"/>
    <s v="EJECUCION"/>
    <n v="40005302"/>
    <m/>
    <e v="#N/A"/>
    <s v="40005302EJECUCION"/>
    <m/>
    <s v="CONSERVACION LICEO POLITECNICO IGNACIO CARRERA PINTO FRUTILLAR (C33)"/>
    <m/>
    <m/>
    <m/>
    <m/>
    <m/>
    <m/>
    <m/>
    <n v="280198000"/>
    <n v="124191673"/>
    <m/>
    <n v="156006327"/>
    <n v="129532035"/>
    <n v="26474292"/>
    <n v="0"/>
    <n v="0"/>
    <n v="0"/>
    <n v="0"/>
    <n v="0"/>
    <n v="0"/>
    <n v="0"/>
    <n v="13923534"/>
    <n v="32144875"/>
    <n v="29393595"/>
    <n v="15779103"/>
    <n v="38290928"/>
    <m/>
    <n v="0"/>
    <s v="RS*"/>
  </r>
  <r>
    <n v="31"/>
    <s v="A"/>
    <s v="TRANSPORTE Y VIVIENDA"/>
    <s v="RURAL"/>
    <s v="CONECTIVIDAD"/>
    <x v="2"/>
    <s v="FRUTILLAR"/>
    <n v="13"/>
    <s v="FAR"/>
    <s v="EJECUCION"/>
    <n v="30077934"/>
    <m/>
    <e v="#N/A"/>
    <s v="30077934EJECUCION"/>
    <m/>
    <s v="CONSTRUCCION CALLE NUEVA NUEVE DE FRUTILLAR"/>
    <m/>
    <m/>
    <m/>
    <m/>
    <m/>
    <m/>
    <m/>
    <n v="1461360000"/>
    <n v="26796157"/>
    <m/>
    <n v="816715492"/>
    <n v="816715492"/>
    <n v="0"/>
    <n v="0"/>
    <n v="0"/>
    <n v="0"/>
    <n v="0"/>
    <n v="0"/>
    <n v="108020617"/>
    <n v="153392100"/>
    <n v="185052534"/>
    <n v="170070988"/>
    <n v="200179253"/>
    <n v="0"/>
    <n v="0"/>
    <m/>
    <n v="617848351"/>
    <s v="RS"/>
  </r>
  <r>
    <n v="31"/>
    <s v="A"/>
    <s v="AGUA POTABLE Y ALCANTARILLADO"/>
    <s v="RURAL"/>
    <s v="SOCIAL"/>
    <x v="2"/>
    <s v="FRUTILLAR"/>
    <n v="13"/>
    <s v="LIBRE"/>
    <s v="EJECUCION"/>
    <n v="30485141"/>
    <m/>
    <e v="#N/A"/>
    <s v="30485141EJECUCION"/>
    <s v="2289-42-LQ19"/>
    <s v="CONSTRUCCION SISTEMA DE APR SECT. LOS RADALES, COMUNA FRUTILLAR"/>
    <m/>
    <m/>
    <m/>
    <m/>
    <m/>
    <m/>
    <m/>
    <n v="229003000"/>
    <n v="0"/>
    <m/>
    <n v="157561125"/>
    <n v="13908959"/>
    <n v="143652166"/>
    <n v="0"/>
    <n v="0"/>
    <n v="0"/>
    <n v="0"/>
    <n v="0"/>
    <n v="5036628"/>
    <n v="1600000"/>
    <n v="7272331"/>
    <n v="0"/>
    <n v="0"/>
    <n v="0"/>
    <n v="0"/>
    <m/>
    <n v="71441875"/>
    <s v="RS"/>
  </r>
  <r>
    <n v="33"/>
    <s v="A"/>
    <s v="MULTISECTORIAL"/>
    <s v="URBANO"/>
    <s v="SOCIAL"/>
    <x v="2"/>
    <s v="FRUTILLAR"/>
    <n v="1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FRUTILLAR"/>
    <n v="13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46340240"/>
    <n v="53659760"/>
    <n v="0"/>
    <n v="0"/>
    <n v="0"/>
    <n v="0"/>
    <n v="0"/>
    <n v="0"/>
    <n v="33502308"/>
    <n v="17866850"/>
    <n v="80706105"/>
    <n v="14264977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819285000"/>
    <n v="521109487"/>
    <m/>
    <n v="1608885287"/>
    <n v="1256934275"/>
    <n v="351951012"/>
    <n v="0"/>
    <n v="0"/>
    <n v="0"/>
    <n v="0"/>
    <n v="0"/>
    <n v="113057245"/>
    <n v="189616408"/>
    <n v="227597254"/>
    <n v="284043968"/>
    <n v="246159825"/>
    <n v="60385221"/>
    <n v="136074354"/>
    <m/>
    <n v="68929022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SOCIAL"/>
    <x v="2"/>
    <s v="FRUTILLAR"/>
    <n v="13"/>
    <s v="LIBRE"/>
    <s v="EJECUCION"/>
    <n v="30485139"/>
    <m/>
    <s v="KARIN DEL CARMEN BARRIENTOS WINTER"/>
    <s v="30485139EJECUCION"/>
    <s v="2289-45-LQ19"/>
    <s v="CONSTRUCCION SERVICIO DE APR SECTOR PICHILOPEZ, FRUTILLAR"/>
    <m/>
    <m/>
    <m/>
    <s v="2511 30,08,19"/>
    <n v="160436000"/>
    <m/>
    <m/>
    <n v="218397000"/>
    <n v="0"/>
    <m/>
    <n v="218397000"/>
    <n v="0"/>
    <n v="21839700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RURAL"/>
    <s v="SOCIAL"/>
    <x v="2"/>
    <s v="FRUTILLAR"/>
    <n v="13"/>
    <s v="LIBRE"/>
    <s v="EJECUCION"/>
    <n v="30485133"/>
    <m/>
    <e v="#N/A"/>
    <s v="30485133EJECUCION"/>
    <s v="2289-30-LR20"/>
    <s v="CONSTRUCCION RED DE AGUA POTABLE SECTOR PEDERNAL, COMUNA FRUTILLAR"/>
    <s v="* CERT. CORE 280 12.09.19 - APRUEBA AUMENTO PPTO"/>
    <m/>
    <m/>
    <s v="4096 15,11,19"/>
    <n v="449572000"/>
    <m/>
    <m/>
    <n v="449572000"/>
    <n v="0"/>
    <m/>
    <n v="341863000"/>
    <n v="0"/>
    <n v="341863000"/>
    <n v="0"/>
    <n v="0"/>
    <n v="0"/>
    <n v="0"/>
    <n v="0"/>
    <n v="0"/>
    <n v="0"/>
    <n v="0"/>
    <n v="0"/>
    <n v="0"/>
    <n v="0"/>
    <n v="0"/>
    <m/>
    <n v="107709000"/>
    <s v="RS"/>
  </r>
  <r>
    <n v="31"/>
    <s v="A"/>
    <s v="EDUCACIÓN Y CULTURA"/>
    <s v="URBANO"/>
    <s v="SOCIAL"/>
    <x v="2"/>
    <s v="FRUTILLAR"/>
    <n v="13"/>
    <s v="LIBRE"/>
    <s v="EJECUCION"/>
    <n v="30085259"/>
    <m/>
    <e v="#N/A"/>
    <s v="30085259EJECUCION"/>
    <s v="2289-56-LR19"/>
    <s v="REPOSICION ESCUELA ARTURO ALESSANDRI PALMA FRUTILLAR"/>
    <s v="* CERT. CORE 232 08.08.19 - APRUEBA INCORPORAR CON CARGO AL FNDR."/>
    <m/>
    <m/>
    <m/>
    <m/>
    <m/>
    <m/>
    <n v="6379910000"/>
    <n v="0"/>
    <m/>
    <n v="759422906"/>
    <n v="0"/>
    <n v="759422906"/>
    <n v="0"/>
    <n v="0"/>
    <n v="0"/>
    <n v="0"/>
    <n v="0"/>
    <n v="0"/>
    <n v="0"/>
    <n v="0"/>
    <n v="0"/>
    <n v="0"/>
    <n v="0"/>
    <n v="0"/>
    <m/>
    <n v="5620487094"/>
    <s v="RS"/>
  </r>
  <r>
    <n v="31"/>
    <s v="A"/>
    <s v="AGUA POTABLE Y ALCANTARILLADO"/>
    <s v="RURAL"/>
    <s v="SOCIAL"/>
    <x v="2"/>
    <s v="FRUTILLAR"/>
    <n v="13"/>
    <s v="LIBRE"/>
    <s v="EJECUCION"/>
    <n v="30485115"/>
    <m/>
    <s v="KARIN DEL CARMEN BARRIENTOS WINTER"/>
    <s v="30485115EJECUCION"/>
    <m/>
    <s v="* CONSTRUCCION SERVICIO DE APR SECTOR BALMACEDA-PARAGUAY, FRUTILLAR"/>
    <s v="* CERT. CORE 248 22.08.19 - APRUEBA REINCORPORAR CON CARGO FNDR./ * CERT. CORE 42 07.02.20 - ACTUALIZA COSTO"/>
    <m/>
    <m/>
    <s v="4095 15,11,19"/>
    <n v="414955000"/>
    <m/>
    <m/>
    <n v="425742000"/>
    <n v="0"/>
    <m/>
    <n v="233849472"/>
    <n v="0"/>
    <n v="233849472"/>
    <n v="0"/>
    <n v="0"/>
    <n v="0"/>
    <n v="0"/>
    <n v="0"/>
    <n v="0"/>
    <n v="0"/>
    <n v="0"/>
    <n v="0"/>
    <n v="0"/>
    <n v="0"/>
    <n v="0"/>
    <m/>
    <n v="191892528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7473621000"/>
    <n v="0"/>
    <m/>
    <n v="1553532378"/>
    <n v="0"/>
    <n v="1553532378"/>
    <n v="0"/>
    <n v="0"/>
    <n v="0"/>
    <n v="0"/>
    <n v="0"/>
    <n v="0"/>
    <n v="0"/>
    <n v="0"/>
    <n v="0"/>
    <n v="0"/>
    <n v="0"/>
    <n v="0"/>
    <m/>
    <n v="59200886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RUTILLAR"/>
    <m/>
    <m/>
    <m/>
    <m/>
    <m/>
    <m/>
    <m/>
    <n v="10292906000"/>
    <n v="521109487"/>
    <m/>
    <n v="3162417665"/>
    <n v="1256934275"/>
    <n v="1905483390"/>
    <n v="0"/>
    <n v="0"/>
    <n v="0"/>
    <n v="0"/>
    <n v="0"/>
    <n v="113057245"/>
    <n v="189616408"/>
    <n v="227597254"/>
    <n v="284043968"/>
    <n v="246159825"/>
    <n v="60385221"/>
    <n v="136074354"/>
    <m/>
    <n v="660937884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LLANQUI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URBANO"/>
    <s v="SOCIAL"/>
    <x v="2"/>
    <s v="LLANQUIHUE"/>
    <n v="14"/>
    <s v="LIBRE"/>
    <s v="EJECUCION"/>
    <n v="30076574"/>
    <m/>
    <m/>
    <s v="30076574EJECUCION"/>
    <m/>
    <s v="** REPOSICION EDIFICIO CONSISTORIAL, LLANQUIHUE"/>
    <s v="* CERT. CORE 137 04.2020 - INCORPORA"/>
    <m/>
    <m/>
    <m/>
    <m/>
    <m/>
    <m/>
    <n v="3514987095"/>
    <n v="3081361556"/>
    <m/>
    <n v="340475445"/>
    <n v="340475445"/>
    <n v="0"/>
    <m/>
    <m/>
    <m/>
    <m/>
    <m/>
    <n v="138450528"/>
    <n v="47172432"/>
    <n v="49512188"/>
    <n v="0"/>
    <n v="40577094"/>
    <n v="64763203"/>
    <n v="0"/>
    <m/>
    <n v="93150094"/>
    <s v="RS"/>
  </r>
  <r>
    <n v="31"/>
    <s v="A"/>
    <s v="AGUA POTABLE Y ALCANTARILLADO"/>
    <s v="RURAL"/>
    <s v="AGUA POTABLE"/>
    <x v="2"/>
    <s v="LLANQUIHUE"/>
    <n v="14"/>
    <s v="FAR"/>
    <s v="EJECUCION"/>
    <n v="40007476"/>
    <m/>
    <e v="#N/A"/>
    <s v="40007476EJECUCION"/>
    <s v="1437-40-LR19"/>
    <s v="* CONSTRUCCION APR COLEGUAL ESPERANZA, LLANQUIHUE"/>
    <s v="* CERT. CORE 129 05.19 - ACTUALIZA NOMBRE Y CODIGO. / * CERT. CORE 43 07.02.20 - ACTUALIZA COSTO"/>
    <m/>
    <m/>
    <m/>
    <m/>
    <m/>
    <m/>
    <n v="385181000"/>
    <n v="0"/>
    <m/>
    <n v="55371110"/>
    <n v="19723055"/>
    <n v="35648055"/>
    <n v="0"/>
    <n v="0"/>
    <n v="0"/>
    <n v="0"/>
    <n v="0"/>
    <n v="1330000"/>
    <n v="17063055"/>
    <n v="0"/>
    <n v="1330000"/>
    <n v="0"/>
    <n v="0"/>
    <n v="0"/>
    <m/>
    <n v="329809890"/>
    <s v="RS"/>
  </r>
  <r>
    <n v="33"/>
    <s v="A"/>
    <s v="MULTISECTORIAL"/>
    <s v="URBANO"/>
    <s v="SOCIAL"/>
    <x v="2"/>
    <s v="LLANQUIHUE"/>
    <n v="1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LLANQUIHUE"/>
    <n v="14"/>
    <s v="FRIL"/>
    <s v="EJECUCION"/>
    <s v="FRIL"/>
    <m/>
    <m/>
    <s v="FRILEJECUCION"/>
    <m/>
    <s v="FONDO REGIONAL DE INICIATIVAS LOCAL - ANEXO PAGINA 5"/>
    <m/>
    <m/>
    <m/>
    <m/>
    <m/>
    <m/>
    <m/>
    <n v="200000000"/>
    <n v="0"/>
    <m/>
    <n v="200000000"/>
    <n v="151446313"/>
    <n v="48553687"/>
    <n v="0"/>
    <n v="0"/>
    <n v="0"/>
    <n v="0"/>
    <n v="0"/>
    <n v="4000185"/>
    <n v="9907625"/>
    <n v="18722865"/>
    <n v="53399067"/>
    <n v="0"/>
    <n v="65416571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200168095"/>
    <n v="3081361556"/>
    <m/>
    <n v="695846555"/>
    <n v="511644813"/>
    <n v="184201742"/>
    <n v="0"/>
    <n v="0"/>
    <n v="0"/>
    <n v="0"/>
    <n v="0"/>
    <n v="143780713"/>
    <n v="74143112"/>
    <n v="68235053"/>
    <n v="54729067"/>
    <n v="40577094"/>
    <n v="130179774"/>
    <n v="0"/>
    <m/>
    <n v="42295998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SOCIAL"/>
    <x v="2"/>
    <s v="LLANQUIHUE"/>
    <n v="14"/>
    <s v="LIBRE"/>
    <s v="DISEÑO"/>
    <n v="40005289"/>
    <m/>
    <m/>
    <s v="40005289DISEÑO"/>
    <m/>
    <s v="MEJORAMIENTO ESPACIO PUBLICO HUMEDAL EL LOTO, LLANQUIHUE"/>
    <m/>
    <m/>
    <m/>
    <s v="1054 05,05,20"/>
    <n v="82400000"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82400000"/>
    <n v="0"/>
    <m/>
    <n v="10838902"/>
    <n v="0"/>
    <n v="10838902"/>
    <n v="0"/>
    <n v="0"/>
    <n v="0"/>
    <n v="0"/>
    <n v="0"/>
    <n v="0"/>
    <n v="0"/>
    <n v="0"/>
    <n v="0"/>
    <n v="0"/>
    <n v="0"/>
    <n v="0"/>
    <m/>
    <n v="71561098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LLANQUIHUE"/>
    <m/>
    <m/>
    <m/>
    <m/>
    <m/>
    <m/>
    <m/>
    <n v="4282568095"/>
    <n v="3081361556"/>
    <m/>
    <n v="706685457"/>
    <n v="511644813"/>
    <n v="195040644"/>
    <n v="0"/>
    <n v="0"/>
    <n v="0"/>
    <n v="0"/>
    <n v="0"/>
    <n v="143780713"/>
    <n v="74143112"/>
    <n v="68235053"/>
    <n v="54729067"/>
    <n v="40577094"/>
    <n v="130179774"/>
    <n v="0"/>
    <m/>
    <n v="49452108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LOS MUERMO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2"/>
    <s v="LOS MUERMOS"/>
    <n v="15"/>
    <s v="LIBRE"/>
    <s v="DISEÑO"/>
    <n v="30361529"/>
    <m/>
    <s v="KARIN DEL CARMEN BARRIENTOS WINTER"/>
    <s v="30361529DISEÑO"/>
    <m/>
    <s v="MEJORAMIENTO SISTEMA APR CAÑITAS-RIO FRIO, LOS MUERMOS"/>
    <m/>
    <m/>
    <m/>
    <m/>
    <m/>
    <m/>
    <m/>
    <n v="29319000"/>
    <n v="6148000"/>
    <m/>
    <n v="23171000"/>
    <n v="6815000"/>
    <n v="16356000"/>
    <n v="0"/>
    <n v="0"/>
    <n v="0"/>
    <n v="0"/>
    <n v="0"/>
    <n v="0"/>
    <n v="0"/>
    <n v="0"/>
    <n v="6815000"/>
    <n v="0"/>
    <n v="0"/>
    <n v="0"/>
    <m/>
    <n v="0"/>
    <s v="RS"/>
  </r>
  <r>
    <n v="31"/>
    <s v="A"/>
    <s v="TRANSPORTE Y VIVIENDA"/>
    <s v="RURAL"/>
    <s v="SOCIAL"/>
    <x v="2"/>
    <s v="LOS MUERMOS"/>
    <n v="15"/>
    <s v="FAR"/>
    <s v="EJECUCION"/>
    <n v="40004593"/>
    <m/>
    <s v="KARIN DEL CARMEN BARRIENTOS WINTER"/>
    <s v="40004593EJECUCION"/>
    <m/>
    <s v="CONSERVACION CAMINOS VECINALES, COMUNA LOS MUERMOS (C33)"/>
    <m/>
    <m/>
    <m/>
    <m/>
    <m/>
    <m/>
    <m/>
    <n v="583059000"/>
    <n v="352770860"/>
    <m/>
    <n v="230288140"/>
    <n v="230288070"/>
    <n v="70"/>
    <n v="0"/>
    <n v="0"/>
    <n v="0"/>
    <n v="0"/>
    <n v="0"/>
    <n v="0"/>
    <n v="0"/>
    <n v="0"/>
    <n v="42677639"/>
    <n v="43417701"/>
    <n v="74464993"/>
    <n v="69727737"/>
    <m/>
    <n v="0"/>
    <s v="RS*"/>
  </r>
  <r>
    <n v="31"/>
    <s v="A"/>
    <s v="AGUA POTABLE Y ALCANTARILLADO"/>
    <s v="RURAL"/>
    <s v="AGUA POTABLE"/>
    <x v="2"/>
    <s v="LOS MUERMOS"/>
    <n v="15"/>
    <s v="LIBRE"/>
    <s v="DISEÑO"/>
    <n v="30465403"/>
    <m/>
    <s v="KARIN DEL CARMEN BARRIENTOS WINTER"/>
    <s v="30465403DISEÑO"/>
    <m/>
    <s v="CONSTRUCCION SERVICIO APR SECTOR CUESTA LA VACA, C LOS MUERMOS"/>
    <m/>
    <m/>
    <m/>
    <m/>
    <m/>
    <m/>
    <m/>
    <n v="27413000"/>
    <n v="10036840"/>
    <m/>
    <n v="12555260"/>
    <n v="0"/>
    <n v="12555260"/>
    <n v="0"/>
    <n v="0"/>
    <n v="0"/>
    <n v="0"/>
    <n v="0"/>
    <n v="0"/>
    <n v="0"/>
    <n v="0"/>
    <n v="0"/>
    <n v="0"/>
    <n v="0"/>
    <n v="0"/>
    <m/>
    <n v="4820900"/>
    <s v="RS"/>
  </r>
  <r>
    <n v="31"/>
    <s v="A"/>
    <s v="AGUA POTABLE Y ALCANTARILLADO"/>
    <s v="RURAL"/>
    <s v="AGUA POTABLE"/>
    <x v="2"/>
    <s v="LOS MUERMOS"/>
    <n v="15"/>
    <s v="LIBRE"/>
    <s v="EJECUCION"/>
    <n v="30289475"/>
    <m/>
    <e v="#N/A"/>
    <s v="30289475EJECUCION"/>
    <s v="1522-18-LR19"/>
    <s v="CONSTRUCCION SERVICIO APR SAN CARLOS EL ÑADY"/>
    <m/>
    <m/>
    <m/>
    <m/>
    <m/>
    <m/>
    <m/>
    <n v="1114527000"/>
    <n v="0"/>
    <m/>
    <n v="873325686"/>
    <n v="784969129"/>
    <n v="88356557"/>
    <n v="0"/>
    <n v="0"/>
    <n v="0"/>
    <n v="0"/>
    <n v="0"/>
    <n v="112741228"/>
    <n v="130061989"/>
    <n v="129205773"/>
    <n v="234242369"/>
    <n v="7678985"/>
    <n v="104661331"/>
    <n v="66377454"/>
    <m/>
    <n v="241201314"/>
    <s v="RS"/>
  </r>
  <r>
    <n v="31"/>
    <s v="A"/>
    <s v="TRANSPORTE Y VIVIENDA"/>
    <s v="URBANO"/>
    <s v="SOCIAL"/>
    <x v="2"/>
    <s v="LOS MUERMOS"/>
    <n v="15"/>
    <s v="FAR"/>
    <s v="EJECUCION"/>
    <n v="40009545"/>
    <m/>
    <e v="#N/A"/>
    <s v="40009545EJECUCION"/>
    <s v="1522-19-LR19"/>
    <s v="CONSERVACION VEREDAS SECTOR LOS MUERMOS  (C33)"/>
    <s v="* CERT. CORE 08.08.19 - APRUEBA INCORPORAR CON CARGO AL FNDR."/>
    <m/>
    <m/>
    <m/>
    <m/>
    <m/>
    <m/>
    <n v="526563000"/>
    <n v="0"/>
    <m/>
    <n v="433072215"/>
    <n v="313638230"/>
    <n v="119433985"/>
    <n v="0"/>
    <n v="0"/>
    <n v="0"/>
    <n v="0"/>
    <n v="0"/>
    <n v="0"/>
    <n v="81685603"/>
    <n v="79700957"/>
    <n v="65553297"/>
    <n v="47419115"/>
    <n v="39279258"/>
    <n v="0"/>
    <m/>
    <n v="93490785"/>
    <s v="RS*"/>
  </r>
  <r>
    <n v="33"/>
    <s v="A"/>
    <s v="MULTISECTORIAL"/>
    <s v="URBANO"/>
    <s v="SOCIAL"/>
    <x v="2"/>
    <s v="LOS MUERMOS"/>
    <n v="1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LOS MUERMOS"/>
    <n v="15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053614"/>
    <n v="145946386"/>
    <n v="0"/>
    <n v="0"/>
    <n v="0"/>
    <n v="0"/>
    <n v="0"/>
    <n v="0"/>
    <n v="0"/>
    <n v="31046508"/>
    <n v="23007106"/>
    <n v="0"/>
    <n v="0"/>
    <n v="0"/>
    <m/>
    <n v="0"/>
    <s v="RS**"/>
  </r>
  <r>
    <n v="29"/>
    <s v="N"/>
    <s v="TRANSPORTE Y VIVIENDA"/>
    <s v="RURAL"/>
    <s v="CONECTIVIDAD"/>
    <x v="2"/>
    <s v="LOS MUERMOS"/>
    <n v="15"/>
    <s v="FAR"/>
    <s v="EJECUCION"/>
    <n v="40011672"/>
    <m/>
    <m/>
    <s v="40011672EJECUCION"/>
    <m/>
    <s v="REPOSICION RETROEXCAVADORA (C33)"/>
    <s v="* ORD. 4040 11.12.2019 RS"/>
    <m/>
    <m/>
    <m/>
    <m/>
    <m/>
    <m/>
    <n v="183000000"/>
    <n v="0"/>
    <m/>
    <n v="179083994"/>
    <n v="179083994"/>
    <n v="0"/>
    <n v="0"/>
    <n v="0"/>
    <n v="0"/>
    <n v="0"/>
    <n v="0"/>
    <n v="0"/>
    <n v="0"/>
    <n v="0"/>
    <n v="179083994"/>
    <n v="0"/>
    <n v="0"/>
    <n v="0"/>
    <m/>
    <n v="3916006"/>
    <s v="RS*"/>
  </r>
  <r>
    <n v="31"/>
    <s v="A"/>
    <s v="AGUA POTABLE Y ALCANTARILLADO"/>
    <s v="RURAL"/>
    <s v="AGUA POTABLE"/>
    <x v="2"/>
    <s v="LOS MUERMOS"/>
    <n v="15"/>
    <s v="LIBRE"/>
    <s v="EJECUCION"/>
    <n v="30422722"/>
    <m/>
    <s v="KARIN DEL CARMEN BARRIENTOS WINTER"/>
    <s v="30422722EJECUCION"/>
    <s v="1522-1-LR20"/>
    <s v="CONSTRUCCION SERVICIO APR SANTA AMANDA, LOS MUERMOS"/>
    <s v="* CERT. CORE 375 - APRUEBA INCORPORAR INICIATIVA CON CARGO AL FNDR"/>
    <m/>
    <n v="653685000"/>
    <s v="4359 06,12,19"/>
    <n v="653685000"/>
    <m/>
    <m/>
    <n v="653685000"/>
    <n v="0"/>
    <m/>
    <n v="159806159"/>
    <n v="42188593"/>
    <n v="117617566"/>
    <n v="0"/>
    <n v="0"/>
    <n v="0"/>
    <n v="0"/>
    <n v="0"/>
    <n v="40038593"/>
    <n v="2150000"/>
    <n v="0"/>
    <n v="0"/>
    <n v="0"/>
    <n v="0"/>
    <n v="0"/>
    <m/>
    <n v="493878841"/>
    <s v="RS"/>
  </r>
  <r>
    <n v="29"/>
    <s v="N"/>
    <s v="SALUD"/>
    <s v="URBANO"/>
    <s v="SOCIAL"/>
    <x v="2"/>
    <s v="LOS MUERMOS"/>
    <n v="15"/>
    <s v="LIBRE"/>
    <s v="EJECUCION"/>
    <n v="40014292"/>
    <m/>
    <m/>
    <s v="40014292EJECUCION"/>
    <s v="1522-6-LP20"/>
    <s v="ADQUISICION DE AMBULANCIA DE EMERGENCIA BASICA, LOS MUERMOS (C33)"/>
    <s v="* ORD. 3822 21.11.2019 RS"/>
    <m/>
    <m/>
    <s v="545 14,02,20"/>
    <n v="76567000"/>
    <m/>
    <m/>
    <n v="76567920"/>
    <n v="0"/>
    <m/>
    <n v="76567000"/>
    <n v="76567000"/>
    <n v="0"/>
    <n v="0"/>
    <n v="0"/>
    <n v="0"/>
    <n v="0"/>
    <n v="0"/>
    <n v="0"/>
    <n v="76567000"/>
    <n v="0"/>
    <n v="0"/>
    <n v="0"/>
    <n v="0"/>
    <n v="0"/>
    <m/>
    <n v="920"/>
    <s v="RS*"/>
  </r>
  <r>
    <n v="31"/>
    <s v="A"/>
    <s v="MULTISECTORIAL"/>
    <s v="RURAL"/>
    <s v="SOCIAL"/>
    <x v="2"/>
    <s v="LOS MUERMOS"/>
    <n v="15"/>
    <s v="LIBRE"/>
    <s v="EJECUCION"/>
    <n v="30103323"/>
    <m/>
    <s v="KARIN DEL CARMEN BARRIENTOS WINTER"/>
    <s v="30103323EJECUCION"/>
    <m/>
    <s v="CONSTRUCCION CIERRE EX VERTEDERO MUNICIPAL LOS MUERMOS"/>
    <m/>
    <m/>
    <m/>
    <m/>
    <m/>
    <m/>
    <m/>
    <n v="207019010"/>
    <n v="99601553"/>
    <m/>
    <n v="107417457"/>
    <n v="0"/>
    <n v="107417457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701152930"/>
    <n v="468557253"/>
    <m/>
    <n v="2395286911"/>
    <n v="1687603630"/>
    <n v="707683281"/>
    <n v="0"/>
    <n v="0"/>
    <n v="0"/>
    <n v="0"/>
    <n v="0"/>
    <n v="152779821"/>
    <n v="290464592"/>
    <n v="239953238"/>
    <n v="551379405"/>
    <n v="98515801"/>
    <n v="218405582"/>
    <n v="136105191"/>
    <m/>
    <n v="83730876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TRANSPORTE Y VIVIENDA"/>
    <s v="URBANO"/>
    <s v="CONECTIVIDAD"/>
    <x v="2"/>
    <s v="LOS MUERMOS"/>
    <n v="15"/>
    <s v="FAR"/>
    <s v="DISEÑO"/>
    <n v="30463128"/>
    <m/>
    <m/>
    <s v="30463128DISEÑO"/>
    <s v="1522-13-CO20"/>
    <s v="MEJORAMIENTO CALLE MANUEL MONTT BARRIO COMERCIAL"/>
    <m/>
    <m/>
    <m/>
    <s v="870 27,04,20"/>
    <n v="40580000"/>
    <m/>
    <m/>
    <n v="40580000"/>
    <n v="0"/>
    <m/>
    <n v="15000000"/>
    <n v="0"/>
    <n v="15000000"/>
    <n v="0"/>
    <n v="0"/>
    <n v="0"/>
    <n v="0"/>
    <n v="0"/>
    <n v="0"/>
    <n v="0"/>
    <n v="0"/>
    <n v="0"/>
    <n v="0"/>
    <n v="0"/>
    <n v="0"/>
    <m/>
    <n v="25580000"/>
    <s v="RS"/>
  </r>
  <r>
    <n v="31"/>
    <s v="N"/>
    <s v="TRANSPORTE Y VIVIENDA"/>
    <s v="RURAL"/>
    <s v="SOCIAL"/>
    <x v="2"/>
    <s v="LOS MUERMOS"/>
    <n v="15"/>
    <s v="FAR"/>
    <s v="EJECUCION"/>
    <n v="40011005"/>
    <m/>
    <m/>
    <s v="40011005EJECUCION"/>
    <s v="1522-5-LR20"/>
    <s v="CONSERVACION VEREDAS SECTOR CANITAS Y RIO FRIO (C33)"/>
    <s v="* ORD. 2737 21.08.2019 (RS)"/>
    <m/>
    <m/>
    <s v="779 18,03,20"/>
    <n v="351704000"/>
    <m/>
    <m/>
    <n v="351704000"/>
    <n v="0"/>
    <m/>
    <n v="45000000"/>
    <n v="0"/>
    <n v="45000000"/>
    <n v="0"/>
    <n v="0"/>
    <n v="0"/>
    <n v="0"/>
    <n v="0"/>
    <n v="0"/>
    <n v="0"/>
    <n v="0"/>
    <n v="0"/>
    <n v="0"/>
    <n v="0"/>
    <n v="0"/>
    <m/>
    <n v="306704000"/>
    <s v="RS*"/>
  </r>
  <r>
    <n v="31"/>
    <s v="N"/>
    <s v="MULTISECTORIAL"/>
    <s v="URBANO"/>
    <s v="SOCIAL"/>
    <x v="2"/>
    <s v="LOS MUERMOS"/>
    <n v="15"/>
    <s v="LIBRE"/>
    <s v="DISEÑO"/>
    <n v="30125824"/>
    <m/>
    <m/>
    <s v="30125824DISEÑO"/>
    <m/>
    <s v="AMPLIACION Y REMODELACION INTEGRAL CONSISTORIAL LOS MUERMOS"/>
    <m/>
    <m/>
    <m/>
    <m/>
    <m/>
    <m/>
    <m/>
    <n v="137650000"/>
    <n v="0"/>
    <m/>
    <n v="6000000"/>
    <n v="0"/>
    <n v="6000000"/>
    <n v="0"/>
    <n v="0"/>
    <n v="0"/>
    <n v="0"/>
    <n v="0"/>
    <n v="0"/>
    <n v="0"/>
    <n v="0"/>
    <n v="0"/>
    <n v="0"/>
    <n v="0"/>
    <n v="0"/>
    <m/>
    <n v="13165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529934000"/>
    <n v="0"/>
    <m/>
    <n v="66000000"/>
    <n v="0"/>
    <n v="66000000"/>
    <n v="0"/>
    <n v="0"/>
    <n v="0"/>
    <n v="0"/>
    <n v="0"/>
    <n v="0"/>
    <n v="0"/>
    <n v="0"/>
    <n v="0"/>
    <n v="0"/>
    <n v="0"/>
    <n v="0"/>
    <m/>
    <n v="463934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LOS MUERMOS"/>
    <m/>
    <m/>
    <m/>
    <m/>
    <m/>
    <m/>
    <m/>
    <n v="4231086930"/>
    <n v="468557253"/>
    <m/>
    <n v="2461286911"/>
    <n v="1687603630"/>
    <n v="773683281"/>
    <n v="0"/>
    <n v="0"/>
    <n v="0"/>
    <n v="0"/>
    <n v="0"/>
    <n v="152779821"/>
    <n v="290464592"/>
    <n v="239953238"/>
    <n v="551379405"/>
    <n v="98515801"/>
    <n v="218405582"/>
    <n v="136105191"/>
    <m/>
    <n v="130124276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MAULLI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s v="MAULLIN"/>
    <n v="16"/>
    <s v="FAR"/>
    <s v="EJECUCION"/>
    <n v="30117891"/>
    <m/>
    <s v="KARIN DEL CARMEN BARRIENTOS WINTER"/>
    <s v="30117891EJECUCION"/>
    <m/>
    <s v="MEJORAMIENTO CINCO CALLES LOCALIDAD DE CARELMAPU"/>
    <m/>
    <m/>
    <m/>
    <m/>
    <m/>
    <m/>
    <m/>
    <n v="254664000"/>
    <n v="229728193"/>
    <m/>
    <n v="17685185"/>
    <n v="17685185"/>
    <n v="0"/>
    <n v="0"/>
    <n v="0"/>
    <n v="0"/>
    <n v="0"/>
    <n v="0"/>
    <n v="0"/>
    <n v="0"/>
    <n v="0"/>
    <n v="0"/>
    <n v="0"/>
    <n v="17685185"/>
    <n v="0"/>
    <m/>
    <n v="7250622"/>
    <s v="RS"/>
  </r>
  <r>
    <n v="31"/>
    <s v="A"/>
    <s v="TRANSPORTE Y VIVIENDA"/>
    <s v="URBANO"/>
    <s v="SOCIAL"/>
    <x v="2"/>
    <s v="MAULLIN"/>
    <n v="16"/>
    <s v="FAR"/>
    <s v="EJECUCION"/>
    <n v="30390477"/>
    <m/>
    <e v="#N/A"/>
    <s v="30390477EJECUCION"/>
    <m/>
    <s v="REPOSICION VEREDAS ACCESO A CARELMAPU, MAULLIN"/>
    <s v="* CERT. CORE 205 07.19 - APRUEBA APORTE COMPLEMENTARIO E INCORPORAR COSTO AL FNDR."/>
    <m/>
    <m/>
    <m/>
    <m/>
    <m/>
    <m/>
    <n v="106267000"/>
    <n v="75175000"/>
    <m/>
    <n v="31092000"/>
    <n v="18426870"/>
    <n v="12665130"/>
    <n v="0"/>
    <n v="0"/>
    <n v="0"/>
    <n v="0"/>
    <n v="0"/>
    <n v="0"/>
    <n v="0"/>
    <n v="18426870"/>
    <n v="0"/>
    <n v="0"/>
    <n v="0"/>
    <n v="0"/>
    <m/>
    <n v="0"/>
    <s v="RS"/>
  </r>
  <r>
    <n v="31"/>
    <s v="N"/>
    <s v="TRANSPORTE Y VIVIENDA"/>
    <s v="RURAL"/>
    <s v="CONECTIVIDAD"/>
    <x v="2"/>
    <s v="MAULLIN"/>
    <n v="16"/>
    <s v="FAR"/>
    <s v="DISEÑO"/>
    <n v="30117895"/>
    <m/>
    <m/>
    <s v="30117895DISEÑO"/>
    <m/>
    <s v="MEJORAMIENTO SIETE CALLES LOCALIDAD DE QUENUIR, COMUNA DE MAULLIN"/>
    <m/>
    <m/>
    <m/>
    <m/>
    <m/>
    <m/>
    <m/>
    <n v="6470000"/>
    <n v="6470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RURAL"/>
    <s v="SOCIAL"/>
    <x v="2"/>
    <s v="MAULLIN"/>
    <n v="16"/>
    <s v="LIBRE"/>
    <s v="EJECUCION"/>
    <n v="30115466"/>
    <m/>
    <s v="KARIN DEL CARMEN BARRIENTOS WINTER"/>
    <s v="30115466EJECUCION"/>
    <s v="4086-132-LR19"/>
    <s v="CONSTRUCCION SISTEMA ALCANT. Y TRATAM. AGUAS SERVIDAS DE LOLCURA, MAULLIN"/>
    <m/>
    <m/>
    <m/>
    <m/>
    <m/>
    <m/>
    <m/>
    <n v="274442000"/>
    <n v="0"/>
    <m/>
    <n v="274442000"/>
    <n v="192840721"/>
    <n v="81601279"/>
    <n v="0"/>
    <n v="0"/>
    <n v="0"/>
    <n v="0"/>
    <n v="0"/>
    <n v="52546846"/>
    <n v="46265179"/>
    <n v="40581485"/>
    <n v="0"/>
    <n v="51108782"/>
    <n v="1235000"/>
    <n v="1103429"/>
    <m/>
    <n v="0"/>
    <s v="RE"/>
  </r>
  <r>
    <n v="29"/>
    <s v="A"/>
    <s v="TRANSPORTE Y VIVIENDA"/>
    <s v="RURAL"/>
    <s v="CONECTIVIDAD"/>
    <x v="2"/>
    <s v="MAULLIN"/>
    <n v="16"/>
    <s v="FAR"/>
    <s v="EJECUCION"/>
    <n v="40003228"/>
    <m/>
    <e v="#N/A"/>
    <s v="40003228EJECUCION"/>
    <s v="4086-12-H220"/>
    <s v="REPOSICION DE MOTONIVELADORA MUNICIPALIDAD DE MAULLIN (C33)"/>
    <m/>
    <m/>
    <m/>
    <m/>
    <m/>
    <m/>
    <m/>
    <n v="170000000"/>
    <n v="0"/>
    <m/>
    <n v="170000000"/>
    <n v="169999830"/>
    <n v="170"/>
    <n v="0"/>
    <n v="0"/>
    <n v="0"/>
    <n v="0"/>
    <n v="0"/>
    <n v="0"/>
    <n v="0"/>
    <n v="0"/>
    <n v="0"/>
    <n v="0"/>
    <n v="169999830"/>
    <n v="0"/>
    <m/>
    <n v="0"/>
    <s v="RS*"/>
  </r>
  <r>
    <n v="33"/>
    <s v="A"/>
    <s v="MULTISECTORIAL"/>
    <s v="URBANO"/>
    <s v="SOCIAL"/>
    <x v="2"/>
    <s v="MAULLIN"/>
    <n v="1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MAULLIN"/>
    <n v="16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54939959"/>
    <n v="145060041"/>
    <n v="0"/>
    <n v="0"/>
    <n v="0"/>
    <n v="0"/>
    <n v="0"/>
    <n v="0"/>
    <n v="0"/>
    <n v="0"/>
    <n v="27514354"/>
    <n v="27425605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11843000"/>
    <n v="311373193"/>
    <m/>
    <n v="793219185"/>
    <n v="453892565"/>
    <n v="339326620"/>
    <n v="0"/>
    <n v="0"/>
    <n v="0"/>
    <n v="0"/>
    <n v="0"/>
    <n v="52546846"/>
    <n v="46265179"/>
    <n v="59008355"/>
    <n v="27514354"/>
    <n v="78534387"/>
    <n v="188920015"/>
    <n v="1103429"/>
    <m/>
    <n v="72506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DEFENSA Y SEGURIDAD"/>
    <s v="URBANO"/>
    <s v="SOCIAL"/>
    <x v="2"/>
    <s v="MAULLIN"/>
    <n v="16"/>
    <s v="LIBRE"/>
    <s v="EJECUCION"/>
    <n v="40007939"/>
    <m/>
    <m/>
    <s v="40007939EJECUCION"/>
    <m/>
    <s v="REPOSICION EQUIPOS DE ALUMBRADO PUBLICO CON TECNOLOGIA LED  (C33)"/>
    <s v="* ORD. 370 10.02.2020 (C33) - RS"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902195624"/>
    <n v="0"/>
    <m/>
    <n v="902195624"/>
    <n v="0"/>
    <n v="902195624"/>
    <n v="0"/>
    <n v="0"/>
    <n v="0"/>
    <n v="0"/>
    <n v="0"/>
    <n v="0"/>
    <n v="0"/>
    <n v="0"/>
    <n v="0"/>
    <n v="0"/>
    <n v="0"/>
    <n v="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MAULLIN"/>
    <m/>
    <m/>
    <m/>
    <m/>
    <m/>
    <m/>
    <m/>
    <n v="2014038624"/>
    <n v="311373193"/>
    <m/>
    <n v="1695414809"/>
    <n v="453892565"/>
    <n v="1241522244"/>
    <n v="0"/>
    <n v="0"/>
    <n v="0"/>
    <n v="0"/>
    <n v="0"/>
    <n v="52546846"/>
    <n v="46265179"/>
    <n v="59008355"/>
    <n v="27514354"/>
    <n v="78534387"/>
    <n v="188920015"/>
    <n v="1103429"/>
    <m/>
    <n v="72506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ERTO VARA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URBANO"/>
    <s v="SOCIAL"/>
    <x v="2"/>
    <s v="P.VARAS"/>
    <n v="17"/>
    <s v="LIBRE"/>
    <s v="EJECUCION"/>
    <n v="30064230"/>
    <s v="G"/>
    <s v="PAULINA HUIDOBRO JARAMI"/>
    <s v="30064230EJECUCION"/>
    <m/>
    <s v="REPOSICION ESTADIO EWALDO KLEIN DE PUERTO VARAS"/>
    <m/>
    <m/>
    <m/>
    <m/>
    <m/>
    <m/>
    <m/>
    <n v="2746936000"/>
    <n v="1002255904"/>
    <m/>
    <n v="953255040"/>
    <n v="74125963"/>
    <n v="879129077"/>
    <n v="0"/>
    <n v="0"/>
    <n v="0"/>
    <n v="0"/>
    <n v="0"/>
    <n v="0"/>
    <n v="0"/>
    <n v="0"/>
    <n v="2200000"/>
    <n v="2200000"/>
    <n v="67525963"/>
    <n v="2200000"/>
    <m/>
    <n v="791425056"/>
    <s v="RS"/>
  </r>
  <r>
    <n v="31"/>
    <s v="A"/>
    <s v="TRANSPORTE Y VIVIENDA"/>
    <s v="URBANO"/>
    <s v="CONECTIVIDAD"/>
    <x v="2"/>
    <s v="P.VARAS"/>
    <n v="17"/>
    <s v="FAR"/>
    <s v="EJECUCION"/>
    <n v="40005578"/>
    <m/>
    <s v="KARIN DEL CARMEN BARRIENTOS WINTER"/>
    <s v="40005578EJECUCION"/>
    <m/>
    <s v="* MEJORAMIENTO CALLE TERRAPLEN, PUERTO VARAS"/>
    <s v="* CERT. CORE 92 03.2020 - AUMENTA PPTO"/>
    <m/>
    <m/>
    <m/>
    <m/>
    <m/>
    <m/>
    <n v="258669418"/>
    <n v="31198653"/>
    <m/>
    <n v="76100000"/>
    <n v="1100000"/>
    <n v="75000000"/>
    <n v="0"/>
    <n v="0"/>
    <n v="0"/>
    <n v="0"/>
    <n v="0"/>
    <n v="1100000"/>
    <n v="0"/>
    <n v="0"/>
    <n v="0"/>
    <n v="0"/>
    <n v="0"/>
    <n v="0"/>
    <m/>
    <n v="151370765"/>
    <s v="RS"/>
  </r>
  <r>
    <n v="31"/>
    <s v="A"/>
    <s v="TRANSPORTE Y VIVIENDA"/>
    <s v="URBANO"/>
    <s v="CONECTIVIDAD"/>
    <x v="2"/>
    <s v="P.VARAS"/>
    <n v="17"/>
    <s v="FAR"/>
    <s v="EJECUCION"/>
    <n v="40001254"/>
    <m/>
    <s v="KARIN DEL CARMEN BARRIENTOS WINTER"/>
    <s v="40001254EJECUCION"/>
    <m/>
    <s v="MEJORAMIENTO CALLE SAN MARTIN, PUERTO VARAS"/>
    <s v="* CERT. CORE 374 07.11.19 - APRUEBA AUMENTO PPTO."/>
    <m/>
    <m/>
    <m/>
    <m/>
    <m/>
    <m/>
    <n v="248242534"/>
    <n v="1030000"/>
    <m/>
    <n v="140045564"/>
    <n v="66985066"/>
    <n v="73060498"/>
    <n v="0"/>
    <n v="0"/>
    <n v="0"/>
    <n v="0"/>
    <n v="0"/>
    <n v="1133000"/>
    <n v="45295885"/>
    <n v="20556181"/>
    <n v="0"/>
    <n v="0"/>
    <n v="0"/>
    <n v="0"/>
    <m/>
    <n v="107166970"/>
    <s v="RS"/>
  </r>
  <r>
    <n v="31"/>
    <s v="A"/>
    <s v="EDUCACIÓN Y CULTURA"/>
    <s v="RURAL"/>
    <s v="SOCIAL"/>
    <x v="2"/>
    <s v="P.VARAS"/>
    <n v="17"/>
    <s v="LIBRE"/>
    <s v="EJECUCION"/>
    <n v="30066636"/>
    <m/>
    <s v="KARIN DEL CARMEN BARRIENTOS WINTER"/>
    <s v="30066636EJECUCION"/>
    <m/>
    <s v="REPOSICION ESCUELA EPSON ENSENADA"/>
    <s v="* CERT. CORE 278 12.09.19 - APRUEBA AUMENTO PPTO"/>
    <m/>
    <m/>
    <m/>
    <m/>
    <m/>
    <m/>
    <n v="2826817000"/>
    <n v="1720257350"/>
    <m/>
    <n v="342986334"/>
    <n v="205357195"/>
    <n v="137629139"/>
    <n v="0"/>
    <n v="0"/>
    <n v="0"/>
    <n v="0"/>
    <n v="0"/>
    <n v="27380960"/>
    <n v="0"/>
    <n v="123214316"/>
    <n v="54761919"/>
    <n v="0"/>
    <n v="0"/>
    <n v="0"/>
    <m/>
    <n v="763573316"/>
    <s v="RS"/>
  </r>
  <r>
    <n v="29"/>
    <s v="A"/>
    <s v="DEFENSA Y SEGURIDAD"/>
    <s v="RURAL"/>
    <s v="SOCIAL"/>
    <x v="2"/>
    <s v="P.VARAS"/>
    <n v="17"/>
    <s v="LIBRE"/>
    <s v="EJECUCION"/>
    <n v="30396974"/>
    <m/>
    <e v="#N/A"/>
    <s v="30396974EJECUCION"/>
    <m/>
    <s v="ADQUISICION LUMINARIAS LED ALUMBRADO PUBLICO, PUERTO VARAS (C33)"/>
    <m/>
    <m/>
    <m/>
    <m/>
    <m/>
    <m/>
    <m/>
    <n v="2414287000"/>
    <n v="1357741523"/>
    <m/>
    <n v="490000900"/>
    <n v="332259377"/>
    <n v="157741523"/>
    <n v="0"/>
    <n v="0"/>
    <n v="0"/>
    <n v="0"/>
    <n v="0"/>
    <n v="0"/>
    <n v="0"/>
    <n v="0"/>
    <n v="0"/>
    <n v="332259377"/>
    <n v="0"/>
    <n v="0"/>
    <m/>
    <n v="566544577"/>
    <s v="RS*"/>
  </r>
  <r>
    <n v="29"/>
    <s v="A"/>
    <s v="EDUCACIÓN Y CULTURA"/>
    <s v="URBANO"/>
    <s v="SOCIAL"/>
    <x v="2"/>
    <s v="P.VARAS"/>
    <n v="17"/>
    <s v="LIBRE"/>
    <s v="EJECUCION"/>
    <n v="30436694"/>
    <m/>
    <e v="#N/A"/>
    <s v="30436694EJECUCION"/>
    <m/>
    <s v="ADQUISICION EQUIPAMIENTO ESTABLECIMIENTOS EDUCACIONALES, PTO VARAS(C33)"/>
    <m/>
    <m/>
    <m/>
    <m/>
    <m/>
    <m/>
    <m/>
    <n v="488214000"/>
    <n v="80298900"/>
    <m/>
    <n v="407915070"/>
    <n v="0"/>
    <n v="407915070"/>
    <n v="0"/>
    <n v="0"/>
    <n v="0"/>
    <n v="0"/>
    <n v="0"/>
    <n v="0"/>
    <n v="0"/>
    <n v="0"/>
    <n v="0"/>
    <n v="0"/>
    <n v="0"/>
    <n v="0"/>
    <m/>
    <n v="30"/>
    <s v="RS*"/>
  </r>
  <r>
    <n v="31"/>
    <s v="A"/>
    <s v="TRANSPORTE Y VIVIENDA"/>
    <s v="URBANO"/>
    <s v="CONECTIVIDAD"/>
    <x v="2"/>
    <s v="P.VARAS"/>
    <n v="17"/>
    <s v="FAR"/>
    <s v="EJECUCION"/>
    <n v="40005278"/>
    <m/>
    <e v="#N/A"/>
    <s v="40005278EJECUCION"/>
    <m/>
    <s v="CONSERVACION VIAS URBANAS PUERTO VARAS (C33)"/>
    <m/>
    <m/>
    <m/>
    <m/>
    <m/>
    <m/>
    <m/>
    <n v="980817000"/>
    <n v="21532561"/>
    <m/>
    <n v="447057333"/>
    <n v="323318119"/>
    <n v="123739214"/>
    <n v="0"/>
    <n v="0"/>
    <n v="0"/>
    <n v="0"/>
    <n v="0"/>
    <n v="0"/>
    <n v="0"/>
    <n v="0"/>
    <n v="93397323"/>
    <n v="181252621"/>
    <n v="0"/>
    <n v="48668175"/>
    <m/>
    <n v="512227106"/>
    <s v="RS*"/>
  </r>
  <r>
    <n v="31"/>
    <s v="A"/>
    <s v="TRANSPORTE Y VIVIENDA"/>
    <s v="URBANO"/>
    <s v="SOCIAL"/>
    <x v="2"/>
    <s v="P.VARAS"/>
    <n v="17"/>
    <s v="FAR"/>
    <s v="EJECUCION"/>
    <n v="30485313"/>
    <m/>
    <e v="#N/A"/>
    <s v="30485313EJECUCION"/>
    <s v="2852-112-LR19"/>
    <s v="CONSERVACION PLAZA DE ARMAS Y SU ENTORNO, PUERTO VARAS (C33)"/>
    <m/>
    <m/>
    <m/>
    <m/>
    <m/>
    <m/>
    <m/>
    <n v="468032000"/>
    <n v="0"/>
    <m/>
    <n v="468032000"/>
    <n v="294209030"/>
    <n v="173822970"/>
    <n v="0"/>
    <n v="0"/>
    <n v="0"/>
    <n v="0"/>
    <n v="0"/>
    <n v="83369654"/>
    <n v="96635450"/>
    <n v="76593628"/>
    <n v="37610298"/>
    <n v="0"/>
    <n v="0"/>
    <n v="0"/>
    <m/>
    <n v="0"/>
    <s v="RS*"/>
  </r>
  <r>
    <n v="33"/>
    <s v="A"/>
    <s v="MULTISECTORIAL"/>
    <s v="URBANO"/>
    <s v="SOCIAL"/>
    <x v="2"/>
    <s v="P.VARAS"/>
    <n v="1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2"/>
    <s v="P.VARAS"/>
    <n v="17"/>
    <s v="FRIL"/>
    <s v="EJECUCION"/>
    <s v="FRIL"/>
    <m/>
    <m/>
    <s v="FRILEJECUCION"/>
    <m/>
    <s v="FONDO REGIONAL DE INICIATIVAS LOCAL - ANEXO PAGINA 6"/>
    <m/>
    <m/>
    <m/>
    <m/>
    <m/>
    <m/>
    <m/>
    <n v="200000000"/>
    <n v="0"/>
    <m/>
    <n v="200000000"/>
    <n v="91813611"/>
    <n v="108186389"/>
    <n v="0"/>
    <n v="0"/>
    <n v="0"/>
    <n v="0"/>
    <n v="0"/>
    <n v="1804209"/>
    <n v="0"/>
    <n v="0"/>
    <n v="37181846"/>
    <n v="0"/>
    <n v="52827556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0732014952"/>
    <n v="4214314891"/>
    <m/>
    <n v="3625392241"/>
    <n v="1389168361"/>
    <n v="2236223880"/>
    <n v="0"/>
    <n v="0"/>
    <n v="0"/>
    <n v="0"/>
    <n v="0"/>
    <n v="114787823"/>
    <n v="141931335"/>
    <n v="220364125"/>
    <n v="225151386"/>
    <n v="515711998"/>
    <n v="120353519"/>
    <n v="50868175"/>
    <m/>
    <n v="289230782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FENSA Y SEGURIDAD"/>
    <s v="URBANO"/>
    <s v="SOCIAL"/>
    <x v="2"/>
    <s v="P.VARAS"/>
    <n v="17"/>
    <s v="LIBRE"/>
    <s v="EJECUCION"/>
    <n v="30204522"/>
    <m/>
    <e v="#N/A"/>
    <s v="30204522EJECUCION"/>
    <s v="2852-31-LR20"/>
    <s v="REPOSICION CUARTEL SEXTA COMPAÑIA DE BOMBEROS"/>
    <m/>
    <m/>
    <m/>
    <s v="2505 30,08,19"/>
    <n v="1169057000"/>
    <m/>
    <m/>
    <n v="1237007000"/>
    <n v="0"/>
    <m/>
    <n v="348175103"/>
    <n v="0"/>
    <n v="348175103"/>
    <n v="0"/>
    <n v="0"/>
    <n v="0"/>
    <n v="0"/>
    <n v="0"/>
    <n v="0"/>
    <n v="0"/>
    <n v="0"/>
    <n v="0"/>
    <n v="0"/>
    <n v="0"/>
    <n v="0"/>
    <m/>
    <n v="888831897"/>
    <s v="RS"/>
  </r>
  <r>
    <n v="31"/>
    <s v="N"/>
    <s v="INDUSTRIA, COMERCIO, FINANZAS Y TURISMO"/>
    <s v="RURAL"/>
    <s v="TURISMO"/>
    <x v="2"/>
    <s v="P.VARAS"/>
    <n v="17"/>
    <s v="LIBRE"/>
    <s v="EJECUCION"/>
    <n v="40014647"/>
    <m/>
    <m/>
    <s v="40014647EJECUCION"/>
    <m/>
    <s v="** MEJORAMIENTO SENDERO SALTOS DEL PETROHUE, P. NACIONAL VIC. PEREZ ROSALES, PUERTO VARAS"/>
    <s v="* CERT. CORE 74 03.2020 - APRUEBA INCORPORAR PPTO2020"/>
    <m/>
    <m/>
    <m/>
    <m/>
    <m/>
    <m/>
    <n v="288600000"/>
    <n v="0"/>
    <m/>
    <n v="0"/>
    <n v="0"/>
    <n v="0"/>
    <m/>
    <m/>
    <m/>
    <m/>
    <m/>
    <n v="0"/>
    <n v="0"/>
    <n v="0"/>
    <n v="0"/>
    <n v="0"/>
    <m/>
    <m/>
    <m/>
    <n v="288600000"/>
    <s v="RS"/>
  </r>
  <r>
    <n v="31"/>
    <s v="N"/>
    <s v="TRANSPORTE Y VIVIENDA"/>
    <s v="URBANO"/>
    <s v="CONECTIVIDAD"/>
    <x v="2"/>
    <s v="P.VARAS"/>
    <n v="17"/>
    <s v="FAR"/>
    <s v="EJECUCION"/>
    <n v="40010719"/>
    <m/>
    <m/>
    <s v="40010719EJECUCION"/>
    <s v="2852-30-LQ20"/>
    <s v="MEJORAMIENTO CALLE Y PASAJE LA QUEBRADA"/>
    <m/>
    <m/>
    <m/>
    <s v="783 18,03,20"/>
    <n v="172866000"/>
    <m/>
    <m/>
    <n v="246000000"/>
    <n v="0"/>
    <m/>
    <n v="12300000"/>
    <n v="0"/>
    <n v="12300000"/>
    <n v="0"/>
    <n v="0"/>
    <n v="0"/>
    <n v="0"/>
    <n v="0"/>
    <n v="0"/>
    <n v="0"/>
    <n v="0"/>
    <n v="0"/>
    <n v="0"/>
    <n v="0"/>
    <n v="0"/>
    <m/>
    <n v="233700000"/>
    <s v="RS"/>
  </r>
  <r>
    <n v="31"/>
    <s v="N"/>
    <s v="TRANSPORTE Y VIVIENDA"/>
    <s v="URBANO"/>
    <s v="SOCIAL"/>
    <x v="2"/>
    <s v="P.VARAS"/>
    <n v="17"/>
    <s v="FAR"/>
    <s v="EJECUCION"/>
    <n v="40015147"/>
    <m/>
    <m/>
    <s v="40015147EJECUCION"/>
    <m/>
    <s v="CONSERVACION ACERAS DIVERSOS SECTORES DE PUERTO VARAS (C33)"/>
    <m/>
    <m/>
    <m/>
    <m/>
    <m/>
    <m/>
    <m/>
    <n v="818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7180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589607000"/>
    <n v="0"/>
    <m/>
    <n v="460475103"/>
    <n v="0"/>
    <n v="460475103"/>
    <n v="0"/>
    <n v="0"/>
    <n v="0"/>
    <n v="0"/>
    <n v="0"/>
    <n v="0"/>
    <n v="0"/>
    <n v="0"/>
    <n v="0"/>
    <n v="0"/>
    <n v="0"/>
    <n v="0"/>
    <m/>
    <n v="212913189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.VARAS"/>
    <m/>
    <m/>
    <m/>
    <m/>
    <m/>
    <m/>
    <m/>
    <n v="13321621952"/>
    <n v="4214314891"/>
    <m/>
    <n v="4085867344"/>
    <n v="1389168361"/>
    <n v="2696698983"/>
    <n v="0"/>
    <n v="0"/>
    <n v="0"/>
    <n v="0"/>
    <n v="0"/>
    <n v="114787823"/>
    <n v="141931335"/>
    <n v="220364125"/>
    <n v="225151386"/>
    <n v="515711998"/>
    <n v="120353519"/>
    <n v="50868175"/>
    <m/>
    <n v="502143971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2"/>
    <s v="PROV.LLANQUIHUE"/>
    <n v="18"/>
    <s v="PV"/>
    <s v="EJECUCION"/>
    <n v="30342773"/>
    <s v="V"/>
    <s v="PAULINA HUIDOBRO JARAMI"/>
    <s v="30342773EJECUCION"/>
    <m/>
    <s v="MEJORAMIENTO RUTA V 69 SECTOR RALUN COCHAMO"/>
    <m/>
    <m/>
    <m/>
    <m/>
    <m/>
    <m/>
    <m/>
    <n v="7077521000"/>
    <n v="3408630569"/>
    <m/>
    <n v="1752412529"/>
    <n v="1705519135"/>
    <n v="46893394"/>
    <n v="0"/>
    <n v="0"/>
    <n v="0"/>
    <n v="0"/>
    <n v="0"/>
    <n v="77106606"/>
    <n v="44742626"/>
    <n v="100888405"/>
    <n v="284031169"/>
    <n v="367910604"/>
    <n v="327156331"/>
    <n v="503683394"/>
    <m/>
    <n v="1916477902"/>
    <s v="RE"/>
  </r>
  <r>
    <n v="31"/>
    <s v="A"/>
    <s v="SALUD"/>
    <s v="RURAL"/>
    <s v="SOCIAL"/>
    <x v="2"/>
    <s v="PROV.LLANQUIHUE"/>
    <n v="18"/>
    <s v="LIBRE"/>
    <s v="EJECUCION"/>
    <n v="30380331"/>
    <s v="SALUD"/>
    <s v="KARIN DEL CARMEN BARRIENTOS WINTER"/>
    <s v="30380331EJECUCION"/>
    <m/>
    <s v="CONSTRUCCION Y HABILITACION CENTRO DE DIALISIS HOSPITAL DE CALBUCO"/>
    <m/>
    <m/>
    <m/>
    <m/>
    <m/>
    <m/>
    <m/>
    <n v="1947580000"/>
    <n v="0"/>
    <m/>
    <n v="288831897"/>
    <n v="177066265"/>
    <n v="111765632"/>
    <n v="0"/>
    <n v="0"/>
    <n v="0"/>
    <n v="0"/>
    <n v="0"/>
    <n v="0"/>
    <n v="39431720"/>
    <n v="0"/>
    <n v="53722525"/>
    <n v="0"/>
    <n v="27825832"/>
    <n v="56086188"/>
    <m/>
    <n v="1658748103"/>
    <s v="RS"/>
  </r>
  <r>
    <n v="31"/>
    <s v="A"/>
    <s v="TRANSPORTE Y VIVIENDA"/>
    <s v="RURAL"/>
    <s v="CONECTIVIDAD"/>
    <x v="2"/>
    <s v="PROV.LLANQUIHUE"/>
    <n v="18"/>
    <s v="FAR"/>
    <s v="EJECUCION"/>
    <n v="30133755"/>
    <m/>
    <s v="GLORIA DEL CARMEN QUEZADA VELASQUEZ"/>
    <s v="30133755EJECUCION"/>
    <m/>
    <s v="CONSERVACION RED VIAL DE VARIOS CAMINOS PAVIMENTADOS AÑO 2013 (C33)"/>
    <m/>
    <m/>
    <m/>
    <m/>
    <m/>
    <m/>
    <m/>
    <n v="9774474000"/>
    <n v="4532551127"/>
    <m/>
    <n v="2895923713"/>
    <n v="2889531773"/>
    <n v="6391940"/>
    <n v="0"/>
    <n v="0"/>
    <n v="0"/>
    <n v="0"/>
    <n v="0"/>
    <n v="0"/>
    <n v="177140947"/>
    <n v="0"/>
    <n v="898024426"/>
    <n v="186853563"/>
    <n v="1252698058"/>
    <n v="374814779"/>
    <m/>
    <n v="2345999160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8799575000"/>
    <n v="7941181696"/>
    <m/>
    <n v="4937168139"/>
    <n v="4772117173"/>
    <n v="165050966"/>
    <n v="0"/>
    <n v="0"/>
    <n v="0"/>
    <n v="0"/>
    <n v="0"/>
    <n v="77106606"/>
    <n v="261315293"/>
    <n v="100888405"/>
    <n v="1235778120"/>
    <n v="554764167"/>
    <n v="1607680221"/>
    <n v="934584361"/>
    <m/>
    <n v="592122516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2"/>
    <s v="PROV.LLANQUIHUE"/>
    <n v="18"/>
    <s v="LIBRE"/>
    <s v="EJECUCION"/>
    <n v="30077481"/>
    <s v="G"/>
    <e v="#N/A"/>
    <s v="30077481EJECUCION"/>
    <s v="827-22-O119"/>
    <s v="RESTAURACION IGLESIA N. SRA. DE LA CANDELARIA (MN), CARELMAPU"/>
    <s v="* CORE 358 24.10.19 - AUMENTA PPTO ($ 2.057.540.000)"/>
    <m/>
    <m/>
    <m/>
    <m/>
    <m/>
    <m/>
    <n v="2057540000"/>
    <n v="0"/>
    <m/>
    <n v="87119019"/>
    <n v="0"/>
    <n v="87119019"/>
    <n v="0"/>
    <n v="0"/>
    <n v="0"/>
    <n v="0"/>
    <n v="0"/>
    <n v="0"/>
    <n v="0"/>
    <n v="0"/>
    <n v="0"/>
    <n v="0"/>
    <n v="0"/>
    <n v="0"/>
    <m/>
    <n v="1970420981"/>
    <s v="RS"/>
  </r>
  <r>
    <n v="31"/>
    <s v="A"/>
    <s v="DEFENSA Y SEGURIDAD"/>
    <s v="URBANO"/>
    <s v="SOCIAL"/>
    <x v="2"/>
    <s v="PROV.LLANQUIHUE"/>
    <n v="18"/>
    <s v="LIBRE"/>
    <s v="EJECUCION"/>
    <n v="30077182"/>
    <s v="G"/>
    <s v="KARIN DEL CARMEN BARRIENTOS WINTER"/>
    <s v="30077182EJECUCION"/>
    <m/>
    <s v="REPOSICION CUARTEL INVESTIGACIONES PUERTO VARAS"/>
    <m/>
    <m/>
    <m/>
    <m/>
    <m/>
    <m/>
    <m/>
    <n v="2369092000"/>
    <n v="9000000"/>
    <m/>
    <n v="103242800"/>
    <n v="0"/>
    <n v="103242800"/>
    <n v="0"/>
    <n v="0"/>
    <n v="0"/>
    <n v="0"/>
    <n v="0"/>
    <n v="0"/>
    <n v="0"/>
    <n v="0"/>
    <n v="0"/>
    <n v="0"/>
    <n v="0"/>
    <n v="0"/>
    <m/>
    <n v="2256849200"/>
    <s v="RS"/>
  </r>
  <r>
    <n v="31"/>
    <s v="N"/>
    <s v="TRANSPORTE Y VIVIENDA"/>
    <s v="URBANO"/>
    <s v="SOCIAL"/>
    <x v="2"/>
    <s v="PROV.LLANQUIHUE"/>
    <n v="18"/>
    <s v="LIBRE"/>
    <s v="EJECUCION"/>
    <n v="30376572"/>
    <s v="CIU.+HUM."/>
    <m/>
    <s v="30376572PREFACTIBILIDAD"/>
    <m/>
    <s v="* ACTUALIZACION PLAN MAESTRO DE AGUAS LLUVIAS DE PTO. MONTT"/>
    <s v="* CERT. CORE 39 07.02.20 - ACTUALIZA COSTO"/>
    <m/>
    <m/>
    <m/>
    <m/>
    <m/>
    <m/>
    <n v="435343000"/>
    <n v="0"/>
    <m/>
    <n v="49084"/>
    <n v="49084"/>
    <n v="0"/>
    <n v="0"/>
    <n v="0"/>
    <n v="0"/>
    <n v="0"/>
    <n v="0"/>
    <n v="49084"/>
    <n v="0"/>
    <n v="0"/>
    <n v="0"/>
    <n v="0"/>
    <n v="0"/>
    <n v="0"/>
    <m/>
    <n v="435293916"/>
    <s v="RS"/>
  </r>
  <r>
    <n v="31"/>
    <s v="N"/>
    <s v="TRANSPORTE Y VIVIENDA"/>
    <s v="URBANO"/>
    <s v="CONECTIVIDAD"/>
    <x v="2"/>
    <s v="PROV.LLANQUIHUE"/>
    <n v="18"/>
    <s v="FAR"/>
    <s v="EJECUCION"/>
    <n v="30127010"/>
    <s v="CIU.+HUM."/>
    <s v="PAULINA HUIDOBRO JARAMI"/>
    <s v="30127010EJECUCION"/>
    <m/>
    <s v="MEJORAMIENTO CALLE EL TENIENTE BARRIO INDUSTRIAL"/>
    <m/>
    <m/>
    <m/>
    <s v="796 19,03,20"/>
    <n v="3678096000"/>
    <m/>
    <m/>
    <n v="3678102000"/>
    <n v="0"/>
    <m/>
    <n v="116467113"/>
    <n v="0"/>
    <n v="116467113"/>
    <n v="0"/>
    <n v="0"/>
    <n v="0"/>
    <n v="0"/>
    <n v="0"/>
    <n v="0"/>
    <n v="0"/>
    <n v="0"/>
    <n v="0"/>
    <n v="0"/>
    <n v="0"/>
    <n v="0"/>
    <m/>
    <n v="3561634887"/>
    <s v="RS"/>
  </r>
  <r>
    <n v="29"/>
    <s v="N"/>
    <s v="DEFENSA Y SEGURIDAD"/>
    <s v="RURAL"/>
    <s v="SOCIAL"/>
    <x v="2"/>
    <s v="PROV.LLANQUIHUE"/>
    <n v="18"/>
    <s v="LIBRE"/>
    <s v="EJECUCION"/>
    <n v="40008014"/>
    <m/>
    <m/>
    <s v="40008014EJECUCION"/>
    <m/>
    <s v="ADQUISICION VEHICULOS POLICIALES PARA PATRULLAS ANTI-ABIGEATOS PROVINCIA DE LLANQUIHUE (C33)"/>
    <s v="* ORD. 1003 12.04.2019 RS"/>
    <m/>
    <m/>
    <m/>
    <m/>
    <m/>
    <m/>
    <n v="105867000"/>
    <n v="0"/>
    <m/>
    <n v="105867000"/>
    <n v="0"/>
    <n v="105867000"/>
    <n v="0"/>
    <n v="0"/>
    <n v="0"/>
    <n v="0"/>
    <n v="0"/>
    <n v="0"/>
    <n v="0"/>
    <n v="0"/>
    <n v="0"/>
    <n v="0"/>
    <n v="0"/>
    <n v="0"/>
    <m/>
    <n v="0"/>
    <s v="RS*"/>
  </r>
  <r>
    <n v="31"/>
    <s v="N"/>
    <s v="TRANSPORTE Y VIVIENDA"/>
    <s v="URBANO"/>
    <s v="CONECTIVIDAD"/>
    <x v="2"/>
    <s v="PROV.LLANQUIHUE"/>
    <n v="18"/>
    <s v="FAR"/>
    <s v="DISEÑO"/>
    <n v="30437675"/>
    <s v="CIU.+HUM."/>
    <s v="PAULINA HUIDOBRO JARAMI"/>
    <s v="30437675DISEÑO"/>
    <m/>
    <s v="CONSTRUCCION INTERTERRAZAS PUERTO MONTT, ETAPA I"/>
    <m/>
    <m/>
    <m/>
    <s v="798 19,03,20"/>
    <n v="500000000"/>
    <m/>
    <m/>
    <n v="50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250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9145944000"/>
    <n v="9000000"/>
    <m/>
    <n v="662745016"/>
    <n v="49084"/>
    <n v="662695932"/>
    <n v="0"/>
    <n v="0"/>
    <n v="0"/>
    <n v="0"/>
    <n v="0"/>
    <n v="49084"/>
    <n v="0"/>
    <n v="0"/>
    <n v="0"/>
    <n v="0"/>
    <n v="0"/>
    <n v="0"/>
    <m/>
    <n v="847419898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LES"/>
    <m/>
    <m/>
    <m/>
    <m/>
    <m/>
    <m/>
    <m/>
    <n v="27945519000"/>
    <n v="7950181696"/>
    <m/>
    <n v="5599913155"/>
    <n v="4772166257"/>
    <n v="827746898"/>
    <n v="0"/>
    <n v="0"/>
    <n v="0"/>
    <n v="0"/>
    <n v="0"/>
    <n v="77155690"/>
    <n v="261315293"/>
    <n v="100888405"/>
    <n v="1235778120"/>
    <n v="554764167"/>
    <n v="1607680221"/>
    <n v="934584361"/>
    <m/>
    <n v="1439542414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LLANQUIHUE"/>
    <m/>
    <m/>
    <m/>
    <m/>
    <m/>
    <m/>
    <m/>
    <n v="113404416519"/>
    <n v="28678511839"/>
    <m/>
    <n v="25307496695"/>
    <n v="11161729473"/>
    <n v="14145767222"/>
    <n v="0"/>
    <n v="0"/>
    <n v="0"/>
    <n v="0"/>
    <n v="0"/>
    <n v="717077288"/>
    <n v="1204348659"/>
    <n v="978734537"/>
    <n v="2578626076"/>
    <n v="1656614987"/>
    <n v="2609233375"/>
    <n v="1417094551"/>
    <m/>
    <n v="5941840798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ANCUD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s v="ANCUD"/>
    <n v="19"/>
    <s v="LIBRE"/>
    <s v="EJECUCION"/>
    <n v="30085972"/>
    <m/>
    <s v="FRANCISCA MONTECINO  OPAZO"/>
    <s v="30085972EJECUCION"/>
    <m/>
    <s v="REPOSICION ESCUELA RURAL DE LINAO, ANCUD."/>
    <s v="* CERT. CORE 41 03.19 - AUMENTA Y ACTUALIZA PPTO."/>
    <m/>
    <m/>
    <m/>
    <m/>
    <m/>
    <m/>
    <n v="1847765465"/>
    <n v="1847765465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URBANO"/>
    <s v="AGUA POTABLE"/>
    <x v="3"/>
    <s v="ANCUD"/>
    <n v="19"/>
    <s v="LIBRE"/>
    <s v="EJECUCION"/>
    <n v="30341232"/>
    <m/>
    <s v="HARRY FRANKLIN  MONSALVE FUENTES"/>
    <s v="30341232EJECUCION"/>
    <m/>
    <s v="* AMPLIACION SERVICIO APR BAHIA LINAO HACIA HUAPILINAO Y R.NEGRO,ANCUD"/>
    <s v="* CERT. CORE 206 07.20 - AUMENTA COSTO"/>
    <m/>
    <m/>
    <m/>
    <m/>
    <m/>
    <m/>
    <n v="160308499"/>
    <n v="88202923"/>
    <m/>
    <n v="27448301"/>
    <n v="0"/>
    <n v="27448301"/>
    <n v="0"/>
    <n v="0"/>
    <n v="0"/>
    <n v="0"/>
    <n v="0"/>
    <n v="0"/>
    <n v="0"/>
    <n v="0"/>
    <n v="0"/>
    <n v="0"/>
    <n v="0"/>
    <n v="0"/>
    <m/>
    <n v="44657275"/>
    <s v="RS"/>
  </r>
  <r>
    <n v="31"/>
    <s v="A"/>
    <s v="AGUA POTABLE Y ALCANTARILLADO"/>
    <s v="URBANO"/>
    <s v="AGUA POTABLE"/>
    <x v="3"/>
    <s v="ANCUD"/>
    <n v="19"/>
    <s v="LIBRE"/>
    <s v="EJECUCION"/>
    <n v="30476333"/>
    <m/>
    <s v="HARRY FRANKLIN  MONSALVE FUENTES"/>
    <s v="30476333EJECUCION"/>
    <m/>
    <s v="CONSTRUCCION SISTEMA DE APR SECTOR GUABUN, ANCUD"/>
    <m/>
    <m/>
    <m/>
    <m/>
    <m/>
    <m/>
    <m/>
    <n v="481533000"/>
    <n v="76584642"/>
    <m/>
    <n v="404948358"/>
    <n v="401363136"/>
    <n v="3585222"/>
    <n v="0"/>
    <n v="0"/>
    <n v="0"/>
    <n v="0"/>
    <n v="0"/>
    <n v="0"/>
    <n v="0"/>
    <n v="0"/>
    <n v="21109805"/>
    <n v="2300000"/>
    <n v="159747627"/>
    <n v="218205704"/>
    <m/>
    <n v="0"/>
    <s v="RS"/>
  </r>
  <r>
    <n v="31"/>
    <s v="A"/>
    <s v="DEPORTE"/>
    <s v="URBANO"/>
    <s v="SOCIAL"/>
    <x v="3"/>
    <s v="ANCUD"/>
    <n v="19"/>
    <s v="LIBRE"/>
    <s v="EJECUCION"/>
    <n v="30486350"/>
    <m/>
    <s v="HARRY FRANKLIN  MONSALVE FUENTES"/>
    <s v="30486350EJECUCION"/>
    <m/>
    <s v="** CONSERVACION SALAS MULTIUSO Y EJERCICIOS GIMNASIO FISCAL DE ANCUD (C33)"/>
    <s v="* CERT. CORE 136 04.2020 - INCORPORA"/>
    <m/>
    <m/>
    <m/>
    <m/>
    <m/>
    <m/>
    <n v="125477804"/>
    <n v="110106000"/>
    <m/>
    <n v="15371804"/>
    <n v="15371804"/>
    <n v="0"/>
    <m/>
    <m/>
    <m/>
    <m/>
    <m/>
    <n v="0"/>
    <n v="0"/>
    <n v="0"/>
    <n v="0"/>
    <n v="0"/>
    <n v="15371804"/>
    <n v="0"/>
    <m/>
    <n v="0"/>
    <s v="RS*"/>
  </r>
  <r>
    <n v="31"/>
    <s v="A"/>
    <s v="AGUA POTABLE Y ALCANTARILLADO"/>
    <s v="RURAL"/>
    <s v="AGUA POTABLE"/>
    <x v="3"/>
    <s v="ANCUD"/>
    <n v="19"/>
    <s v="LIBRE"/>
    <s v="EJECUCION"/>
    <n v="30109898"/>
    <m/>
    <e v="#N/A"/>
    <s v="30109898EJECUCION"/>
    <s v="2660-57-LR19"/>
    <s v="CONSTRUCCION SISTEMA DE APR SECTOR CAULIN LA CUMBRE, ANCUD"/>
    <s v="* CERT. CORE 228 08.08.19 - APRUEBA INCORPORAR CON CARGO FNDR"/>
    <m/>
    <m/>
    <m/>
    <m/>
    <m/>
    <m/>
    <n v="661606000"/>
    <n v="0"/>
    <m/>
    <n v="540394269"/>
    <n v="217345732"/>
    <n v="323048537"/>
    <n v="0"/>
    <n v="0"/>
    <n v="0"/>
    <n v="0"/>
    <n v="0"/>
    <n v="82349998"/>
    <n v="56913014"/>
    <n v="0"/>
    <n v="0"/>
    <n v="78082720"/>
    <n v="0"/>
    <n v="0"/>
    <m/>
    <n v="121211731"/>
    <s v="RS"/>
  </r>
  <r>
    <n v="33"/>
    <s v="A"/>
    <s v="MULTISECTORIAL"/>
    <s v="URBANO"/>
    <s v="SOCIAL"/>
    <x v="3"/>
    <s v="ANCUD"/>
    <n v="19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ANCUD"/>
    <n v="19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70294738"/>
    <n v="129705262"/>
    <n v="0"/>
    <n v="0"/>
    <n v="0"/>
    <n v="0"/>
    <n v="0"/>
    <n v="0"/>
    <n v="0"/>
    <n v="0"/>
    <n v="0"/>
    <n v="70294738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576690768"/>
    <n v="2122659030"/>
    <m/>
    <n v="1288162732"/>
    <n v="704375410"/>
    <n v="583787322"/>
    <n v="0"/>
    <n v="0"/>
    <n v="0"/>
    <n v="0"/>
    <n v="0"/>
    <n v="82349998"/>
    <n v="56913014"/>
    <n v="0"/>
    <n v="21109805"/>
    <n v="150677458"/>
    <n v="175119431"/>
    <n v="218205704"/>
    <m/>
    <n v="16586900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URBANO"/>
    <s v="AGUA POTABLE"/>
    <x v="3"/>
    <s v="ANCUD"/>
    <n v="19"/>
    <s v="LIBRE"/>
    <s v="EJECUCION"/>
    <n v="40009233"/>
    <m/>
    <e v="#N/A"/>
    <s v="40009233EJECUCION"/>
    <s v="2660-12-LR20"/>
    <s v="CONSTRUCCION REDES DE AP Y ALC. DE AGUAS SERVIDAS DIVERSOS SECTORES CIUDAD DE ANCUD"/>
    <s v="* CERT. CORE 309 26.09.19 - APRUEBA ETAPA EJECUCION CON CARGO FNDR"/>
    <m/>
    <m/>
    <s v="4360 06,12,19"/>
    <n v="659095000"/>
    <m/>
    <m/>
    <n v="659095000"/>
    <n v="0"/>
    <m/>
    <n v="44233927"/>
    <n v="0"/>
    <n v="44233927"/>
    <n v="0"/>
    <n v="0"/>
    <n v="0"/>
    <n v="0"/>
    <n v="0"/>
    <n v="0"/>
    <n v="0"/>
    <n v="0"/>
    <n v="0"/>
    <n v="0"/>
    <n v="0"/>
    <n v="0"/>
    <m/>
    <n v="614861073"/>
    <s v="RS"/>
  </r>
  <r>
    <n v="31"/>
    <s v="A"/>
    <s v="SALUD"/>
    <s v="RURAL"/>
    <s v="SOCIAL"/>
    <x v="3"/>
    <s v="ANCUD"/>
    <n v="19"/>
    <s v="LIBRE"/>
    <s v="EJECUCION"/>
    <n v="30093349"/>
    <s v="SALUD"/>
    <s v="FRANCISCA MONTECINO  OPAZO"/>
    <s v="30093349EJECUCION"/>
    <m/>
    <s v="REPOSICION POSTA SALUD RURAL DE MANAO, COMUNA DE ANCUD"/>
    <s v="* CERT. CORE 384 21.10.19 - APRUEBA EJECUCION CON CARGO AL FNDR"/>
    <m/>
    <n v="563580000"/>
    <s v="975 27,04,20"/>
    <n v="540199000"/>
    <m/>
    <m/>
    <n v="56358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463580000"/>
    <s v="RS"/>
  </r>
  <r>
    <n v="31"/>
    <s v="N"/>
    <s v="AGUA POTABLE Y ALCANTARILLADO"/>
    <s v="RURAL"/>
    <s v="AGUA POTABLE"/>
    <x v="3"/>
    <s v="ANCUD"/>
    <n v="19"/>
    <s v="LIBRE"/>
    <s v="EJECUCION"/>
    <n v="30116708"/>
    <m/>
    <s v="FRANCISCA MONTECINO  OPAZO"/>
    <s v="30116708EJECUCION"/>
    <m/>
    <s v="* CONSTRUCCION RED APR PUMANZANO, ANCUD"/>
    <s v="* CERT. CORE 44 07.02.20 - ACTUALIZA COSTO"/>
    <m/>
    <m/>
    <s v="977 27,04,20"/>
    <n v="842254000"/>
    <m/>
    <m/>
    <n v="842254000"/>
    <n v="0"/>
    <m/>
    <n v="28332450"/>
    <n v="0"/>
    <n v="28332450"/>
    <n v="0"/>
    <n v="0"/>
    <n v="0"/>
    <n v="0"/>
    <n v="0"/>
    <n v="0"/>
    <n v="0"/>
    <n v="0"/>
    <n v="0"/>
    <n v="0"/>
    <n v="0"/>
    <n v="0"/>
    <m/>
    <n v="813921550"/>
    <s v="RS"/>
  </r>
  <r>
    <n v="31"/>
    <s v="N"/>
    <s v="AGUA POTABLE Y ALCANTARILLADO"/>
    <s v="URBANO"/>
    <s v="ALCANTARILLADO"/>
    <x v="3"/>
    <s v="ANCUD"/>
    <n v="19"/>
    <s v="LIBRE"/>
    <s v="EJECUCION"/>
    <n v="40017416"/>
    <s v="AC. COMPL."/>
    <s v="FRANCISCA MONTECINO  OPAZO"/>
    <s v="40017416EJECUCION"/>
    <m/>
    <s v="CONSTRUCCION RED DE AGUA POTABLE Y ALCANTARILLADO CALLE EL CERRO Y PASAJE 1 CAUCUMEO"/>
    <s v="* CERT. CORE 33 07.02.20 - APRUEBA COMPLEMENTO A.SOCIAL"/>
    <m/>
    <m/>
    <s v="1077 13,05,20"/>
    <n v="406672000"/>
    <m/>
    <m/>
    <n v="406672000"/>
    <n v="0"/>
    <m/>
    <n v="406672000"/>
    <n v="0"/>
    <n v="406672000"/>
    <m/>
    <m/>
    <m/>
    <m/>
    <m/>
    <n v="0"/>
    <n v="0"/>
    <n v="0"/>
    <n v="0"/>
    <n v="0"/>
    <n v="0"/>
    <n v="0"/>
    <m/>
    <n v="0"/>
    <s v="RS"/>
  </r>
  <r>
    <n v="31"/>
    <s v="N"/>
    <s v="EDUCACIÓN Y CULTURA"/>
    <s v="URBANO"/>
    <s v="SOCIAL"/>
    <x v="3"/>
    <s v="ANCUD"/>
    <n v="19"/>
    <s v="LIBRE"/>
    <s v="EJECUCION"/>
    <n v="40001823"/>
    <m/>
    <s v="FRANCISCA MONTECINO  OPAZO"/>
    <s v="40001823EJECUCION"/>
    <m/>
    <s v="* AMPLIACION SALA PSICOMOTRIZ Y HABITOS FISICOS"/>
    <s v="* CERT. CORE 119 ABRIL 2020 - ACTUALIZA COSTO"/>
    <m/>
    <m/>
    <s v="1076 13,05,20"/>
    <n v="180779000"/>
    <m/>
    <m/>
    <n v="225228000"/>
    <n v="0"/>
    <m/>
    <n v="7500000"/>
    <n v="0"/>
    <n v="7500000"/>
    <n v="0"/>
    <n v="0"/>
    <n v="0"/>
    <n v="0"/>
    <n v="0"/>
    <n v="0"/>
    <n v="0"/>
    <n v="0"/>
    <n v="0"/>
    <n v="0"/>
    <n v="0"/>
    <n v="0"/>
    <m/>
    <n v="217728000"/>
    <s v="RS"/>
  </r>
  <r>
    <n v="31"/>
    <s v="N"/>
    <s v="ENERGIA"/>
    <s v="RURAL"/>
    <s v="ENERGIA"/>
    <x v="3"/>
    <s v="ANCUD"/>
    <n v="19"/>
    <s v="LIBRE"/>
    <s v="EJECUCION"/>
    <n v="40009430"/>
    <s v="AC. COMPL."/>
    <m/>
    <s v="40009430EJECUCION"/>
    <m/>
    <s v="* HABILITACION SUMINISTRO ELECTRICO SECTOR RURAL LOS MAÑIOS"/>
    <s v="* CERT. CORE 33 07.02.20 - APRUEBA COMPLEMENTO A.SOCIAL / CERT. CORE 178 06.2020 - AJUSTA COSTO"/>
    <m/>
    <m/>
    <m/>
    <m/>
    <m/>
    <m/>
    <n v="310199000"/>
    <n v="0"/>
    <m/>
    <n v="310199000"/>
    <n v="0"/>
    <n v="310199000"/>
    <m/>
    <m/>
    <m/>
    <m/>
    <m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007028000"/>
    <n v="0"/>
    <m/>
    <n v="896937377"/>
    <n v="0"/>
    <n v="896937377"/>
    <n v="0"/>
    <n v="0"/>
    <n v="0"/>
    <n v="0"/>
    <n v="0"/>
    <n v="0"/>
    <n v="0"/>
    <n v="0"/>
    <n v="0"/>
    <n v="0"/>
    <n v="0"/>
    <n v="0"/>
    <m/>
    <n v="211009062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ANCUD"/>
    <m/>
    <m/>
    <m/>
    <m/>
    <m/>
    <m/>
    <m/>
    <n v="6583718768"/>
    <n v="2122659030"/>
    <m/>
    <n v="2185100109"/>
    <n v="704375410"/>
    <n v="1480724699"/>
    <n v="0"/>
    <n v="0"/>
    <n v="0"/>
    <n v="0"/>
    <n v="0"/>
    <n v="82349998"/>
    <n v="56913014"/>
    <n v="0"/>
    <n v="21109805"/>
    <n v="150677458"/>
    <n v="175119431"/>
    <n v="218205704"/>
    <m/>
    <n v="227595962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ASTR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CONECTIVIDAD"/>
    <x v="3"/>
    <s v="CASTRO"/>
    <n v="20"/>
    <s v="FAR"/>
    <s v="EJECUCION"/>
    <n v="30485135"/>
    <m/>
    <s v="FRANCISCA MONTECINO  OPAZO"/>
    <s v="30485135EJECUCION"/>
    <m/>
    <s v="CONSERVACION VEREDAS CASTRO ALTO, COMUNA DE CASTRO (C33)"/>
    <m/>
    <m/>
    <m/>
    <m/>
    <m/>
    <m/>
    <m/>
    <n v="457733000"/>
    <n v="0"/>
    <m/>
    <n v="444723548"/>
    <n v="435946053"/>
    <n v="8777495"/>
    <n v="0"/>
    <n v="0"/>
    <n v="0"/>
    <n v="0"/>
    <n v="0"/>
    <n v="0"/>
    <n v="0"/>
    <n v="103844241"/>
    <n v="0"/>
    <n v="0"/>
    <n v="94313272"/>
    <n v="237788540"/>
    <m/>
    <n v="13009452"/>
    <s v="RS*"/>
  </r>
  <r>
    <n v="31"/>
    <s v="A"/>
    <s v="AGUA POTABLE Y ALCANTARILLADO"/>
    <s v="URBANO"/>
    <s v="AGUA POTABLE"/>
    <x v="3"/>
    <s v="CASTRO"/>
    <n v="20"/>
    <s v="LIBRE"/>
    <s v="EJECUCION"/>
    <n v="30121787"/>
    <m/>
    <s v="HARRY FRANKLIN  MONSALVE FUENTES"/>
    <s v="30121787EJECUCION"/>
    <m/>
    <s v="CONSTRUCCION REDES DE AGUA POTABLE  Y ALCANTARILLADO DIVERSOS SECTORES"/>
    <m/>
    <m/>
    <m/>
    <m/>
    <m/>
    <m/>
    <m/>
    <n v="744430310"/>
    <n v="742978307"/>
    <m/>
    <n v="1452003"/>
    <n v="0"/>
    <n v="1452003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URBANO"/>
    <s v="SOCIAL"/>
    <x v="3"/>
    <s v="CASTRO"/>
    <n v="20"/>
    <s v="LIBRE"/>
    <s v="DISEÑO"/>
    <n v="30076949"/>
    <m/>
    <s v="FRANCISCA MONTECINO  OPAZO"/>
    <s v="30076949DISEÑO"/>
    <m/>
    <s v="REPOSICION ESCUELA DE LA CULTURA, FRIDOLINA BARRIENTOS, CASTRO"/>
    <s v="282 06-12-19"/>
    <m/>
    <m/>
    <m/>
    <m/>
    <m/>
    <m/>
    <n v="336933000"/>
    <n v="4794000"/>
    <m/>
    <n v="229970973"/>
    <n v="81586005"/>
    <n v="148384968"/>
    <n v="0"/>
    <n v="0"/>
    <n v="0"/>
    <n v="0"/>
    <n v="0"/>
    <n v="0"/>
    <n v="0"/>
    <n v="46620574"/>
    <n v="0"/>
    <n v="34965431"/>
    <n v="0"/>
    <n v="0"/>
    <m/>
    <n v="102168027"/>
    <s v="RS"/>
  </r>
  <r>
    <n v="31"/>
    <s v="A"/>
    <s v="TRANSPORTE Y VIVIENDA"/>
    <s v="URBANO"/>
    <s v="CONECTIVIDAD"/>
    <x v="3"/>
    <s v="CASTRO"/>
    <n v="20"/>
    <s v="FAR"/>
    <s v="EJECUCION"/>
    <n v="40003369"/>
    <m/>
    <s v="FRANCISCA MONTECINO  OPAZO"/>
    <s v="40003369EJECUCION"/>
    <s v="966131-77-LR19"/>
    <s v="CONSERVACION CAMINOS ISLA QUEHUI, COMUNA DE CASTRO (C33)"/>
    <s v="* CERT. CORE 227 08.08.19 - APRUEBA CAMBIO DE IDI."/>
    <m/>
    <m/>
    <m/>
    <m/>
    <m/>
    <m/>
    <n v="550000000"/>
    <n v="0"/>
    <m/>
    <n v="285558353"/>
    <n v="285558353"/>
    <n v="0"/>
    <n v="0"/>
    <n v="0"/>
    <n v="0"/>
    <n v="0"/>
    <n v="0"/>
    <n v="63772453"/>
    <n v="0"/>
    <n v="77101710"/>
    <n v="63812509"/>
    <n v="80871681"/>
    <n v="0"/>
    <n v="0"/>
    <m/>
    <n v="264441647"/>
    <s v="RS*"/>
  </r>
  <r>
    <n v="24"/>
    <s v="N"/>
    <s v="ENERGIA"/>
    <s v="RURAL"/>
    <s v="ENERGIA"/>
    <x v="3"/>
    <s v="CASTRO"/>
    <n v="20"/>
    <s v="ENERGIZACION"/>
    <s v="EJECUCION"/>
    <n v="30382027"/>
    <m/>
    <m/>
    <s v="30382027EJECUCION"/>
    <m/>
    <s v="SUBSIDIO OPERACIÓN SIST. AUTOGENERACION ISLA QUEHUI"/>
    <m/>
    <m/>
    <m/>
    <m/>
    <m/>
    <m/>
    <m/>
    <n v="50892340"/>
    <n v="0"/>
    <m/>
    <n v="50892340"/>
    <n v="50892340"/>
    <n v="0"/>
    <m/>
    <m/>
    <m/>
    <m/>
    <m/>
    <n v="0"/>
    <n v="0"/>
    <n v="0"/>
    <n v="50892340"/>
    <m/>
    <m/>
    <m/>
    <m/>
    <n v="0"/>
    <s v="RS***"/>
  </r>
  <r>
    <n v="31"/>
    <s v="A"/>
    <s v="INDUSTRIA, COMERCIO, FINANZAS Y TURISMO"/>
    <s v="URBANO"/>
    <s v="FOMENTO PRODUCTIVO"/>
    <x v="3"/>
    <s v="CASTRO"/>
    <n v="20"/>
    <s v="LIBRE"/>
    <s v="EJECUCION"/>
    <n v="30076663"/>
    <m/>
    <e v="#N/A"/>
    <s v="30076663EJECUCION"/>
    <s v="966131-55-LR19"/>
    <s v="CONSERVACION FERIA LILLO COMUNA CASTRO (C33)"/>
    <m/>
    <m/>
    <m/>
    <m/>
    <m/>
    <m/>
    <m/>
    <n v="564532000"/>
    <n v="0"/>
    <m/>
    <n v="366700027"/>
    <n v="122263164"/>
    <n v="244436863"/>
    <n v="0"/>
    <n v="0"/>
    <n v="0"/>
    <n v="0"/>
    <n v="0"/>
    <n v="115983164"/>
    <n v="1570000"/>
    <n v="1570000"/>
    <n v="3140000"/>
    <n v="0"/>
    <n v="0"/>
    <n v="0"/>
    <m/>
    <n v="197831973"/>
    <s v="RS*"/>
  </r>
  <r>
    <n v="33"/>
    <s v="A"/>
    <s v="MULTISECTORIAL"/>
    <s v="URBANO"/>
    <s v="SOCIAL"/>
    <x v="3"/>
    <s v="CASTRO"/>
    <n v="2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CASTRO"/>
    <n v="20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49257331"/>
    <n v="150742669"/>
    <n v="0"/>
    <n v="0"/>
    <n v="0"/>
    <n v="0"/>
    <n v="0"/>
    <n v="0"/>
    <n v="17517562"/>
    <n v="23102764"/>
    <n v="8637005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004520650"/>
    <n v="747772307"/>
    <m/>
    <n v="1679297244"/>
    <n v="1025503246"/>
    <n v="653793998"/>
    <n v="0"/>
    <n v="0"/>
    <n v="0"/>
    <n v="0"/>
    <n v="0"/>
    <n v="179755617"/>
    <n v="19087562"/>
    <n v="252239289"/>
    <n v="126481854"/>
    <n v="115837112"/>
    <n v="94313272"/>
    <n v="237788540"/>
    <m/>
    <n v="57745109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OCIAL"/>
    <x v="3"/>
    <s v="CASTRO"/>
    <n v="20"/>
    <s v="LIBRE"/>
    <s v="EJECUCION"/>
    <n v="20140221"/>
    <m/>
    <e v="#N/A"/>
    <s v="20140221EJECUCION"/>
    <s v="966131-80-LR19"/>
    <s v="REPOSICION POSTA DE SALUD RURAL DE LA ISLA CHELIN, CASTRO"/>
    <m/>
    <m/>
    <m/>
    <m/>
    <m/>
    <m/>
    <m/>
    <n v="600518000"/>
    <n v="0"/>
    <m/>
    <n v="200518000"/>
    <n v="0"/>
    <n v="200518000"/>
    <n v="0"/>
    <n v="0"/>
    <n v="0"/>
    <n v="0"/>
    <n v="0"/>
    <n v="0"/>
    <n v="0"/>
    <n v="0"/>
    <n v="0"/>
    <n v="0"/>
    <n v="0"/>
    <n v="0"/>
    <m/>
    <n v="400000000"/>
    <s v="RS"/>
  </r>
  <r>
    <n v="31"/>
    <s v="A"/>
    <s v="MULTISECTORIAL"/>
    <s v="URBANO"/>
    <s v="CONECTIVIDAD"/>
    <x v="3"/>
    <s v="CASTRO"/>
    <n v="20"/>
    <s v="FAR"/>
    <s v="EJECUCION"/>
    <n v="40002877"/>
    <m/>
    <s v="HARRY FRANKLIN  MONSALVE FUENTES"/>
    <s v="40002877EJECUCION"/>
    <s v="966131-34-LR20"/>
    <s v="MEJORAMIENTO URBANISTICO AVENIDA O´HIGGINS Y AVENIDA SAN MARTIN CASTRO"/>
    <m/>
    <m/>
    <m/>
    <s v="867 27,04,20"/>
    <n v="3779356000"/>
    <m/>
    <m/>
    <n v="3779356000"/>
    <n v="0"/>
    <m/>
    <n v="77451099"/>
    <n v="0"/>
    <n v="77451099"/>
    <n v="0"/>
    <n v="0"/>
    <n v="0"/>
    <n v="0"/>
    <n v="0"/>
    <n v="0"/>
    <n v="0"/>
    <n v="0"/>
    <n v="0"/>
    <n v="0"/>
    <n v="0"/>
    <n v="0"/>
    <m/>
    <n v="3701904901"/>
    <s v="RS"/>
  </r>
  <r>
    <n v="31"/>
    <s v="N"/>
    <s v="EDUCACIÓN Y CULTURA"/>
    <s v="URBANO"/>
    <s v="SOCIAL"/>
    <x v="3"/>
    <s v="CASTRO"/>
    <n v="20"/>
    <s v="LIBRE"/>
    <s v="DISEÑO"/>
    <n v="40005957"/>
    <m/>
    <m/>
    <s v="40005957DISEÑO"/>
    <m/>
    <s v="* REPOSICION MUSEO MUNICIPAL Y BIBLIOTECA PUBLICA"/>
    <m/>
    <m/>
    <m/>
    <m/>
    <m/>
    <m/>
    <m/>
    <n v="139625000"/>
    <n v="0"/>
    <m/>
    <n v="5324600"/>
    <n v="0"/>
    <n v="5324600"/>
    <n v="0"/>
    <n v="0"/>
    <n v="0"/>
    <n v="0"/>
    <n v="0"/>
    <n v="0"/>
    <n v="0"/>
    <n v="0"/>
    <n v="0"/>
    <n v="0"/>
    <n v="0"/>
    <n v="0"/>
    <m/>
    <n v="134300400"/>
    <s v="RS"/>
  </r>
  <r>
    <n v="29"/>
    <s v="N"/>
    <s v="MULTISECTORIAL"/>
    <s v="URBANO"/>
    <s v="SOCIAL"/>
    <x v="3"/>
    <s v="CASTRO"/>
    <n v="21"/>
    <s v="LIBRE"/>
    <s v="EJECUCION"/>
    <n v="40007844"/>
    <m/>
    <m/>
    <s v="40007844EJECUCION"/>
    <m/>
    <s v="* REPOSICION CAMIONES Y CONTENEDORES COMUNA DE CASTRO (C33)"/>
    <s v="* ORD. 3098 06.09.2019 RS * CERT. CORE 140 04.2020 - ACTUALIZA COSTO"/>
    <m/>
    <m/>
    <m/>
    <m/>
    <m/>
    <m/>
    <n v="651525000"/>
    <n v="0"/>
    <m/>
    <n v="233710000"/>
    <n v="0"/>
    <n v="233710000"/>
    <n v="0"/>
    <n v="0"/>
    <n v="0"/>
    <n v="0"/>
    <n v="0"/>
    <n v="0"/>
    <n v="0"/>
    <n v="0"/>
    <n v="0"/>
    <n v="0"/>
    <n v="0"/>
    <n v="0"/>
    <m/>
    <n v="417815000"/>
    <s v="RS*"/>
  </r>
  <r>
    <n v="31"/>
    <s v="N"/>
    <s v="TRANSPORTE Y VIVIENDA"/>
    <s v="URBANO"/>
    <s v="CONECTIVIDAD"/>
    <x v="3"/>
    <s v="CASTRO"/>
    <n v="22"/>
    <s v="FAR"/>
    <s v="EJECUCION"/>
    <n v="40014732"/>
    <m/>
    <m/>
    <s v="40014732EJECUCION"/>
    <m/>
    <s v="CONSERVACION CAMINOS RURALES Y URBANOS SECTOR TEN TEN Y LA CHACRAN (C33)"/>
    <m/>
    <m/>
    <m/>
    <m/>
    <m/>
    <m/>
    <m/>
    <n v="158000000"/>
    <n v="0"/>
    <m/>
    <n v="7900000"/>
    <n v="0"/>
    <n v="7900000"/>
    <n v="0"/>
    <n v="0"/>
    <n v="0"/>
    <n v="0"/>
    <n v="0"/>
    <n v="0"/>
    <n v="0"/>
    <n v="0"/>
    <n v="0"/>
    <n v="0"/>
    <n v="0"/>
    <n v="0"/>
    <m/>
    <n v="15010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5329024000"/>
    <n v="0"/>
    <m/>
    <n v="524903699"/>
    <n v="0"/>
    <n v="524903699"/>
    <n v="0"/>
    <n v="0"/>
    <n v="0"/>
    <n v="0"/>
    <n v="0"/>
    <n v="0"/>
    <n v="0"/>
    <n v="0"/>
    <n v="0"/>
    <n v="0"/>
    <n v="0"/>
    <n v="0"/>
    <m/>
    <n v="480412030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ASTRO"/>
    <m/>
    <m/>
    <m/>
    <m/>
    <m/>
    <m/>
    <m/>
    <n v="8333544650"/>
    <n v="747772307"/>
    <m/>
    <n v="2204200943"/>
    <n v="1025503246"/>
    <n v="1178697697"/>
    <n v="0"/>
    <n v="0"/>
    <n v="0"/>
    <n v="0"/>
    <n v="0"/>
    <n v="179755617"/>
    <n v="19087562"/>
    <n v="252239289"/>
    <n v="126481854"/>
    <n v="115837112"/>
    <n v="94313272"/>
    <n v="237788540"/>
    <m/>
    <n v="53815714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HONCHI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AGUA POTABLE Y ALCANTARILLADO"/>
    <s v="RURAL"/>
    <s v="AGUA POTABLE"/>
    <x v="3"/>
    <s v="CHONCHI"/>
    <n v="21"/>
    <s v="PMB"/>
    <s v="EJECUCION"/>
    <n v="30091901"/>
    <m/>
    <s v="HARRY FRANKLIN  MONSALVE FUENTES"/>
    <s v="30091901EJECUCION"/>
    <m/>
    <s v="* MEJORAMIENTO Y AMPLIACION  APR DE HUILLINCO"/>
    <s v="* CERT. CORE 45 07.02.20 - ACTUALIZA COSTO"/>
    <m/>
    <m/>
    <m/>
    <m/>
    <m/>
    <m/>
    <n v="597480684"/>
    <n v="421356397"/>
    <m/>
    <n v="133443603"/>
    <n v="78611350"/>
    <n v="54832253"/>
    <n v="0"/>
    <n v="0"/>
    <n v="0"/>
    <n v="0"/>
    <n v="0"/>
    <n v="0"/>
    <n v="29372549"/>
    <n v="0"/>
    <n v="0"/>
    <n v="0"/>
    <n v="0"/>
    <n v="49238801"/>
    <m/>
    <n v="42680684"/>
    <s v="RS"/>
  </r>
  <r>
    <n v="31"/>
    <s v="A"/>
    <s v="DEFENSA Y SEGURIDAD"/>
    <s v="RURAL"/>
    <s v="SOCIAL"/>
    <x v="3"/>
    <s v="CHONCHI"/>
    <n v="21"/>
    <s v="LIBRE"/>
    <s v="EJECUCION"/>
    <n v="30126506"/>
    <m/>
    <s v="HARRY FRANKLIN  MONSALVE FUENTES"/>
    <s v="30126506EJECUCION"/>
    <m/>
    <s v="CONSTRUCCION CUARTEL 2° COMPAÑIA BOMBEROS DE LA COMUNA DE CHONCHI"/>
    <m/>
    <m/>
    <m/>
    <m/>
    <m/>
    <m/>
    <m/>
    <n v="644396000"/>
    <n v="126246486"/>
    <m/>
    <n v="313832800"/>
    <n v="131269737"/>
    <n v="182563063"/>
    <n v="0"/>
    <n v="0"/>
    <n v="0"/>
    <n v="0"/>
    <n v="0"/>
    <n v="0"/>
    <n v="0"/>
    <n v="1800000"/>
    <n v="3600000"/>
    <n v="1800000"/>
    <n v="86045461"/>
    <n v="38024276"/>
    <m/>
    <n v="204316714"/>
    <s v="RS"/>
  </r>
  <r>
    <n v="29"/>
    <s v="A"/>
    <s v="MULTISECTORIAL"/>
    <s v="RURAL"/>
    <s v="SOCIAL"/>
    <x v="3"/>
    <s v="CHONCHI"/>
    <n v="21"/>
    <s v="LIBRE"/>
    <s v="EJECUCION"/>
    <n v="30208122"/>
    <m/>
    <s v="FRANCISCA MONTECINO  OPAZO"/>
    <s v="30208122EJECUCION"/>
    <m/>
    <s v="** REPOSICION CONTENEDORES DE RESIDUOS SOLIDOS DOMICILIARIOS (C33)"/>
    <s v="* CERT. CORE 134 04.2020 - INCORPORA AL EESS"/>
    <m/>
    <m/>
    <m/>
    <m/>
    <m/>
    <m/>
    <n v="45815000"/>
    <n v="0"/>
    <m/>
    <n v="45815000"/>
    <n v="45815000"/>
    <n v="0"/>
    <n v="0"/>
    <n v="0"/>
    <n v="0"/>
    <n v="0"/>
    <n v="0"/>
    <n v="0"/>
    <n v="0"/>
    <n v="0"/>
    <n v="0"/>
    <n v="0"/>
    <n v="0"/>
    <n v="45815000"/>
    <m/>
    <n v="0"/>
    <s v="RS*"/>
  </r>
  <r>
    <n v="22"/>
    <s v="A"/>
    <s v="TRANSPORTE Y VIVIENDA"/>
    <s v="RURAL"/>
    <s v="SOCIAL"/>
    <x v="3"/>
    <s v="CHONCHI"/>
    <n v="21"/>
    <s v="LIBRE"/>
    <s v="EJECUCION"/>
    <n v="30126522"/>
    <m/>
    <s v="FRANCISCA MONTECINO  OPAZO"/>
    <s v="30126522EJECUCION"/>
    <m/>
    <s v="ACTUALIZACION PLAN REGULADOR COMUNA DE CHONCHI (C33)"/>
    <m/>
    <m/>
    <m/>
    <m/>
    <m/>
    <m/>
    <m/>
    <n v="120000000"/>
    <n v="60000000"/>
    <m/>
    <n v="60000000"/>
    <n v="50000000"/>
    <n v="10000000"/>
    <n v="0"/>
    <n v="0"/>
    <n v="0"/>
    <n v="0"/>
    <n v="0"/>
    <n v="25000000"/>
    <n v="0"/>
    <n v="0"/>
    <n v="0"/>
    <n v="0"/>
    <n v="25000000"/>
    <n v="0"/>
    <m/>
    <n v="0"/>
    <s v="RS*"/>
  </r>
  <r>
    <n v="31"/>
    <s v="A"/>
    <s v="EDUCACIÓN Y CULTURA"/>
    <s v="RURAL"/>
    <s v="SOCIAL"/>
    <x v="3"/>
    <s v="CHONCHI"/>
    <n v="21"/>
    <s v="LIBRE"/>
    <s v="DISEÑO"/>
    <n v="20157700"/>
    <m/>
    <s v="HARRY FRANKLIN  MONSALVE FUENTES"/>
    <s v="20157700DISEÑO"/>
    <m/>
    <s v="REPOSICION ESCUELA RURAL DE QUITRIPULLI"/>
    <m/>
    <m/>
    <m/>
    <m/>
    <m/>
    <m/>
    <m/>
    <n v="62758000"/>
    <n v="38544070"/>
    <m/>
    <n v="24213930"/>
    <n v="23855381"/>
    <n v="358549"/>
    <n v="0"/>
    <n v="0"/>
    <n v="0"/>
    <n v="0"/>
    <n v="0"/>
    <n v="0"/>
    <n v="0"/>
    <n v="0"/>
    <n v="0"/>
    <n v="0"/>
    <n v="0"/>
    <n v="23855381"/>
    <m/>
    <n v="0"/>
    <s v="RS"/>
  </r>
  <r>
    <n v="31"/>
    <s v="A"/>
    <s v="AGUA POTABLE Y ALCANTARILLADO"/>
    <s v="RURAL"/>
    <s v="AGUA POTABLE"/>
    <x v="3"/>
    <s v="CHONCHI"/>
    <n v="21"/>
    <s v="LIBRE"/>
    <s v="EJECUCION"/>
    <n v="30466394"/>
    <m/>
    <s v="FRANCISCA MONTECINO  OPAZO"/>
    <s v="30466394EJECUCION"/>
    <m/>
    <s v="CONSTRUCCION SISTEMA APR DE TARAHUIN, CHONCHI"/>
    <m/>
    <m/>
    <m/>
    <m/>
    <m/>
    <m/>
    <m/>
    <n v="483702000"/>
    <n v="233771289"/>
    <m/>
    <n v="249930711"/>
    <n v="125751201"/>
    <n v="124179510"/>
    <n v="0"/>
    <n v="0"/>
    <n v="0"/>
    <n v="0"/>
    <n v="0"/>
    <n v="23775593"/>
    <n v="0"/>
    <n v="15423454"/>
    <n v="18147894"/>
    <n v="36791677"/>
    <n v="14320197"/>
    <n v="17292386"/>
    <m/>
    <n v="0"/>
    <s v="RS"/>
  </r>
  <r>
    <n v="31"/>
    <s v="A"/>
    <s v="EDUCACIÓN Y CULTURA"/>
    <s v="RURAL"/>
    <s v="SOCIAL"/>
    <x v="3"/>
    <s v="CHONCHI"/>
    <n v="21"/>
    <s v="LIBRE"/>
    <s v="DISEÑO"/>
    <n v="30126487"/>
    <m/>
    <e v="#N/A"/>
    <s v="30126487DISEÑO"/>
    <s v="4318-31-LP19"/>
    <s v="REPOSICION ESCUELA RURAL DE HUILLINCO COMUNA DE CHONCHI"/>
    <m/>
    <m/>
    <m/>
    <m/>
    <m/>
    <m/>
    <m/>
    <n v="62039000"/>
    <n v="0"/>
    <m/>
    <n v="62039000"/>
    <n v="35568000"/>
    <n v="26471000"/>
    <n v="0"/>
    <n v="0"/>
    <n v="0"/>
    <n v="0"/>
    <n v="0"/>
    <n v="0"/>
    <n v="0"/>
    <n v="0"/>
    <n v="23712000"/>
    <n v="11856000"/>
    <n v="0"/>
    <n v="0"/>
    <m/>
    <n v="0"/>
    <s v="RS"/>
  </r>
  <r>
    <n v="31"/>
    <s v="A"/>
    <s v="SALUD"/>
    <s v="RURAL"/>
    <s v="SOCIAL"/>
    <x v="3"/>
    <s v="CHONCHI"/>
    <n v="21"/>
    <s v="LIBRE"/>
    <s v="EJECUCION"/>
    <n v="30476688"/>
    <s v="SALUD"/>
    <s v="HARRY FRANKLIN  MONSALVE FUENTES"/>
    <s v="30476688EJECUCION"/>
    <s v="4318-34-LR19"/>
    <s v="REPOSICION POSTA SALUD RURAL CUCAO, COMUNA CHONCHI"/>
    <m/>
    <m/>
    <m/>
    <m/>
    <m/>
    <m/>
    <m/>
    <n v="543264000"/>
    <n v="0"/>
    <m/>
    <n v="243264000"/>
    <n v="45952294"/>
    <n v="197311706"/>
    <n v="0"/>
    <n v="0"/>
    <n v="0"/>
    <n v="0"/>
    <n v="0"/>
    <n v="0"/>
    <n v="0"/>
    <n v="1944444"/>
    <n v="23894501"/>
    <n v="16224461"/>
    <n v="3888888"/>
    <n v="0"/>
    <m/>
    <n v="300000000"/>
    <s v="RS"/>
  </r>
  <r>
    <n v="31"/>
    <s v="A"/>
    <s v="DEPORTE"/>
    <s v="RURAL"/>
    <s v="SOCIAL"/>
    <x v="3"/>
    <s v="CHONCHI"/>
    <n v="21"/>
    <s v="LIBRE"/>
    <s v="DISEÑO"/>
    <n v="30484959"/>
    <m/>
    <e v="#N/A"/>
    <s v="30484959DISEÑO"/>
    <s v="4318-41-LP19"/>
    <s v="CONSTRUCCION CENTRO DEPORTIVO MUNICIPAL COMUNA DE CHONCHI"/>
    <m/>
    <m/>
    <m/>
    <m/>
    <m/>
    <m/>
    <m/>
    <n v="75000000"/>
    <n v="0"/>
    <m/>
    <n v="75000000"/>
    <n v="30600000"/>
    <n v="44400000"/>
    <n v="0"/>
    <n v="0"/>
    <n v="0"/>
    <n v="0"/>
    <n v="0"/>
    <n v="0"/>
    <n v="0"/>
    <n v="20400000"/>
    <n v="0"/>
    <n v="10200000"/>
    <n v="0"/>
    <n v="0"/>
    <m/>
    <n v="0"/>
    <s v="RS"/>
  </r>
  <r>
    <n v="31"/>
    <s v="A"/>
    <s v="TRANSPORTE Y VIVIENDA"/>
    <s v="RURAL"/>
    <s v="CONECTIVIDAD"/>
    <x v="3"/>
    <s v="CHONCHI"/>
    <n v="21"/>
    <s v="FAR"/>
    <s v="EJECUCION"/>
    <n v="40006762"/>
    <m/>
    <e v="#N/A"/>
    <s v="40006762EJECUCION"/>
    <s v="4318-44-LR19"/>
    <s v="CONSERVACION CAMINOS NO ENROLADOS COMUNA DE CHONCHI (C33)"/>
    <m/>
    <m/>
    <m/>
    <m/>
    <m/>
    <m/>
    <m/>
    <n v="588576000"/>
    <n v="0"/>
    <m/>
    <n v="390235378"/>
    <n v="390235378"/>
    <n v="0"/>
    <n v="0"/>
    <n v="0"/>
    <n v="0"/>
    <n v="0"/>
    <n v="0"/>
    <n v="83980522"/>
    <n v="103983204"/>
    <n v="143762495"/>
    <n v="4000000"/>
    <n v="54509157"/>
    <n v="0"/>
    <n v="0"/>
    <m/>
    <n v="198340622"/>
    <s v="RS*"/>
  </r>
  <r>
    <n v="33"/>
    <s v="A"/>
    <s v="MULTISECTORIAL"/>
    <s v="URBANO"/>
    <s v="SOCIAL"/>
    <x v="3"/>
    <s v="CHONCHI"/>
    <n v="2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CHONCHI"/>
    <n v="21"/>
    <s v="FRIL"/>
    <s v="EJECUCION"/>
    <s v="FRIL"/>
    <m/>
    <m/>
    <s v="FRILEJECUCION"/>
    <m/>
    <s v="FONDO REGIONAL DE INICIATIVAS LOCAL - ANEXO PAGINA 7"/>
    <m/>
    <m/>
    <m/>
    <m/>
    <m/>
    <m/>
    <m/>
    <n v="200000000"/>
    <n v="0"/>
    <m/>
    <n v="200000000"/>
    <n v="146804052"/>
    <n v="53195948"/>
    <n v="0"/>
    <n v="0"/>
    <n v="0"/>
    <n v="0"/>
    <n v="0"/>
    <n v="9323445"/>
    <n v="27148180"/>
    <n v="0"/>
    <n v="25999195"/>
    <n v="0"/>
    <n v="84333232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3523030684"/>
    <n v="879918242"/>
    <m/>
    <n v="1897774422"/>
    <n v="1104462393"/>
    <n v="793312029"/>
    <n v="0"/>
    <n v="0"/>
    <n v="0"/>
    <n v="0"/>
    <n v="0"/>
    <n v="142079560"/>
    <n v="160503933"/>
    <n v="183330393"/>
    <n v="99353590"/>
    <n v="131381295"/>
    <n v="213587778"/>
    <n v="174225844"/>
    <m/>
    <n v="74533802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MULTISECTORIAL"/>
    <s v="URBANO"/>
    <s v="SOCIAL"/>
    <x v="3"/>
    <s v="CHONCHI"/>
    <n v="21"/>
    <s v="LIBRE"/>
    <s v="EJECUCION"/>
    <n v="40014051"/>
    <m/>
    <m/>
    <s v="40014051EJECUCION"/>
    <m/>
    <s v="ADQUISICION DE CONTENEDORES RESIDUOS SOLIDOS DOMICILIARIOS CHONCHI URBANO (C33)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50000000"/>
    <n v="0"/>
    <m/>
    <n v="226614183"/>
    <n v="0"/>
    <n v="226614183"/>
    <n v="0"/>
    <n v="0"/>
    <n v="0"/>
    <n v="0"/>
    <n v="0"/>
    <n v="0"/>
    <n v="0"/>
    <n v="0"/>
    <n v="0"/>
    <n v="0"/>
    <n v="0"/>
    <n v="0"/>
    <m/>
    <n v="2338581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HONCHI"/>
    <m/>
    <m/>
    <m/>
    <m/>
    <m/>
    <m/>
    <m/>
    <n v="3773030684"/>
    <n v="879918242"/>
    <m/>
    <n v="2124388605"/>
    <n v="1104462393"/>
    <n v="1019926212"/>
    <n v="0"/>
    <n v="0"/>
    <n v="0"/>
    <n v="0"/>
    <n v="0"/>
    <n v="142079560"/>
    <n v="160503933"/>
    <n v="183330393"/>
    <n v="99353590"/>
    <n v="131381295"/>
    <n v="213587778"/>
    <n v="174225844"/>
    <m/>
    <n v="76872383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URACO DE VELEZ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CURACO DE VÉLEZ"/>
    <n v="22"/>
    <s v="LIBRE"/>
    <s v="DISEÑO"/>
    <n v="30095333"/>
    <m/>
    <s v="FRANCISCA MONTECINO  OPAZO"/>
    <s v="30095333DISEÑO"/>
    <m/>
    <s v="REPOSICION ESTADIO MUNICIPAL CURACO DE VELEZ"/>
    <m/>
    <m/>
    <m/>
    <m/>
    <m/>
    <m/>
    <m/>
    <n v="178850000"/>
    <n v="155316500"/>
    <m/>
    <n v="21658500"/>
    <n v="0"/>
    <n v="21658500"/>
    <n v="0"/>
    <n v="0"/>
    <n v="0"/>
    <n v="0"/>
    <n v="0"/>
    <n v="0"/>
    <n v="0"/>
    <n v="0"/>
    <n v="0"/>
    <n v="0"/>
    <n v="0"/>
    <n v="0"/>
    <m/>
    <n v="1875000"/>
    <s v="RS"/>
  </r>
  <r>
    <n v="31"/>
    <s v="A"/>
    <s v="SALUD"/>
    <s v="RURAL"/>
    <s v="SOCIAL"/>
    <x v="3"/>
    <s v="CURACO DE VÉLEZ"/>
    <n v="22"/>
    <s v="LIBRE"/>
    <s v="EJECUCION"/>
    <n v="30135738"/>
    <s v="SALUD"/>
    <s v="HARRY FRANKLIN  MONSALVE FUENTES"/>
    <s v="30135738EJECUCION"/>
    <m/>
    <s v="REPOSICION POSTA DE SALUD HUYAR ALTO"/>
    <m/>
    <m/>
    <m/>
    <m/>
    <m/>
    <m/>
    <m/>
    <n v="575525000"/>
    <n v="537497538"/>
    <m/>
    <n v="38027462"/>
    <n v="23471430"/>
    <n v="14556032"/>
    <n v="0"/>
    <n v="0"/>
    <n v="0"/>
    <n v="0"/>
    <n v="0"/>
    <n v="0"/>
    <n v="23471430"/>
    <n v="0"/>
    <n v="0"/>
    <n v="0"/>
    <n v="0"/>
    <n v="0"/>
    <m/>
    <n v="0"/>
    <s v="RS"/>
  </r>
  <r>
    <n v="31"/>
    <s v="A"/>
    <s v="SALUD"/>
    <s v="RURAL"/>
    <s v="SOCIAL"/>
    <x v="3"/>
    <s v="CURACO DE VÉLEZ"/>
    <n v="22"/>
    <s v="LIBRE"/>
    <s v="EJECUCION"/>
    <n v="30135739"/>
    <s v="SALUD"/>
    <e v="#N/A"/>
    <s v="30135739EJECUCION"/>
    <m/>
    <s v="REPOSICION POSTA DE SALUD DE PALQUI"/>
    <m/>
    <m/>
    <m/>
    <m/>
    <m/>
    <m/>
    <m/>
    <n v="571440000"/>
    <n v="42821820"/>
    <m/>
    <n v="371440000"/>
    <n v="351263065"/>
    <n v="20176935"/>
    <n v="0"/>
    <n v="0"/>
    <n v="0"/>
    <n v="0"/>
    <n v="0"/>
    <n v="64602977"/>
    <n v="40186025"/>
    <n v="110687671"/>
    <n v="1903000"/>
    <n v="49224958"/>
    <n v="84658434"/>
    <n v="0"/>
    <m/>
    <n v="157178180"/>
    <s v="RS"/>
  </r>
  <r>
    <n v="33"/>
    <s v="A"/>
    <s v="MULTISECTORIAL"/>
    <s v="URBANO"/>
    <s v="SOCIAL"/>
    <x v="3"/>
    <s v="CURACO DE VÉLEZ"/>
    <n v="2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CURACO DE VÉLEZ"/>
    <n v="22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07103667"/>
    <n v="92896333"/>
    <n v="0"/>
    <n v="0"/>
    <n v="0"/>
    <n v="0"/>
    <n v="0"/>
    <n v="8476830"/>
    <n v="24420645"/>
    <n v="2115172"/>
    <n v="24308361"/>
    <n v="47782659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625815000"/>
    <n v="735635858"/>
    <m/>
    <n v="731125962"/>
    <n v="481838162"/>
    <n v="249287800"/>
    <n v="0"/>
    <n v="0"/>
    <n v="0"/>
    <n v="0"/>
    <n v="0"/>
    <n v="73079807"/>
    <n v="88078100"/>
    <n v="112802843"/>
    <n v="26211361"/>
    <n v="97007617"/>
    <n v="84658434"/>
    <n v="0"/>
    <m/>
    <n v="1590531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N"/>
    <s v="TRANSPORTE Y VIVIENDA"/>
    <s v="RURAL"/>
    <s v="CONECTIVIDAD"/>
    <x v="3"/>
    <s v="CURACO DE VÉLEZ"/>
    <n v="22"/>
    <s v="FAR"/>
    <s v="EJECUCION"/>
    <n v="40018060"/>
    <m/>
    <m/>
    <s v="40018060EJECUCION"/>
    <m/>
    <s v="REPOSICION RETROEXCAVADORA MUNICIPAL, CURACO DE VELEZ (C33)"/>
    <s v="* ORD. 369 10.02.2020 (C33) - RS"/>
    <m/>
    <m/>
    <s v="797 19,03,20"/>
    <n v="86500000"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86500000"/>
    <n v="0"/>
    <m/>
    <n v="86500000"/>
    <n v="0"/>
    <n v="86500000"/>
    <n v="0"/>
    <n v="0"/>
    <n v="0"/>
    <n v="0"/>
    <n v="0"/>
    <n v="0"/>
    <n v="0"/>
    <n v="0"/>
    <n v="0"/>
    <n v="0"/>
    <n v="0"/>
    <n v="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.VELEZ"/>
    <m/>
    <m/>
    <m/>
    <m/>
    <m/>
    <m/>
    <m/>
    <n v="1712315000"/>
    <n v="735635858"/>
    <m/>
    <n v="817625962"/>
    <n v="481838162"/>
    <n v="335787800"/>
    <n v="0"/>
    <n v="0"/>
    <n v="0"/>
    <n v="0"/>
    <n v="0"/>
    <n v="73079807"/>
    <n v="88078100"/>
    <n v="112802843"/>
    <n v="26211361"/>
    <n v="97007617"/>
    <n v="84658434"/>
    <n v="0"/>
    <m/>
    <n v="15905318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DALCA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LCANTARILLADO"/>
    <x v="3"/>
    <s v="DALCAHUE"/>
    <n v="23"/>
    <s v="LIBRE"/>
    <s v="EJECUCION"/>
    <n v="30395727"/>
    <m/>
    <s v="FRANCISCA MONTECINO  OPAZO"/>
    <s v="30395727EJECUCION"/>
    <m/>
    <s v="CONSTRUCCION REDES AGUA POTABLE Y ALC ST VISTA HERMOSA"/>
    <m/>
    <m/>
    <m/>
    <m/>
    <m/>
    <m/>
    <m/>
    <n v="566452000"/>
    <n v="480021119"/>
    <m/>
    <n v="86430881"/>
    <n v="78062710"/>
    <n v="8368171"/>
    <n v="0"/>
    <n v="0"/>
    <n v="0"/>
    <n v="0"/>
    <n v="0"/>
    <n v="0"/>
    <n v="0"/>
    <n v="0"/>
    <n v="13565802"/>
    <n v="0"/>
    <n v="20890003"/>
    <n v="43606905"/>
    <m/>
    <n v="0"/>
    <s v="RS"/>
  </r>
  <r>
    <n v="31"/>
    <s v="A"/>
    <s v="DEPORTE"/>
    <s v="RURAL"/>
    <s v="SOCIAL"/>
    <x v="3"/>
    <s v="DALCAHUE"/>
    <n v="23"/>
    <s v="LIBRE"/>
    <s v="EJECUCION"/>
    <n v="30134014"/>
    <m/>
    <s v="HARRY FRANKLIN  MONSALVE FUENTES"/>
    <s v="30134014EJECUCION"/>
    <m/>
    <s v="CONSTRUCCION GIMNASIO TENAUN"/>
    <m/>
    <m/>
    <m/>
    <m/>
    <m/>
    <m/>
    <m/>
    <n v="368365000"/>
    <n v="63846643"/>
    <m/>
    <n v="23739456"/>
    <n v="0"/>
    <n v="23739456"/>
    <n v="0"/>
    <n v="0"/>
    <n v="0"/>
    <n v="0"/>
    <n v="0"/>
    <n v="0"/>
    <n v="0"/>
    <n v="0"/>
    <n v="0"/>
    <n v="0"/>
    <n v="0"/>
    <n v="0"/>
    <m/>
    <n v="280778901"/>
    <s v="RS"/>
  </r>
  <r>
    <n v="31"/>
    <s v="A"/>
    <s v="MULTISECTORIAL"/>
    <s v="URBANO"/>
    <s v="SOCIAL"/>
    <x v="3"/>
    <s v="DALCAHUE"/>
    <n v="23"/>
    <s v="LIBRE"/>
    <s v="DISEÑO"/>
    <n v="30129912"/>
    <m/>
    <s v="HARRY FRANKLIN  MONSALVE FUENTES"/>
    <s v="30129912DISEÑO"/>
    <m/>
    <s v="CONSTRUCCION CENTRO CIVICO DE DALCAHUE"/>
    <m/>
    <m/>
    <m/>
    <m/>
    <m/>
    <m/>
    <m/>
    <n v="96890200"/>
    <n v="58512850"/>
    <m/>
    <n v="38377350"/>
    <n v="0"/>
    <n v="38377350"/>
    <n v="0"/>
    <n v="0"/>
    <n v="0"/>
    <n v="0"/>
    <n v="0"/>
    <n v="0"/>
    <n v="0"/>
    <n v="0"/>
    <n v="0"/>
    <n v="0"/>
    <n v="0"/>
    <n v="0"/>
    <m/>
    <n v="0"/>
    <s v="RS"/>
  </r>
  <r>
    <n v="31"/>
    <s v="A"/>
    <s v="AGUA POTABLE Y ALCANTARILLADO"/>
    <s v="RURAL"/>
    <s v="ALCANTARILLADO"/>
    <x v="3"/>
    <s v="DALCAHUE"/>
    <n v="23"/>
    <s v="LIBRE"/>
    <s v="EJECUCION"/>
    <n v="30485152"/>
    <m/>
    <s v="HARRY FRANKLIN  MONSALVE FUENTES"/>
    <s v="30485152EJECUCION"/>
    <m/>
    <s v="* CONSTRUCCION REDES DE AP Y ALCANT. DIVERSOS SECTORES CIUDAD DALCAHUE"/>
    <s v="* CERT.CORE 78 03.2020 / AUMETO PPTO"/>
    <m/>
    <m/>
    <m/>
    <m/>
    <m/>
    <m/>
    <n v="357488184"/>
    <n v="119946751"/>
    <m/>
    <n v="218873114"/>
    <n v="170940708"/>
    <n v="47932406"/>
    <n v="0"/>
    <n v="0"/>
    <n v="0"/>
    <n v="0"/>
    <n v="0"/>
    <n v="22019054"/>
    <n v="1550000"/>
    <n v="33840093"/>
    <n v="48788029"/>
    <n v="1550000"/>
    <n v="25843859"/>
    <n v="37349673"/>
    <m/>
    <n v="18668319"/>
    <s v="RS"/>
  </r>
  <r>
    <n v="33"/>
    <s v="A"/>
    <s v="MULTISECTORIAL"/>
    <s v="URBANO"/>
    <s v="SOCIAL"/>
    <x v="3"/>
    <s v="DALCAHUE"/>
    <n v="2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DALCAHUE"/>
    <n v="23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156931211"/>
    <n v="43068789"/>
    <n v="0"/>
    <n v="0"/>
    <n v="0"/>
    <n v="0"/>
    <n v="0"/>
    <n v="0"/>
    <n v="156931211"/>
    <n v="0"/>
    <n v="0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689195384"/>
    <n v="722327363"/>
    <m/>
    <n v="667420801"/>
    <n v="405934629"/>
    <n v="261486172"/>
    <n v="0"/>
    <n v="0"/>
    <n v="0"/>
    <n v="0"/>
    <n v="0"/>
    <n v="22019054"/>
    <n v="158481211"/>
    <n v="33840093"/>
    <n v="62353831"/>
    <n v="1550000"/>
    <n v="46733862"/>
    <n v="80956578"/>
    <m/>
    <n v="29944722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3"/>
    <s v="DALCAHUE"/>
    <n v="23"/>
    <s v="PIR"/>
    <s v="EJECUCION"/>
    <n v="40004659"/>
    <m/>
    <s v="FRANCISCA MONTECINO  OPAZO"/>
    <s v="40004659EJECUCION"/>
    <s v="3520-5-LR20"/>
    <s v="CONSTRUCCION SISTEMA APR SECTOR BUTALCURA"/>
    <m/>
    <m/>
    <m/>
    <s v="2698 23,09,19"/>
    <n v="317511000"/>
    <m/>
    <m/>
    <n v="320000000"/>
    <n v="0"/>
    <m/>
    <n v="148204315"/>
    <n v="0"/>
    <n v="148204315"/>
    <n v="0"/>
    <n v="0"/>
    <n v="0"/>
    <n v="0"/>
    <n v="0"/>
    <n v="0"/>
    <n v="0"/>
    <n v="0"/>
    <n v="0"/>
    <n v="0"/>
    <n v="0"/>
    <n v="0"/>
    <m/>
    <n v="171795685"/>
    <s v="RS"/>
  </r>
  <r>
    <n v="31"/>
    <s v="N"/>
    <s v="DEPORTE"/>
    <s v="RURAL"/>
    <s v="SOCIAL"/>
    <x v="3"/>
    <s v="DALCAHUE"/>
    <n v="23"/>
    <s v="LIBRE"/>
    <s v="DISEÑO"/>
    <n v="40001662"/>
    <m/>
    <m/>
    <s v="40001662DISEÑO"/>
    <s v="3520-16-LE20"/>
    <s v="CONSTRUCCION RECINTO DEPORTIVO SECTOR MOCOPULLI, COMUNA DE DALCAHUE"/>
    <m/>
    <m/>
    <m/>
    <m/>
    <m/>
    <m/>
    <m/>
    <n v="20999000"/>
    <n v="0"/>
    <m/>
    <n v="1049950"/>
    <n v="0"/>
    <n v="1049950"/>
    <n v="0"/>
    <n v="0"/>
    <n v="0"/>
    <n v="0"/>
    <n v="0"/>
    <n v="0"/>
    <n v="0"/>
    <n v="0"/>
    <n v="0"/>
    <n v="0"/>
    <n v="0"/>
    <n v="0"/>
    <m/>
    <n v="19949050"/>
    <s v="RS"/>
  </r>
  <r>
    <n v="31"/>
    <s v="N"/>
    <s v="EDUCACIÓN Y CULTURA"/>
    <s v="RURAL"/>
    <s v="SOCIAL"/>
    <x v="3"/>
    <s v="DALCAHUE"/>
    <n v="23"/>
    <s v="FIE"/>
    <s v="EJECUCION"/>
    <n v="30134013"/>
    <m/>
    <s v="HARRY FRANKLIN  MONSALVE FUENTES"/>
    <s v="30134013EJECUCION"/>
    <s v="3520-15-LR20"/>
    <s v="REPOSICION ESCUELA TEHUACO - QUETALCO COMUNA DE DALCAHUE"/>
    <m/>
    <m/>
    <m/>
    <m/>
    <m/>
    <m/>
    <m/>
    <n v="758577000"/>
    <n v="0"/>
    <m/>
    <n v="112518688"/>
    <n v="0"/>
    <n v="112518688"/>
    <n v="0"/>
    <n v="0"/>
    <n v="0"/>
    <n v="0"/>
    <n v="0"/>
    <n v="0"/>
    <n v="0"/>
    <n v="0"/>
    <n v="0"/>
    <n v="0"/>
    <n v="0"/>
    <n v="0"/>
    <m/>
    <n v="646058312"/>
    <s v="RS"/>
  </r>
  <r>
    <n v="31"/>
    <s v="N"/>
    <s v="EDUCACIÓN Y CULTURA"/>
    <s v="URBANO"/>
    <s v="SOCIAL"/>
    <x v="3"/>
    <s v="DALCAHUE"/>
    <n v="23"/>
    <s v="FIE"/>
    <s v="EJECUCION"/>
    <n v="30419547"/>
    <m/>
    <s v="FRANCISCA MONTECINO  OPAZO"/>
    <s v="30419547EJECUCION"/>
    <m/>
    <s v="MEJORAMIENTO INTEGRAL ESCUELA BASICA DE DALCAHUE"/>
    <m/>
    <m/>
    <m/>
    <m/>
    <m/>
    <m/>
    <m/>
    <n v="239685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139685000"/>
    <s v="RS"/>
  </r>
  <r>
    <n v="31"/>
    <s v="N"/>
    <s v="TRANSPORTE Y VIVIENDA"/>
    <s v="URBANO"/>
    <s v="CONECTIVIDAD"/>
    <x v="3"/>
    <s v="DALCAHUE"/>
    <n v="23"/>
    <s v="FAR"/>
    <s v="EJECUCION"/>
    <n v="40013905"/>
    <m/>
    <m/>
    <s v="40013905EJECUCION"/>
    <m/>
    <s v="PAVIMENTACION DIVERSOS SECTORES"/>
    <m/>
    <m/>
    <m/>
    <m/>
    <m/>
    <m/>
    <m/>
    <n v="450000000"/>
    <n v="0"/>
    <m/>
    <n v="22500000"/>
    <n v="0"/>
    <n v="22500000"/>
    <n v="0"/>
    <n v="0"/>
    <n v="0"/>
    <n v="0"/>
    <n v="0"/>
    <n v="0"/>
    <n v="0"/>
    <n v="0"/>
    <n v="0"/>
    <n v="0"/>
    <n v="0"/>
    <n v="0"/>
    <m/>
    <n v="4275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789261000"/>
    <n v="0"/>
    <m/>
    <n v="384272953"/>
    <n v="0"/>
    <n v="384272953"/>
    <n v="0"/>
    <n v="0"/>
    <n v="0"/>
    <n v="0"/>
    <n v="0"/>
    <n v="0"/>
    <n v="0"/>
    <n v="0"/>
    <n v="0"/>
    <n v="0"/>
    <n v="0"/>
    <n v="0"/>
    <m/>
    <n v="140498804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DALCAHUE"/>
    <m/>
    <m/>
    <m/>
    <m/>
    <m/>
    <m/>
    <m/>
    <n v="3478456384"/>
    <n v="722327363"/>
    <m/>
    <n v="1051693754"/>
    <n v="405934629"/>
    <n v="645759125"/>
    <n v="0"/>
    <n v="0"/>
    <n v="0"/>
    <n v="0"/>
    <n v="0"/>
    <n v="22019054"/>
    <n v="158481211"/>
    <n v="33840093"/>
    <n v="62353831"/>
    <n v="1550000"/>
    <n v="46733862"/>
    <n v="80956578"/>
    <m/>
    <n v="1704435267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UQUELDO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3"/>
    <s v="PUQUELDON"/>
    <n v="24"/>
    <s v="LIBRE"/>
    <s v="EJECUCION"/>
    <n v="30466153"/>
    <m/>
    <e v="#N/A"/>
    <s v="30466153EJECUCION"/>
    <m/>
    <s v="** ADQUISICION CAMION MULIPROPOSITO MUNICIPALIDAD DE PUQUELDON(C33)"/>
    <s v="* CERT. CORE 135 04.2020 INCORPORA AL EE.SS"/>
    <m/>
    <m/>
    <m/>
    <m/>
    <m/>
    <m/>
    <n v="372682225"/>
    <n v="0"/>
    <m/>
    <n v="372682225"/>
    <n v="372682225"/>
    <n v="0"/>
    <n v="0"/>
    <n v="0"/>
    <n v="0"/>
    <n v="0"/>
    <n v="0"/>
    <n v="0"/>
    <n v="0"/>
    <n v="0"/>
    <n v="0"/>
    <n v="0"/>
    <n v="0"/>
    <n v="372682225"/>
    <m/>
    <n v="0"/>
    <s v="RS*"/>
  </r>
  <r>
    <n v="31"/>
    <s v="A"/>
    <s v="SALUD"/>
    <s v="RURAL"/>
    <s v="SOCIAL"/>
    <x v="3"/>
    <s v="PUQUELDON"/>
    <n v="24"/>
    <s v="LIBRE"/>
    <s v="EJECUCION"/>
    <n v="30042613"/>
    <s v="SALUD"/>
    <e v="#N/A"/>
    <s v="30042613EJECUCION"/>
    <m/>
    <s v="NORMALIZACION CONSULTORIO RURAL PUQUELDON"/>
    <m/>
    <m/>
    <m/>
    <m/>
    <m/>
    <m/>
    <m/>
    <n v="3472101337"/>
    <n v="2618173447"/>
    <m/>
    <n v="828009198"/>
    <n v="0"/>
    <n v="828009198"/>
    <n v="0"/>
    <n v="0"/>
    <n v="0"/>
    <n v="0"/>
    <n v="0"/>
    <n v="0"/>
    <n v="0"/>
    <n v="0"/>
    <n v="0"/>
    <n v="0"/>
    <n v="0"/>
    <n v="0"/>
    <m/>
    <n v="25918692"/>
    <s v="RS"/>
  </r>
  <r>
    <n v="31"/>
    <s v="A"/>
    <s v="TRANSPORTE Y VIVIENDA"/>
    <s v="RURAL"/>
    <s v="CONECTIVIDAD"/>
    <x v="3"/>
    <s v="PUQUELDON"/>
    <n v="24"/>
    <s v="FAR"/>
    <s v="EJECUCION"/>
    <n v="40006078"/>
    <m/>
    <e v="#N/A"/>
    <s v="40006078EJECUCION"/>
    <s v="816696-1-LR20"/>
    <s v="CONSERVACION CAMINOS  VECINALES EN 9 SECTORES RURALES - COMUNA DE PUQUELDON (C33)"/>
    <s v="* CERT. CORE 244 22.08.19 - APRUEBA AUMENTO PPTO,"/>
    <m/>
    <m/>
    <s v="3801 15,10,19"/>
    <n v="666830000"/>
    <m/>
    <m/>
    <n v="666831000"/>
    <n v="0"/>
    <m/>
    <n v="486769170"/>
    <n v="1600000"/>
    <n v="485169170"/>
    <n v="0"/>
    <n v="0"/>
    <n v="0"/>
    <n v="0"/>
    <n v="0"/>
    <n v="1600000"/>
    <n v="0"/>
    <n v="0"/>
    <n v="0"/>
    <n v="0"/>
    <n v="0"/>
    <n v="0"/>
    <m/>
    <n v="180061830"/>
    <s v="RS*"/>
  </r>
  <r>
    <n v="33"/>
    <s v="A"/>
    <s v="MULTISECTORIAL"/>
    <s v="URBANO"/>
    <s v="SOCIAL"/>
    <x v="3"/>
    <s v="PUQUELDON"/>
    <n v="24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PUQUELDON"/>
    <n v="24"/>
    <s v="FRIL"/>
    <s v="EJECUCION"/>
    <s v="FRIL"/>
    <m/>
    <m/>
    <s v="FRILEJECUCION"/>
    <m/>
    <s v="FONDO REGIONAL DE INICIATIVAS LOCAL - ANEXO PAGINA 8"/>
    <m/>
    <m/>
    <m/>
    <m/>
    <m/>
    <m/>
    <m/>
    <n v="200000000"/>
    <n v="0"/>
    <m/>
    <n v="200000000"/>
    <n v="72712983"/>
    <n v="127287017"/>
    <n v="0"/>
    <n v="0"/>
    <n v="0"/>
    <n v="0"/>
    <n v="0"/>
    <n v="0"/>
    <n v="11809721"/>
    <n v="0"/>
    <n v="60903262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UQUELDON"/>
    <m/>
    <m/>
    <m/>
    <m/>
    <m/>
    <m/>
    <m/>
    <n v="4811614562"/>
    <n v="2618173447"/>
    <m/>
    <n v="1987460593"/>
    <n v="446995208"/>
    <n v="1540465385"/>
    <n v="0"/>
    <n v="0"/>
    <n v="0"/>
    <n v="0"/>
    <n v="0"/>
    <n v="1600000"/>
    <n v="11809721"/>
    <n v="0"/>
    <n v="60903262"/>
    <n v="0"/>
    <n v="0"/>
    <n v="372682225"/>
    <m/>
    <n v="20598052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ILE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URBANO"/>
    <s v="SOCIAL"/>
    <x v="3"/>
    <s v="QUEILEN"/>
    <n v="25"/>
    <s v="FAR"/>
    <s v="EJECUCION"/>
    <n v="40004579"/>
    <m/>
    <e v="#N/A"/>
    <s v="40004579EJECUCION"/>
    <m/>
    <s v="ADQUISICION CAMIONETAS PARA DIVERSAS OFICINAS MUNICIPALES (C33)"/>
    <m/>
    <m/>
    <m/>
    <m/>
    <m/>
    <m/>
    <m/>
    <n v="93784000"/>
    <n v="0"/>
    <m/>
    <n v="93784000"/>
    <n v="76472052"/>
    <n v="17311948"/>
    <n v="0"/>
    <n v="0"/>
    <n v="0"/>
    <n v="0"/>
    <n v="0"/>
    <n v="0"/>
    <n v="76472052"/>
    <n v="0"/>
    <n v="0"/>
    <n v="0"/>
    <n v="0"/>
    <n v="0"/>
    <m/>
    <n v="0"/>
    <s v="RS*"/>
  </r>
  <r>
    <n v="31"/>
    <s v="A"/>
    <s v="EDUCACIÓN Y CULTURA"/>
    <s v="RURAL"/>
    <s v="SOCIAL"/>
    <x v="3"/>
    <s v="QUEILEN"/>
    <n v="25"/>
    <s v="LIBRE"/>
    <s v="EJECUCION"/>
    <n v="30343540"/>
    <m/>
    <s v="FRANCISCA MONTECINO  OPAZO"/>
    <s v="30343540EJECUCION"/>
    <m/>
    <s v="REPOSICION INTERNADO MIXTO LICEO POLIVALENTE DE QUEILEN"/>
    <s v="* CERT. CORE 15 01.19 - AUMNETA ITEM OBRAS CIVILES Y ACTUALIZA COSTO. * CERT. CORE 122 05.19 - AUMNETA ITEM EQUIPAMIENTO Y ACTUALIZA COSTO."/>
    <m/>
    <m/>
    <m/>
    <m/>
    <m/>
    <m/>
    <n v="1120303239"/>
    <n v="1120303239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DEPORTE"/>
    <s v="RURAL"/>
    <s v="SOCIAL"/>
    <x v="3"/>
    <s v="QUEILEN"/>
    <n v="25"/>
    <s v="LIBRE"/>
    <s v="EJECUCION"/>
    <n v="30480757"/>
    <m/>
    <s v="FRANCISCA MONTECINO  OPAZO"/>
    <s v="30480757EJECUCION"/>
    <m/>
    <s v="CONSERVACION GIMNASIO MUNICIPAL COMUNA DE QUEILEN (C33)"/>
    <m/>
    <m/>
    <m/>
    <s v="978 27,04,20"/>
    <n v="32125000"/>
    <m/>
    <m/>
    <n v="361002000"/>
    <n v="237468743"/>
    <m/>
    <n v="123533257"/>
    <n v="74761010"/>
    <n v="48772247"/>
    <n v="0"/>
    <n v="0"/>
    <n v="0"/>
    <n v="0"/>
    <n v="0"/>
    <n v="0"/>
    <n v="0"/>
    <n v="0"/>
    <n v="15450353"/>
    <n v="0"/>
    <n v="29245455"/>
    <n v="30065202"/>
    <m/>
    <n v="0"/>
    <s v="RS*"/>
  </r>
  <r>
    <n v="31"/>
    <s v="A"/>
    <s v="SALUD"/>
    <s v="RURAL"/>
    <s v="SOCIAL"/>
    <x v="3"/>
    <s v="QUEILEN"/>
    <n v="25"/>
    <s v="LIBRE"/>
    <s v="EJECUCION"/>
    <n v="30078798"/>
    <s v="SALUD"/>
    <s v="HARRY FRANKLIN  MONSALVE FUENTES"/>
    <s v="30078798EJECUCION"/>
    <m/>
    <s v="REPOSICION POSTA DE SALUD RURAL DE PIO PIO, COMUNA DE QUEILEN"/>
    <m/>
    <m/>
    <m/>
    <s v="979 27,04,20"/>
    <n v="23622000"/>
    <m/>
    <m/>
    <n v="487098000"/>
    <n v="140554528"/>
    <m/>
    <n v="310545507"/>
    <n v="310545507"/>
    <n v="0"/>
    <n v="0"/>
    <n v="0"/>
    <n v="0"/>
    <n v="0"/>
    <n v="0"/>
    <n v="0"/>
    <n v="22612490"/>
    <n v="41650296"/>
    <n v="0"/>
    <n v="48715866"/>
    <n v="48756690"/>
    <n v="148810165"/>
    <m/>
    <n v="35997965"/>
    <s v="RS"/>
  </r>
  <r>
    <n v="33"/>
    <s v="A"/>
    <s v="MULTISECTORIAL"/>
    <s v="URBANO"/>
    <s v="SOCIAL"/>
    <x v="3"/>
    <s v="QUEILEN"/>
    <n v="25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QUEILEN"/>
    <n v="25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1137653"/>
    <n v="188862347"/>
    <n v="0"/>
    <n v="0"/>
    <n v="0"/>
    <n v="0"/>
    <n v="0"/>
    <n v="0"/>
    <n v="0"/>
    <n v="0"/>
    <n v="11137653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362187239"/>
    <n v="1498326510"/>
    <m/>
    <n v="827862764"/>
    <n v="472916222"/>
    <n v="354946542"/>
    <n v="0"/>
    <n v="0"/>
    <n v="0"/>
    <n v="0"/>
    <n v="0"/>
    <n v="0"/>
    <n v="99084542"/>
    <n v="41650296"/>
    <n v="26588006"/>
    <n v="48715866"/>
    <n v="78002145"/>
    <n v="178875367"/>
    <m/>
    <n v="3599796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DEPORTE"/>
    <s v="URBANO"/>
    <s v="SOCIAL"/>
    <x v="3"/>
    <s v="QUEILEN"/>
    <n v="25"/>
    <s v="LIBRE"/>
    <s v="EJECUCION"/>
    <n v="40002386"/>
    <m/>
    <m/>
    <s v="40002386EJECUCION"/>
    <m/>
    <s v="MEJORAMIENTO INTEGRAL ESTADIO MUNICIPAL DE QUEILEN"/>
    <m/>
    <m/>
    <m/>
    <m/>
    <m/>
    <m/>
    <m/>
    <n v="1159931000"/>
    <n v="0"/>
    <m/>
    <n v="118306731"/>
    <n v="0"/>
    <n v="118306731"/>
    <n v="0"/>
    <n v="0"/>
    <n v="0"/>
    <n v="0"/>
    <n v="0"/>
    <n v="0"/>
    <n v="0"/>
    <n v="0"/>
    <n v="0"/>
    <n v="0"/>
    <n v="0"/>
    <n v="0"/>
    <m/>
    <n v="1041624269"/>
    <s v="RS"/>
  </r>
  <r>
    <n v="31"/>
    <s v="N"/>
    <s v="ENERGIA"/>
    <s v="RURAL"/>
    <s v="ENERGIA"/>
    <x v="3"/>
    <s v="QUEILEN"/>
    <n v="25"/>
    <s v="LIBRE"/>
    <s v="EJECUCION"/>
    <n v="40015946"/>
    <s v="AC. COMPL."/>
    <m/>
    <s v="40015946EJECUCION"/>
    <m/>
    <s v="HABILITACION SUMINISTRO ELECTRICO SECTOR APECHE"/>
    <s v="* CERT. CORE 33 07.02.20 - APRUEBA / CERT. CORE 177 06.2020 - APRUEBA"/>
    <m/>
    <m/>
    <m/>
    <m/>
    <m/>
    <m/>
    <n v="238672000"/>
    <n v="0"/>
    <m/>
    <n v="238672000"/>
    <n v="0"/>
    <n v="23867200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398603000"/>
    <n v="0"/>
    <m/>
    <n v="356978731"/>
    <n v="0"/>
    <n v="356978731"/>
    <n v="0"/>
    <n v="0"/>
    <n v="0"/>
    <n v="0"/>
    <n v="0"/>
    <n v="0"/>
    <n v="0"/>
    <n v="0"/>
    <n v="0"/>
    <n v="0"/>
    <n v="0"/>
    <n v="0"/>
    <m/>
    <n v="1041624269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ILEN"/>
    <m/>
    <m/>
    <m/>
    <m/>
    <m/>
    <m/>
    <m/>
    <n v="3760790239"/>
    <n v="1498326510"/>
    <m/>
    <n v="1184841495"/>
    <n v="472916222"/>
    <n v="711925273"/>
    <n v="0"/>
    <n v="0"/>
    <n v="0"/>
    <n v="0"/>
    <n v="0"/>
    <n v="0"/>
    <n v="99084542"/>
    <n v="41650296"/>
    <n v="26588006"/>
    <n v="48715866"/>
    <n v="78002145"/>
    <n v="178875367"/>
    <m/>
    <n v="107762223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LLO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URBANO"/>
    <s v="SOCIAL"/>
    <x v="3"/>
    <s v="QUELLON"/>
    <n v="26"/>
    <s v="LIBRE"/>
    <s v="DISEÑO"/>
    <n v="30069919"/>
    <m/>
    <s v="FRANCISCA MONTECINO  OPAZO"/>
    <s v="30069919DISEÑO"/>
    <m/>
    <s v="* CONSTRUCCION GIMNASIO ESCUELA ORIENTE DE QUELLON"/>
    <s v="*   / * CERT. CORE 18 01.20 - INCORPORAR/ACTUALIZA INCIATIVA FNDR 2020"/>
    <m/>
    <m/>
    <m/>
    <m/>
    <m/>
    <m/>
    <n v="34373680"/>
    <n v="27498944"/>
    <m/>
    <n v="6874736"/>
    <n v="6874736"/>
    <n v="0"/>
    <n v="0"/>
    <n v="0"/>
    <n v="0"/>
    <n v="0"/>
    <n v="0"/>
    <n v="0"/>
    <n v="0"/>
    <n v="0"/>
    <n v="6874736"/>
    <n v="0"/>
    <n v="0"/>
    <n v="0"/>
    <m/>
    <n v="0"/>
    <s v="RS"/>
  </r>
  <r>
    <n v="31"/>
    <s v="A"/>
    <s v="EDUCACIÓN Y CULTURA"/>
    <s v="URBANO"/>
    <s v="SOCIAL"/>
    <x v="3"/>
    <s v="QUELLON"/>
    <n v="26"/>
    <s v="FIE"/>
    <s v="EJECUCION"/>
    <n v="30472589"/>
    <m/>
    <s v="HARRY FRANKLIN  MONSALVE FUENTES"/>
    <s v="30472589EJECUCION"/>
    <m/>
    <s v="REPOSICION ESCUELA RURAL DE COINCO"/>
    <m/>
    <m/>
    <m/>
    <m/>
    <m/>
    <m/>
    <m/>
    <n v="2531139000"/>
    <n v="427545288"/>
    <m/>
    <n v="1129372835.3333359"/>
    <n v="1129372835"/>
    <n v="0.33333587646484375"/>
    <n v="0"/>
    <n v="0"/>
    <n v="0"/>
    <n v="0"/>
    <n v="0"/>
    <n v="6665180"/>
    <n v="500691339"/>
    <n v="3332590"/>
    <n v="3332590"/>
    <n v="469859360"/>
    <n v="0"/>
    <n v="145491776"/>
    <m/>
    <n v="974220876.66666412"/>
    <s v="RS"/>
  </r>
  <r>
    <n v="31"/>
    <s v="A"/>
    <s v="EDUCACIÓN Y CULTURA"/>
    <s v="URBANO"/>
    <s v="SOCIAL"/>
    <x v="3"/>
    <s v="QUELLON"/>
    <n v="26"/>
    <s v="LIBRE"/>
    <s v="EJECUCION"/>
    <n v="30135630"/>
    <m/>
    <s v="HARRY FRANKLIN  MONSALVE FUENTES"/>
    <s v="30135630EJECUCION"/>
    <m/>
    <s v="REPOSICION ESCUELA RURAL DE COMPU, COMUNA DE QUELLON"/>
    <m/>
    <m/>
    <m/>
    <m/>
    <m/>
    <m/>
    <m/>
    <n v="1452474000"/>
    <n v="551464"/>
    <m/>
    <n v="548507814"/>
    <n v="0"/>
    <n v="548507814"/>
    <n v="0"/>
    <n v="0"/>
    <n v="0"/>
    <n v="0"/>
    <n v="0"/>
    <n v="0"/>
    <n v="0"/>
    <n v="0"/>
    <n v="0"/>
    <n v="0"/>
    <n v="0"/>
    <n v="0"/>
    <m/>
    <n v="903414722"/>
    <s v="RS"/>
  </r>
  <r>
    <n v="24"/>
    <s v="N"/>
    <s v="ENERGIA"/>
    <s v="RURAL"/>
    <s v="ENERGIA"/>
    <x v="3"/>
    <s v="QUELLON"/>
    <n v="26"/>
    <s v="ENERGIZACION"/>
    <s v="EJECUCION"/>
    <n v="30480365"/>
    <m/>
    <m/>
    <s v="30480365EJECUCION"/>
    <m/>
    <s v="SUBSIDIO OPERACIÓN SIST. AUTOGENERACION ISLA DE LAITEC"/>
    <m/>
    <m/>
    <m/>
    <m/>
    <m/>
    <m/>
    <m/>
    <n v="47929519"/>
    <n v="0"/>
    <m/>
    <n v="47929519"/>
    <n v="47929519"/>
    <n v="0"/>
    <m/>
    <m/>
    <m/>
    <m/>
    <m/>
    <n v="0"/>
    <n v="0"/>
    <n v="0"/>
    <n v="47929519"/>
    <m/>
    <m/>
    <m/>
    <m/>
    <n v="0"/>
    <s v="RS***"/>
  </r>
  <r>
    <n v="24"/>
    <s v="N"/>
    <s v="ENERGIA"/>
    <s v="RURAL"/>
    <s v="ENERGIA"/>
    <x v="3"/>
    <s v="QUELLON"/>
    <n v="26"/>
    <s v="ENERGIZACION"/>
    <s v="EJECUCION"/>
    <n v="30483910"/>
    <m/>
    <m/>
    <s v="30483910EJECUCION"/>
    <m/>
    <s v="SUBSIDIO OPERACIÓN SIST. AUTOGENERACION ISLA CAILIN"/>
    <m/>
    <m/>
    <m/>
    <m/>
    <m/>
    <m/>
    <m/>
    <n v="42444276"/>
    <n v="0"/>
    <m/>
    <n v="42444276"/>
    <n v="42444276"/>
    <n v="0"/>
    <m/>
    <m/>
    <m/>
    <m/>
    <m/>
    <n v="0"/>
    <n v="0"/>
    <n v="0"/>
    <n v="42444276"/>
    <m/>
    <m/>
    <m/>
    <m/>
    <n v="0"/>
    <s v="RS***"/>
  </r>
  <r>
    <n v="24"/>
    <s v="N"/>
    <s v="ENERGIA"/>
    <s v="RURAL"/>
    <s v="ENERGIA"/>
    <x v="3"/>
    <s v="QUELLON"/>
    <n v="26"/>
    <s v="ENERGIZACION"/>
    <s v="EJECUCION"/>
    <n v="30483911"/>
    <m/>
    <m/>
    <s v="30483911EJECUCION"/>
    <m/>
    <s v="SUBSIDIO OPERACIÓN SIST. AUTOGENERACION COLDITA QUELLON"/>
    <m/>
    <m/>
    <m/>
    <m/>
    <m/>
    <m/>
    <m/>
    <n v="40768995"/>
    <n v="0"/>
    <m/>
    <n v="40768995"/>
    <n v="40768995"/>
    <n v="0"/>
    <m/>
    <m/>
    <m/>
    <m/>
    <m/>
    <n v="0"/>
    <n v="0"/>
    <n v="0"/>
    <n v="40768995"/>
    <m/>
    <m/>
    <m/>
    <m/>
    <n v="0"/>
    <s v="RS***"/>
  </r>
  <r>
    <n v="31"/>
    <s v="A"/>
    <s v="DEPORTE"/>
    <s v="URBANO"/>
    <s v="SOCIAL"/>
    <x v="3"/>
    <s v="QUELLON"/>
    <n v="26"/>
    <s v="LIBRE"/>
    <s v="EJECUCION"/>
    <n v="30125850"/>
    <m/>
    <e v="#N/A"/>
    <s v="30125850EJECUCION"/>
    <s v="2928-30-B219"/>
    <s v="CONSTRUCCION MULTICANCHA CERRADA FRANCISCO COLOANE COMUNA DE QUELLON"/>
    <m/>
    <m/>
    <m/>
    <m/>
    <m/>
    <m/>
    <m/>
    <n v="302702000"/>
    <n v="0"/>
    <m/>
    <n v="174301700"/>
    <n v="137454633"/>
    <n v="36847067"/>
    <n v="0"/>
    <n v="0"/>
    <n v="0"/>
    <n v="0"/>
    <n v="0"/>
    <n v="34180296"/>
    <n v="26546037"/>
    <n v="26669016"/>
    <n v="50059284"/>
    <n v="0"/>
    <n v="0"/>
    <n v="0"/>
    <m/>
    <n v="128400300"/>
    <s v="RS"/>
  </r>
  <r>
    <n v="33"/>
    <s v="A"/>
    <s v="MULTISECTORIAL"/>
    <s v="URBANO"/>
    <s v="SOCIAL"/>
    <x v="3"/>
    <s v="QUELLON"/>
    <n v="26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QUELLON"/>
    <n v="26"/>
    <s v="FRIL"/>
    <s v="EJECUCION"/>
    <s v="FRIL"/>
    <m/>
    <m/>
    <s v="FRILEJECUCION"/>
    <m/>
    <s v="FONDO REGIONAL DE INICIATIVAS LOCAL - ANEXO PAGINA 9"/>
    <m/>
    <m/>
    <m/>
    <m/>
    <m/>
    <m/>
    <m/>
    <n v="200000000"/>
    <n v="0"/>
    <m/>
    <n v="200000000"/>
    <n v="150370754"/>
    <n v="49629246"/>
    <n v="0"/>
    <n v="0"/>
    <n v="0"/>
    <n v="0"/>
    <n v="0"/>
    <n v="15485307"/>
    <n v="22304633"/>
    <n v="26684765"/>
    <n v="41194280"/>
    <n v="44701769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4751831470"/>
    <n v="455595696"/>
    <m/>
    <n v="2290199875.3333359"/>
    <n v="1555215748"/>
    <n v="734984127.33333588"/>
    <n v="0"/>
    <n v="0"/>
    <n v="0"/>
    <n v="0"/>
    <n v="0"/>
    <n v="56330783"/>
    <n v="549542009"/>
    <n v="56686371"/>
    <n v="232603680"/>
    <n v="514561129"/>
    <n v="0"/>
    <n v="145491776"/>
    <m/>
    <n v="1877635598.666664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AGUA POTABLE Y ALCANTARILLADO"/>
    <s v="RURAL"/>
    <s v="AGUA POTABLE"/>
    <x v="3"/>
    <s v="QUELLON"/>
    <n v="26"/>
    <s v="FAR"/>
    <s v="DISEÑO"/>
    <n v="30488426"/>
    <m/>
    <m/>
    <s v="30488426DISEÑO"/>
    <s v="2928-12-LE20"/>
    <s v="CONSTRUCCION SISTEMA APR ISLA LAITEC, QUELLON"/>
    <m/>
    <m/>
    <m/>
    <s v="1021 04,05,20"/>
    <n v="28825000"/>
    <m/>
    <m/>
    <n v="28825000"/>
    <n v="0"/>
    <m/>
    <n v="21618750"/>
    <n v="0"/>
    <n v="21618750"/>
    <n v="0"/>
    <n v="0"/>
    <n v="0"/>
    <n v="0"/>
    <n v="0"/>
    <n v="0"/>
    <n v="0"/>
    <n v="0"/>
    <n v="0"/>
    <n v="0"/>
    <n v="0"/>
    <n v="0"/>
    <m/>
    <n v="7206250"/>
    <s v="RS"/>
  </r>
  <r>
    <n v="31"/>
    <s v="N"/>
    <s v="AGUA POTABLE Y ALCANTARILLADO"/>
    <s v="URBANO"/>
    <s v="AGUA POTABLE"/>
    <x v="3"/>
    <s v="QUELLON"/>
    <n v="26"/>
    <s v="LIBRE"/>
    <s v="EJECUCION"/>
    <n v="40009684"/>
    <m/>
    <m/>
    <s v="40009684EJECUCION"/>
    <m/>
    <s v="* AMPLIACION DE RED PUBLICA SIST. DE AGUA POTABLE Y ALCA. SECTOR ALCAZAR"/>
    <s v="CERT. CORE 161 ACTUALIZA COSTO"/>
    <m/>
    <m/>
    <m/>
    <m/>
    <m/>
    <m/>
    <n v="508302000"/>
    <n v="0"/>
    <m/>
    <n v="18559100"/>
    <n v="0"/>
    <n v="18559100"/>
    <n v="0"/>
    <n v="0"/>
    <n v="0"/>
    <n v="0"/>
    <n v="0"/>
    <n v="0"/>
    <n v="0"/>
    <n v="0"/>
    <n v="0"/>
    <n v="0"/>
    <n v="0"/>
    <n v="0"/>
    <m/>
    <n v="489742900"/>
    <s v="RS"/>
  </r>
  <r>
    <n v="31"/>
    <s v="N"/>
    <s v="AGUA POTABLE Y ALCANTARILLADO"/>
    <s v="RURAL"/>
    <s v="AGUA POTABLE"/>
    <x v="3"/>
    <s v="QUELLON"/>
    <n v="26"/>
    <s v="LIBRE"/>
    <s v="DISEÑO"/>
    <n v="40000178"/>
    <m/>
    <m/>
    <s v="40000178DISEÑO"/>
    <m/>
    <s v="CONSTRUCCION SISTEMA APR SECTORES CHAILDAD-CHANCO-YATEHUE, QUELLON"/>
    <m/>
    <m/>
    <m/>
    <m/>
    <m/>
    <m/>
    <m/>
    <n v="46350000"/>
    <n v="0"/>
    <m/>
    <n v="2317500"/>
    <n v="0"/>
    <n v="2317500"/>
    <n v="0"/>
    <n v="0"/>
    <n v="0"/>
    <n v="0"/>
    <n v="0"/>
    <n v="0"/>
    <n v="0"/>
    <n v="0"/>
    <n v="0"/>
    <n v="0"/>
    <n v="0"/>
    <n v="0"/>
    <m/>
    <n v="44032500"/>
    <s v="RS"/>
  </r>
  <r>
    <n v="29"/>
    <s v="N"/>
    <s v="MULTISECTORIAL"/>
    <s v="URBANO"/>
    <s v="SOCIAL"/>
    <x v="3"/>
    <s v="QUELLON"/>
    <n v="26"/>
    <s v="LIBRE"/>
    <s v="EJECUCION"/>
    <n v="40018680"/>
    <m/>
    <m/>
    <s v="40018680EJECUCION"/>
    <m/>
    <s v="ADQUISICION CAMIONES RECOLECTORES Y CONTENEDORES RSD, QUELLON (C33)"/>
    <m/>
    <m/>
    <m/>
    <m/>
    <m/>
    <m/>
    <m/>
    <n v="583695000"/>
    <n v="0"/>
    <m/>
    <n v="194565000"/>
    <n v="0"/>
    <n v="194565000"/>
    <n v="0"/>
    <n v="0"/>
    <n v="0"/>
    <n v="0"/>
    <n v="0"/>
    <n v="0"/>
    <n v="0"/>
    <n v="0"/>
    <n v="0"/>
    <n v="0"/>
    <n v="0"/>
    <n v="0"/>
    <m/>
    <n v="38913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167172000"/>
    <n v="0"/>
    <m/>
    <n v="237060350"/>
    <n v="0"/>
    <n v="237060350"/>
    <n v="0"/>
    <n v="0"/>
    <n v="0"/>
    <n v="0"/>
    <n v="0"/>
    <n v="0"/>
    <n v="0"/>
    <n v="0"/>
    <n v="0"/>
    <n v="0"/>
    <n v="0"/>
    <n v="0"/>
    <m/>
    <n v="93011165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LLON"/>
    <m/>
    <m/>
    <m/>
    <m/>
    <m/>
    <m/>
    <m/>
    <n v="5919003470"/>
    <n v="455595696"/>
    <m/>
    <n v="2527260225.3333359"/>
    <n v="1555215748"/>
    <n v="972044477.33333588"/>
    <n v="0"/>
    <n v="0"/>
    <n v="0"/>
    <n v="0"/>
    <n v="0"/>
    <n v="56330783"/>
    <n v="549542009"/>
    <n v="56686371"/>
    <n v="232603680"/>
    <n v="514561129"/>
    <n v="0"/>
    <n v="145491776"/>
    <m/>
    <n v="2936147548.666664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EMCHI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QUEMCHI"/>
    <n v="27"/>
    <s v="LIBRE"/>
    <s v="EJECUCION"/>
    <n v="30133125"/>
    <m/>
    <e v="#N/A"/>
    <s v="30133125EJECUCION"/>
    <m/>
    <s v="CONSTRUCCION ESTADIO MUNICIPAL DE QUEMCHI"/>
    <m/>
    <m/>
    <m/>
    <m/>
    <m/>
    <m/>
    <m/>
    <n v="1224005772"/>
    <n v="1224005772"/>
    <n v="0"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EDUCACIÓN Y CULTURA"/>
    <s v="RURAL"/>
    <s v="SOCIAL"/>
    <x v="3"/>
    <s v="QUEMCHI"/>
    <n v="27"/>
    <s v="LIBRE"/>
    <s v="EJECUCION"/>
    <n v="30185572"/>
    <m/>
    <s v="HARRY FRANKLIN  MONSALVE FUENTES"/>
    <s v="30185572EJECUCION"/>
    <m/>
    <s v="REPOSICION ESCUELA BASICA LLIUCO "/>
    <s v="* CERT. CORE 360 24.10.19 AUMENTO PPTO"/>
    <m/>
    <m/>
    <m/>
    <m/>
    <m/>
    <m/>
    <n v="2532578673"/>
    <n v="2282423545"/>
    <m/>
    <n v="261408288"/>
    <n v="261408288"/>
    <n v="0"/>
    <n v="0"/>
    <n v="0"/>
    <n v="0"/>
    <n v="0"/>
    <n v="0"/>
    <n v="59132160"/>
    <n v="9367984"/>
    <n v="0"/>
    <n v="0"/>
    <n v="19251318"/>
    <n v="1750000"/>
    <n v="171906826"/>
    <m/>
    <n v="-11253160"/>
    <s v="RS"/>
  </r>
  <r>
    <n v="31"/>
    <s v="A"/>
    <s v="SALUD"/>
    <s v="RURAL"/>
    <s v="SOCIAL"/>
    <x v="3"/>
    <s v="QUEMCHI"/>
    <n v="27"/>
    <s v="LIBRE"/>
    <s v="EJECUCION"/>
    <n v="30071585"/>
    <s v="SALUD"/>
    <s v="HARRY FRANKLIN  MONSALVE FUENTES"/>
    <s v="30071585EJECUCION"/>
    <m/>
    <s v="REPOSICION POSTA DE SALUD ISLA TAC"/>
    <m/>
    <m/>
    <m/>
    <m/>
    <m/>
    <m/>
    <m/>
    <n v="511435000"/>
    <n v="462800000"/>
    <m/>
    <n v="48635000"/>
    <n v="7200000"/>
    <n v="41435000"/>
    <n v="0"/>
    <n v="0"/>
    <n v="0"/>
    <n v="0"/>
    <n v="0"/>
    <n v="0"/>
    <n v="0"/>
    <n v="0"/>
    <n v="1800000"/>
    <n v="1800000"/>
    <n v="1800000"/>
    <n v="1800000"/>
    <m/>
    <n v="0"/>
    <s v="RS"/>
  </r>
  <r>
    <n v="24"/>
    <s v="N"/>
    <s v="ENERGIA"/>
    <s v="RURAL"/>
    <s v="ENERGIA"/>
    <x v="3"/>
    <s v="QUEMCHI"/>
    <n v="27"/>
    <s v="ENERGIZACION"/>
    <s v="EJECUCION"/>
    <n v="30483006"/>
    <m/>
    <m/>
    <s v="30483006EJECUCION"/>
    <m/>
    <s v="SUBSIDIO OPERACIÓN SIST. AUTOGENERACION ISLA TAC"/>
    <m/>
    <m/>
    <m/>
    <m/>
    <m/>
    <m/>
    <m/>
    <n v="30902754"/>
    <n v="0"/>
    <m/>
    <n v="30902754"/>
    <n v="30902754"/>
    <n v="0"/>
    <m/>
    <m/>
    <m/>
    <m/>
    <m/>
    <n v="0"/>
    <n v="0"/>
    <n v="0"/>
    <n v="30902754"/>
    <m/>
    <m/>
    <m/>
    <m/>
    <n v="0"/>
    <s v="RS***"/>
  </r>
  <r>
    <n v="33"/>
    <s v="A"/>
    <s v="MULTISECTORIAL"/>
    <s v="URBANO"/>
    <s v="SOCIAL"/>
    <x v="3"/>
    <s v="QUEMCHI"/>
    <n v="27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3"/>
    <s v="QUEMCHI"/>
    <n v="27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73907590"/>
    <n v="26092410"/>
    <n v="0"/>
    <n v="0"/>
    <n v="0"/>
    <n v="0"/>
    <n v="0"/>
    <n v="0"/>
    <n v="42994468"/>
    <n v="0"/>
    <n v="37282583"/>
    <n v="0"/>
    <n v="93630539"/>
    <n v="0"/>
    <m/>
    <n v="0"/>
    <s v="RS**"/>
  </r>
  <r>
    <n v="31"/>
    <s v="A"/>
    <s v="TRANSPORTE Y VIVIENDA"/>
    <s v="RURAL"/>
    <s v="CONECTIVIDAD"/>
    <x v="3"/>
    <s v="QUEMCHI"/>
    <n v="27"/>
    <s v="LIBRE"/>
    <s v="LIBRE"/>
    <n v="30430173"/>
    <m/>
    <s v="FRANCISCA MONTECINO  OPAZO"/>
    <s v="30430173LIBRE"/>
    <m/>
    <s v="CONSERVACION CAMINOS ISLA BUTACHAUQUES (C33)"/>
    <m/>
    <m/>
    <m/>
    <m/>
    <m/>
    <m/>
    <m/>
    <n v="547411000"/>
    <n v="253005532"/>
    <m/>
    <n v="125777486"/>
    <n v="0"/>
    <n v="125777486"/>
    <n v="0"/>
    <n v="0"/>
    <n v="0"/>
    <n v="0"/>
    <n v="0"/>
    <n v="0"/>
    <n v="0"/>
    <n v="0"/>
    <n v="0"/>
    <n v="0"/>
    <n v="0"/>
    <n v="0"/>
    <m/>
    <n v="168627982"/>
    <s v="RS*"/>
  </r>
  <r>
    <n v="31"/>
    <s v="A"/>
    <s v="TRANSPORTE Y VIVIENDA"/>
    <s v="RURAL"/>
    <s v="CONECTIVIDAD"/>
    <x v="3"/>
    <s v="QUEMCHI"/>
    <n v="27"/>
    <s v="FAR"/>
    <s v="EJECUCION"/>
    <n v="30396026"/>
    <m/>
    <s v="FRANCISCA MONTECINO  OPAZO"/>
    <s v="30396026EJECUCION"/>
    <m/>
    <s v="CONSERVACION CAMINOS RURALES SECTOR SUR (C33)"/>
    <m/>
    <m/>
    <m/>
    <m/>
    <m/>
    <m/>
    <m/>
    <n v="477979805"/>
    <n v="358482829"/>
    <m/>
    <n v="20000000"/>
    <n v="0"/>
    <n v="20000000"/>
    <n v="0"/>
    <n v="0"/>
    <n v="0"/>
    <n v="0"/>
    <n v="0"/>
    <n v="0"/>
    <n v="0"/>
    <n v="0"/>
    <n v="0"/>
    <n v="0"/>
    <n v="0"/>
    <n v="0"/>
    <m/>
    <n v="99496976"/>
    <s v="RS*"/>
  </r>
  <r>
    <n v="31"/>
    <s v="N"/>
    <s v="ENERGIA"/>
    <s v="RURAL"/>
    <s v="SOCIAL"/>
    <x v="3"/>
    <s v="QUEMCHI"/>
    <n v="27"/>
    <s v="ENERGIZACION"/>
    <s v="EJECUCION"/>
    <n v="40005534"/>
    <m/>
    <m/>
    <s v="40005534EJECUCION"/>
    <m/>
    <s v="HABILITACION SUMINISTRO ENERGIA ELECTRICA SECTOR RIO NEGRO"/>
    <m/>
    <m/>
    <m/>
    <m/>
    <m/>
    <m/>
    <m/>
    <n v="121504000"/>
    <n v="121504000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n v="31"/>
    <s v="A"/>
    <s v="TRANSPORTE Y VIVIENDA"/>
    <s v="RURAL"/>
    <s v="CONECTIVIDAD"/>
    <x v="3"/>
    <s v="QUEMCHI"/>
    <n v="27"/>
    <s v="PIR"/>
    <s v="EJECUCION"/>
    <n v="40005537"/>
    <m/>
    <s v="HARRY FRANKLIN  MONSALVE FUENTES"/>
    <s v="40005537EJECUCION"/>
    <s v="4195-125-LR19"/>
    <s v="CONSERVACION CAMINOS ISLA MECHUQUE (C33)"/>
    <m/>
    <m/>
    <m/>
    <m/>
    <m/>
    <m/>
    <m/>
    <n v="499000000"/>
    <n v="0"/>
    <m/>
    <n v="412719428"/>
    <n v="392779775"/>
    <n v="19939653"/>
    <n v="0"/>
    <n v="0"/>
    <n v="0"/>
    <n v="0"/>
    <n v="0"/>
    <n v="77078235"/>
    <n v="65891194"/>
    <n v="249810346"/>
    <n v="0"/>
    <n v="0"/>
    <n v="0"/>
    <n v="0"/>
    <m/>
    <n v="86280572"/>
    <s v="RS*"/>
  </r>
  <r>
    <n v="29"/>
    <s v="N"/>
    <s v="TRANSPORTE Y VIVIENDA"/>
    <s v="RURAL"/>
    <s v="CONECTIVIDAD"/>
    <x v="3"/>
    <s v="QUEMCHI"/>
    <n v="27"/>
    <s v="FAR"/>
    <s v="EJECUCION"/>
    <n v="30137798"/>
    <m/>
    <m/>
    <s v="30137798EJECUCION"/>
    <m/>
    <s v="REPOSICION MOTONIVELADORA Y CAMA BAJA (C33)"/>
    <m/>
    <m/>
    <m/>
    <m/>
    <m/>
    <m/>
    <m/>
    <n v="212834000"/>
    <n v="212834000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n v="29"/>
    <s v="N"/>
    <s v="MULTISECTORIAL"/>
    <s v="RURAL"/>
    <s v="SOCIAL"/>
    <x v="3"/>
    <s v="QUEMCHI"/>
    <n v="27"/>
    <s v="LIBRE"/>
    <s v="EJECUCION"/>
    <n v="40005526"/>
    <m/>
    <m/>
    <s v="40005526EJECUCION"/>
    <m/>
    <s v="REPOSICION CAMIONETAS MUNICIPALIDAD DE QUEMCHI (C33)"/>
    <m/>
    <m/>
    <m/>
    <m/>
    <m/>
    <m/>
    <m/>
    <n v="81559996"/>
    <n v="8155999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n v="29"/>
    <s v="N"/>
    <s v="MULTISECTORIAL"/>
    <s v="RURAL"/>
    <s v="SOCIAL"/>
    <x v="3"/>
    <s v="QUEMCHI"/>
    <n v="27"/>
    <s v="LIBRE"/>
    <s v="EJECUCION"/>
    <n v="40005532"/>
    <m/>
    <m/>
    <s v="40005532EJECUCION"/>
    <m/>
    <s v="ADQUISICION DE BUS PARA MUNICIPALIDAD DE QUEMCHI (C33)"/>
    <m/>
    <m/>
    <m/>
    <m/>
    <m/>
    <m/>
    <m/>
    <n v="164800006"/>
    <n v="164800006"/>
    <m/>
    <n v="0"/>
    <n v="0"/>
    <n v="0"/>
    <n v="0"/>
    <n v="0"/>
    <n v="0"/>
    <n v="0"/>
    <n v="0"/>
    <n v="0"/>
    <n v="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6704011006"/>
    <n v="5161415680"/>
    <m/>
    <n v="1199442956"/>
    <n v="866198407"/>
    <n v="333244549"/>
    <n v="0"/>
    <n v="0"/>
    <n v="0"/>
    <n v="0"/>
    <n v="0"/>
    <n v="136210395"/>
    <n v="118253646"/>
    <n v="249810346"/>
    <n v="69985337"/>
    <n v="21051318"/>
    <n v="97180539"/>
    <n v="173706826"/>
    <m/>
    <n v="34315237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N"/>
    <s v="SALUD"/>
    <s v="RURAL"/>
    <s v="SOCIAL"/>
    <x v="3"/>
    <s v="QUEMCHI"/>
    <n v="27"/>
    <s v="LIBRE"/>
    <s v="EJECUCION"/>
    <n v="30071598"/>
    <s v="SALUD"/>
    <m/>
    <s v="30071598EJECUCION"/>
    <m/>
    <s v="REPOSICION POSTA DE SALUD RURAL VOIGUE"/>
    <m/>
    <m/>
    <m/>
    <m/>
    <m/>
    <m/>
    <m/>
    <n v="500494000"/>
    <n v="0"/>
    <m/>
    <n v="25024700"/>
    <n v="0"/>
    <n v="25024700"/>
    <n v="0"/>
    <n v="0"/>
    <n v="0"/>
    <n v="0"/>
    <n v="0"/>
    <n v="0"/>
    <n v="0"/>
    <n v="0"/>
    <n v="0"/>
    <n v="0"/>
    <n v="0"/>
    <n v="0"/>
    <m/>
    <n v="475469300"/>
    <s v="RS"/>
  </r>
  <r>
    <n v="29"/>
    <s v="N"/>
    <s v="MULTISECTORIAL"/>
    <s v="URBANO"/>
    <s v="SOCIAL"/>
    <x v="3"/>
    <s v="QUEMCHI"/>
    <n v="27"/>
    <s v="LIBRE"/>
    <s v="EJECUCION"/>
    <n v="40014311"/>
    <m/>
    <m/>
    <s v="40014311EJECUCION"/>
    <m/>
    <s v="REPOSICION DOS CAMIONES RECOLECTORES DE BASURA Y ADQUISICION DE UN CAMION RECOLECTOR PARA SECTORES INSULARES (C33)"/>
    <s v="* ORD. 363 10.02.2020 (C33) - RS"/>
    <m/>
    <m/>
    <m/>
    <m/>
    <m/>
    <m/>
    <n v="291193000"/>
    <n v="0"/>
    <m/>
    <n v="16000000"/>
    <n v="0"/>
    <n v="16000000"/>
    <n v="0"/>
    <n v="0"/>
    <n v="0"/>
    <n v="0"/>
    <n v="0"/>
    <n v="0"/>
    <n v="0"/>
    <n v="0"/>
    <n v="0"/>
    <n v="0"/>
    <n v="0"/>
    <n v="0"/>
    <m/>
    <n v="275193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791687000"/>
    <n v="0"/>
    <m/>
    <n v="41024700"/>
    <n v="0"/>
    <n v="41024700"/>
    <n v="0"/>
    <n v="0"/>
    <n v="0"/>
    <n v="0"/>
    <n v="0"/>
    <n v="0"/>
    <n v="0"/>
    <n v="0"/>
    <n v="0"/>
    <n v="0"/>
    <n v="0"/>
    <n v="0"/>
    <m/>
    <n v="7506623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EMCHI"/>
    <m/>
    <m/>
    <m/>
    <m/>
    <m/>
    <m/>
    <m/>
    <n v="7495698006"/>
    <n v="5161415680"/>
    <m/>
    <n v="1240467656"/>
    <n v="866198407"/>
    <n v="374269249"/>
    <n v="0"/>
    <n v="0"/>
    <n v="0"/>
    <n v="0"/>
    <n v="0"/>
    <n v="136210395"/>
    <n v="118253646"/>
    <n v="249810346"/>
    <n v="69985337"/>
    <n v="21051318"/>
    <n v="97180539"/>
    <n v="173706826"/>
    <m/>
    <n v="109381467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QUINCHA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MULTISECTORIAL"/>
    <s v="URBANO"/>
    <s v="SOCIAL"/>
    <x v="3"/>
    <s v="QUINCHAO"/>
    <n v="28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24"/>
    <s v="N"/>
    <s v="ENERGIA"/>
    <s v="RURAL"/>
    <s v="ENERGIA"/>
    <x v="3"/>
    <s v="QUINCHAO"/>
    <n v="28"/>
    <s v="ENERGIZACION"/>
    <s v="EJECUCION"/>
    <n v="30478657"/>
    <m/>
    <m/>
    <s v="30478657EJECUCION"/>
    <m/>
    <s v="SUBSIDIO OPERACIÓN SIST. AUTOGENERACION ISLA CAGUACH"/>
    <m/>
    <m/>
    <m/>
    <m/>
    <m/>
    <m/>
    <m/>
    <n v="46663393"/>
    <n v="0"/>
    <m/>
    <n v="46663393"/>
    <n v="46663393"/>
    <n v="0"/>
    <m/>
    <m/>
    <m/>
    <m/>
    <m/>
    <n v="0"/>
    <n v="0"/>
    <n v="0"/>
    <n v="46663393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6"/>
    <m/>
    <m/>
    <s v="30478656EJECUCION"/>
    <m/>
    <s v="SUBSIDIO OPERACIÓN SIST. AUTOGENERACION ISLA QUENAC"/>
    <m/>
    <m/>
    <m/>
    <m/>
    <m/>
    <m/>
    <m/>
    <n v="50103316"/>
    <n v="0"/>
    <m/>
    <n v="50103316"/>
    <n v="50103316"/>
    <n v="0"/>
    <m/>
    <m/>
    <m/>
    <m/>
    <m/>
    <n v="0"/>
    <n v="0"/>
    <n v="0"/>
    <n v="5010331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3"/>
    <m/>
    <m/>
    <s v="30478653EJECUCION"/>
    <m/>
    <s v="SUBSIDIO OPERACIÓN SIST. AUTOGENERACION ISLA LLINGUA"/>
    <m/>
    <m/>
    <m/>
    <m/>
    <m/>
    <m/>
    <m/>
    <n v="36539607"/>
    <n v="0"/>
    <m/>
    <n v="36539607"/>
    <n v="36539607"/>
    <n v="0"/>
    <m/>
    <m/>
    <m/>
    <m/>
    <m/>
    <n v="0"/>
    <n v="0"/>
    <n v="0"/>
    <n v="36539607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61"/>
    <m/>
    <m/>
    <s v="30478661EJECUCION"/>
    <m/>
    <s v="SUBSIDIO OPERACIÓN SIST. AUTOGENERACION ISLA CHAULLINEC"/>
    <m/>
    <m/>
    <m/>
    <m/>
    <m/>
    <m/>
    <m/>
    <n v="61906970"/>
    <n v="0"/>
    <m/>
    <n v="61906970"/>
    <n v="61906970"/>
    <n v="0"/>
    <m/>
    <m/>
    <m/>
    <m/>
    <m/>
    <n v="0"/>
    <n v="0"/>
    <n v="0"/>
    <n v="61906970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9"/>
    <m/>
    <m/>
    <s v="30478659EJECUCION"/>
    <m/>
    <s v="SUBSIDIO OPERACIÓN SIST. AUTOGENERACION ISLA ALAO "/>
    <m/>
    <m/>
    <m/>
    <m/>
    <m/>
    <m/>
    <m/>
    <n v="24887236"/>
    <n v="0"/>
    <m/>
    <n v="24887236"/>
    <n v="24887236"/>
    <n v="0"/>
    <m/>
    <m/>
    <m/>
    <m/>
    <m/>
    <n v="0"/>
    <n v="0"/>
    <n v="0"/>
    <n v="2488723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60"/>
    <m/>
    <m/>
    <s v="30478660EJECUCION"/>
    <m/>
    <s v="SUBSIDIO OPERACIÓN SIST. AUTOGENERACION ISLA APIAO "/>
    <m/>
    <m/>
    <m/>
    <m/>
    <m/>
    <m/>
    <m/>
    <n v="38986366"/>
    <n v="0"/>
    <m/>
    <n v="38986366"/>
    <n v="38986366"/>
    <n v="0"/>
    <m/>
    <m/>
    <m/>
    <m/>
    <m/>
    <n v="0"/>
    <n v="0"/>
    <n v="0"/>
    <n v="38986366"/>
    <m/>
    <m/>
    <m/>
    <m/>
    <n v="0"/>
    <s v="RS***"/>
  </r>
  <r>
    <n v="24"/>
    <s v="N"/>
    <s v="ENERGIA"/>
    <s v="RURAL"/>
    <s v="ENERGIA"/>
    <x v="3"/>
    <s v="QUINCHAO"/>
    <n v="28"/>
    <s v="ENERGIZACION"/>
    <s v="EJECUCION"/>
    <n v="30478655"/>
    <m/>
    <m/>
    <s v="30478655EJECUCION"/>
    <m/>
    <s v="SUBSIDIO OPERACIÓN SIST. AUTOGENERACION ISLA MEULIN "/>
    <m/>
    <m/>
    <m/>
    <m/>
    <m/>
    <m/>
    <m/>
    <n v="69316181"/>
    <n v="0"/>
    <m/>
    <n v="69316181"/>
    <n v="69316181"/>
    <n v="0"/>
    <m/>
    <m/>
    <m/>
    <m/>
    <m/>
    <n v="0"/>
    <n v="0"/>
    <n v="0"/>
    <n v="69316181"/>
    <m/>
    <m/>
    <m/>
    <m/>
    <n v="0"/>
    <s v="RS***"/>
  </r>
  <r>
    <n v="31"/>
    <s v="N"/>
    <s v="SALUD"/>
    <s v="RURAL"/>
    <s v="SOCIAL"/>
    <x v="3"/>
    <s v="QUINCHAO"/>
    <n v="28"/>
    <s v="LIBRE"/>
    <s v="EJECUCION"/>
    <n v="40013068"/>
    <s v="SALUD"/>
    <s v="HARRY FRANKLIN  MONSALVE FUENTES"/>
    <s v="40013068EJECUCION"/>
    <s v="507428-29-LR20"/>
    <s v="* REPOSICION POSTA DE SALUD RURAL VILLA CHAULINEC"/>
    <s v="* CERT. CORE 423 12.19 - AUMENTA PPTO FNDR 2020 / * CERT. CORE 97 03.2020 - ACTUALIZA PPTO"/>
    <m/>
    <m/>
    <s v="976 27,04,20"/>
    <n v="586313000"/>
    <m/>
    <m/>
    <n v="617342000"/>
    <n v="0"/>
    <m/>
    <n v="121000000"/>
    <n v="730000"/>
    <n v="120270000"/>
    <n v="0"/>
    <n v="0"/>
    <n v="0"/>
    <n v="0"/>
    <n v="0"/>
    <n v="730000"/>
    <n v="0"/>
    <n v="0"/>
    <n v="0"/>
    <n v="0"/>
    <n v="0"/>
    <n v="0"/>
    <m/>
    <n v="496342000"/>
    <s v="RS"/>
  </r>
  <r>
    <n v="33"/>
    <s v="A"/>
    <s v="MULTISECTORIAL"/>
    <s v="URBANO"/>
    <s v="SOCIAL"/>
    <x v="3"/>
    <s v="QUINCHAO"/>
    <n v="28"/>
    <s v="FRIL"/>
    <s v="EJECUCION"/>
    <s v="FRIL"/>
    <m/>
    <m/>
    <s v="FRILEJECUCION"/>
    <m/>
    <s v="FONDO REGIONAL DE INICIATIVAS LOCAL - ANEXO PAGINA 10"/>
    <m/>
    <m/>
    <m/>
    <m/>
    <m/>
    <m/>
    <m/>
    <n v="200000000"/>
    <n v="0"/>
    <m/>
    <n v="200000000"/>
    <n v="13052903"/>
    <n v="186947097"/>
    <n v="0"/>
    <n v="0"/>
    <n v="0"/>
    <n v="0"/>
    <n v="0"/>
    <n v="0"/>
    <n v="0"/>
    <n v="0"/>
    <n v="13052903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245745069"/>
    <n v="0"/>
    <m/>
    <n v="749403069"/>
    <n v="342185972"/>
    <n v="407217097"/>
    <n v="0"/>
    <n v="0"/>
    <n v="0"/>
    <n v="0"/>
    <n v="0"/>
    <n v="730000"/>
    <n v="0"/>
    <n v="0"/>
    <n v="341455972"/>
    <n v="0"/>
    <n v="0"/>
    <n v="0"/>
    <m/>
    <n v="49634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URBANO"/>
    <s v="SOCIAL"/>
    <x v="3"/>
    <s v="QUINCHAO"/>
    <n v="28"/>
    <s v="LIBRE"/>
    <s v="EJECUCION"/>
    <n v="40008054"/>
    <m/>
    <e v="#N/A"/>
    <s v="40008054EJECUCION"/>
    <s v="3768-4-LQ20"/>
    <s v="CONSERVACION DE VEREDAS SECTOR CENTRO DE ACHAO (C33)"/>
    <s v="* CERT. CORE 249 22.08.19 - APRUEBA CAMBIO DE NOMBRE."/>
    <m/>
    <m/>
    <s v="3798 15,10,19"/>
    <n v="207121000"/>
    <m/>
    <m/>
    <n v="367393000"/>
    <n v="0"/>
    <m/>
    <n v="367393000"/>
    <n v="0"/>
    <n v="367393000"/>
    <n v="0"/>
    <n v="0"/>
    <n v="0"/>
    <n v="0"/>
    <n v="0"/>
    <n v="0"/>
    <n v="0"/>
    <n v="0"/>
    <n v="0"/>
    <n v="0"/>
    <n v="0"/>
    <n v="0"/>
    <m/>
    <n v="0"/>
    <s v="RS*"/>
  </r>
  <r>
    <n v="31"/>
    <s v="N"/>
    <s v="TRANSPORTE Y VIVIENDA"/>
    <s v="RURAL"/>
    <s v="SOCIAL"/>
    <x v="3"/>
    <s v="QUINCHAO"/>
    <n v="29"/>
    <s v="FAR"/>
    <s v="EJECUCION"/>
    <n v="40015676"/>
    <m/>
    <m/>
    <s v="40015676EJECUCION"/>
    <m/>
    <s v="CONSTRUCCION PUNTO DE POSADA ISLA MEULIN, QUINCHAO"/>
    <m/>
    <m/>
    <m/>
    <m/>
    <m/>
    <m/>
    <m/>
    <n v="155000000"/>
    <n v="0"/>
    <m/>
    <n v="57750000"/>
    <n v="0"/>
    <n v="57750000"/>
    <n v="0"/>
    <n v="0"/>
    <n v="0"/>
    <n v="0"/>
    <n v="0"/>
    <n v="0"/>
    <n v="0"/>
    <n v="0"/>
    <n v="0"/>
    <n v="0"/>
    <n v="0"/>
    <n v="0"/>
    <m/>
    <n v="9725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522393000"/>
    <n v="0"/>
    <m/>
    <n v="425143000"/>
    <n v="0"/>
    <n v="425143000"/>
    <n v="0"/>
    <n v="0"/>
    <n v="0"/>
    <n v="0"/>
    <n v="0"/>
    <n v="0"/>
    <n v="0"/>
    <n v="0"/>
    <n v="0"/>
    <n v="0"/>
    <n v="0"/>
    <n v="0"/>
    <m/>
    <n v="9725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QUINCHAO"/>
    <m/>
    <m/>
    <m/>
    <m/>
    <m/>
    <m/>
    <m/>
    <n v="1768138069"/>
    <n v="0"/>
    <m/>
    <n v="1174546069"/>
    <n v="342185972"/>
    <n v="832360097"/>
    <n v="0"/>
    <n v="0"/>
    <n v="0"/>
    <n v="0"/>
    <n v="0"/>
    <n v="730000"/>
    <n v="0"/>
    <n v="0"/>
    <n v="341455972"/>
    <n v="0"/>
    <n v="0"/>
    <n v="0"/>
    <m/>
    <n v="593592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DEPORTE"/>
    <s v="RURAL"/>
    <s v="SOCIAL"/>
    <x v="3"/>
    <s v="PROV. CHILOE"/>
    <n v="29"/>
    <s v="LIBRE"/>
    <s v="EJECUCION"/>
    <n v="30381175"/>
    <s v="G"/>
    <s v="FRANCISCA MONTECINO  OPAZO"/>
    <s v="30381175EJECUCION"/>
    <m/>
    <s v="CONSTRUCCION COMPLEJO DEPORTIVO CANCHA RAYADA"/>
    <m/>
    <m/>
    <m/>
    <m/>
    <m/>
    <m/>
    <m/>
    <n v="1528367000"/>
    <n v="14300000"/>
    <m/>
    <n v="671631232"/>
    <n v="410631349"/>
    <n v="260999883"/>
    <n v="0"/>
    <n v="0"/>
    <n v="0"/>
    <n v="0"/>
    <n v="0"/>
    <n v="45446317"/>
    <n v="45817668"/>
    <n v="24957958"/>
    <n v="27417645"/>
    <n v="45829560"/>
    <n v="72569248"/>
    <n v="148592953"/>
    <m/>
    <n v="842435768"/>
    <s v="RS"/>
  </r>
  <r>
    <n v="31"/>
    <s v="A"/>
    <s v="SALUD"/>
    <s v="RURAL"/>
    <s v="SOCIAL"/>
    <x v="3"/>
    <s v="PROV. CHILOE"/>
    <n v="29"/>
    <s v="LIBRE"/>
    <s v="EJECUCION"/>
    <n v="30083335"/>
    <s v="SALUD"/>
    <e v="#N/A"/>
    <s v="30083335EJECUCION"/>
    <m/>
    <s v="NORMALIZACION HOSPITAL DE QUELLON, PROVINCIA DE CHILOE"/>
    <m/>
    <m/>
    <m/>
    <m/>
    <m/>
    <m/>
    <m/>
    <n v="2016128000"/>
    <n v="82700000"/>
    <m/>
    <n v="261646057"/>
    <n v="0"/>
    <n v="261646057"/>
    <n v="0"/>
    <n v="0"/>
    <n v="0"/>
    <n v="0"/>
    <n v="0"/>
    <n v="0"/>
    <n v="0"/>
    <n v="0"/>
    <n v="0"/>
    <n v="0"/>
    <n v="0"/>
    <n v="0"/>
    <m/>
    <n v="1671781943"/>
    <s v="RS"/>
  </r>
  <r>
    <n v="31"/>
    <s v="A"/>
    <s v="EDUCACIÓN Y CULTURA"/>
    <s v="RURAL"/>
    <s v="SOCIAL"/>
    <x v="3"/>
    <s v="PROV. CHILOE"/>
    <n v="29"/>
    <s v="FAR"/>
    <s v="EJECUCION"/>
    <n v="30135059"/>
    <s v="G"/>
    <s v="FRANCISCA MONTECINO  OPAZO"/>
    <s v="30135059EJECUCION"/>
    <m/>
    <s v="CONSTRUCCION SEDE UNIVERSITARIA PARA LA PROVINCIA DE CHILOE"/>
    <m/>
    <m/>
    <m/>
    <m/>
    <m/>
    <m/>
    <m/>
    <n v="6569829292"/>
    <n v="4873756899"/>
    <m/>
    <n v="1126678665"/>
    <n v="1126678665"/>
    <n v="0"/>
    <n v="0"/>
    <n v="0"/>
    <n v="0"/>
    <n v="0"/>
    <n v="0"/>
    <n v="0"/>
    <n v="0"/>
    <n v="2905983"/>
    <n v="2352414"/>
    <n v="2629199"/>
    <n v="643170742"/>
    <n v="475620327"/>
    <m/>
    <n v="569393728"/>
    <s v="RS"/>
  </r>
  <r>
    <n v="31"/>
    <s v="A"/>
    <s v="TRANSPORTE Y VIVIENDA"/>
    <s v="RURAL"/>
    <s v="CONECTIVIDAD"/>
    <x v="3"/>
    <s v="PROV. CHILOE"/>
    <n v="29"/>
    <s v="FAR"/>
    <s v="EJECUCION"/>
    <n v="30453827"/>
    <m/>
    <e v="#N/A"/>
    <s v="30453827EJECUCION"/>
    <m/>
    <s v="CONSERVACION CAMINOS VECINALES POR GLOSA , ETAPA I PROVINCIA DE CHILOE (C33)"/>
    <m/>
    <m/>
    <m/>
    <m/>
    <m/>
    <m/>
    <m/>
    <n v="1298249800"/>
    <n v="418964479"/>
    <m/>
    <n v="573414698"/>
    <n v="374267567"/>
    <n v="199147131"/>
    <n v="0"/>
    <n v="0"/>
    <n v="0"/>
    <n v="0"/>
    <n v="0"/>
    <n v="0"/>
    <n v="0"/>
    <n v="0"/>
    <n v="0"/>
    <n v="131459259"/>
    <n v="52058476"/>
    <n v="190749832"/>
    <m/>
    <n v="305870623"/>
    <s v="RS*"/>
  </r>
  <r>
    <n v="29"/>
    <s v="N"/>
    <s v="SALUD"/>
    <s v="URBANO"/>
    <s v="SOCIAL"/>
    <x v="3"/>
    <s v="PROV. CHILOE"/>
    <n v="29"/>
    <s v="LIBRE"/>
    <s v="EJECUCION"/>
    <n v="40023504"/>
    <m/>
    <m/>
    <s v="40023504EJECUCION"/>
    <m/>
    <s v="** REPOSICION DE DOS AMBULANCIAS SAMU SERVICIO DE SALUD CHILOE (C33)"/>
    <s v="* CERT. CORE 144 04.2020 - INCORPORA"/>
    <m/>
    <m/>
    <s v="1058 11,05,20"/>
    <n v="165886000"/>
    <m/>
    <m/>
    <n v="165886000"/>
    <n v="0"/>
    <m/>
    <n v="165886000"/>
    <n v="165886000"/>
    <n v="0"/>
    <m/>
    <m/>
    <m/>
    <m/>
    <m/>
    <n v="165886000"/>
    <n v="0"/>
    <n v="0"/>
    <n v="0"/>
    <m/>
    <m/>
    <m/>
    <m/>
    <n v="0"/>
    <s v="RS*"/>
  </r>
  <r>
    <n v="31"/>
    <s v="N"/>
    <s v="SALUD"/>
    <s v="RURAL"/>
    <s v="SOCIAL"/>
    <x v="3"/>
    <s v="PROV. CHILOE"/>
    <n v="29"/>
    <s v="LIBRE"/>
    <s v="PREFACTIBILIDAD"/>
    <n v="30098600"/>
    <m/>
    <m/>
    <s v="30098600PREFACTIBILIDAD"/>
    <m/>
    <s v="MEJORAMIENTO Y AMPLIACION HOSPITAL DE CASTRO (INFRA)"/>
    <m/>
    <m/>
    <m/>
    <m/>
    <m/>
    <m/>
    <m/>
    <n v="178458516"/>
    <n v="178458516"/>
    <m/>
    <n v="0"/>
    <n v="0"/>
    <n v="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756918608"/>
    <n v="5568179894"/>
    <m/>
    <n v="2799256652"/>
    <n v="2077463581"/>
    <n v="721793071"/>
    <n v="0"/>
    <n v="0"/>
    <n v="0"/>
    <n v="0"/>
    <n v="0"/>
    <n v="211332317"/>
    <n v="45817668"/>
    <n v="27863941"/>
    <n v="29770059"/>
    <n v="179918018"/>
    <n v="767798466"/>
    <n v="814963112"/>
    <m/>
    <n v="338948206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3"/>
    <s v="PROV. CHILOE"/>
    <n v="29"/>
    <s v="LIBRE"/>
    <s v="EJECUCION"/>
    <n v="30083300"/>
    <s v="SALUD"/>
    <s v="HARRY FRANKLIN  MONSALVE FUENTES"/>
    <s v="30083300EJECUCION"/>
    <s v="1896-3-O120"/>
    <s v="NORMALIZACION HOSPITAL DE ANCUD"/>
    <m/>
    <m/>
    <m/>
    <m/>
    <m/>
    <m/>
    <m/>
    <n v="4454843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3831198301"/>
    <s v="RS"/>
  </r>
  <r>
    <n v="29"/>
    <s v="N"/>
    <s v="SALUD"/>
    <s v="URBANO"/>
    <s v="SOCIAL"/>
    <x v="3"/>
    <s v="PROV. CHILOE"/>
    <n v="29"/>
    <s v="LIBRE"/>
    <s v="EJECUCION"/>
    <n v="40023508"/>
    <m/>
    <m/>
    <s v="40023508EJECUCION"/>
    <m/>
    <s v="** ADQUISICION E INSTALACION HOSPITAL DE CAMPAÑA SERVICIO DE SALUD CHILOE (C33)"/>
    <s v="* CERT. CORE 146 04.2020 - INCORPORA"/>
    <m/>
    <m/>
    <s v="1057 11,05,20"/>
    <n v="487104000"/>
    <m/>
    <m/>
    <n v="487104000"/>
    <n v="0"/>
    <m/>
    <n v="0"/>
    <n v="0"/>
    <n v="0"/>
    <m/>
    <m/>
    <m/>
    <m/>
    <m/>
    <n v="0"/>
    <n v="0"/>
    <n v="0"/>
    <n v="0"/>
    <m/>
    <m/>
    <m/>
    <m/>
    <n v="487104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4941947000"/>
    <n v="0"/>
    <m/>
    <n v="623644699"/>
    <n v="0"/>
    <n v="623644699"/>
    <n v="0"/>
    <n v="0"/>
    <n v="0"/>
    <n v="0"/>
    <n v="0"/>
    <n v="0"/>
    <n v="0"/>
    <n v="0"/>
    <n v="0"/>
    <n v="0"/>
    <n v="0"/>
    <n v="0"/>
    <m/>
    <n v="431830230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 PROVINCIALES"/>
    <m/>
    <m/>
    <m/>
    <m/>
    <m/>
    <m/>
    <m/>
    <n v="16698865608"/>
    <n v="5568179894"/>
    <m/>
    <n v="3422901351"/>
    <n v="2077463581"/>
    <n v="1345437770"/>
    <n v="0"/>
    <n v="0"/>
    <n v="0"/>
    <n v="0"/>
    <n v="0"/>
    <n v="211332317"/>
    <n v="45817668"/>
    <n v="27863941"/>
    <n v="29770059"/>
    <n v="179918018"/>
    <n v="767798466"/>
    <n v="814963112"/>
    <m/>
    <n v="7707784363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CHILOE"/>
    <m/>
    <m/>
    <m/>
    <m/>
    <m/>
    <m/>
    <m/>
    <n v="64335175440"/>
    <n v="20510004027"/>
    <m/>
    <n v="19920486762.333336"/>
    <n v="9483088978"/>
    <n v="10437397784.333336"/>
    <n v="0"/>
    <n v="0"/>
    <n v="0"/>
    <n v="0"/>
    <n v="0"/>
    <n v="905487531"/>
    <n v="1307571406"/>
    <n v="958223572"/>
    <n v="1096816757"/>
    <n v="1260699813"/>
    <n v="1557393927"/>
    <n v="2396895972"/>
    <m/>
    <n v="23904684650.66666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CHAITEN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"/>
    <s v="N"/>
    <s v="ENERGIA"/>
    <s v="RURAL"/>
    <s v="ENERGIA"/>
    <x v="4"/>
    <s v="CHAITEN"/>
    <n v="30"/>
    <s v="ENERGIZACION"/>
    <s v="EJECUCION"/>
    <n v="30322174"/>
    <m/>
    <m/>
    <s v="30322174EJECUCION"/>
    <m/>
    <s v="SUBSIDIO A LA OPERACION SISTEMA ISLAS DESERTORES"/>
    <m/>
    <m/>
    <m/>
    <m/>
    <m/>
    <m/>
    <m/>
    <n v="422170000"/>
    <n v="0"/>
    <m/>
    <n v="422170000"/>
    <n v="90430146"/>
    <n v="331739854"/>
    <n v="0"/>
    <n v="0"/>
    <n v="0"/>
    <n v="0"/>
    <n v="0"/>
    <n v="0"/>
    <n v="33955636"/>
    <n v="32645953"/>
    <n v="0"/>
    <n v="0"/>
    <n v="22052099"/>
    <n v="1776458"/>
    <m/>
    <n v="0"/>
    <s v="RS***"/>
  </r>
  <r>
    <n v="24"/>
    <s v="N"/>
    <s v="ENERGIA"/>
    <s v="RURAL"/>
    <s v="ENERGIA"/>
    <x v="4"/>
    <s v="CHAITEN"/>
    <n v="30"/>
    <s v="ENERGIZACION"/>
    <s v="EJECUCION"/>
    <n v="30483010"/>
    <m/>
    <m/>
    <s v="30483010EJECUCION"/>
    <m/>
    <s v="SUBSIDIO OPERACIÓN SIST. AUTOGENERACION AYACARA"/>
    <m/>
    <m/>
    <m/>
    <m/>
    <m/>
    <m/>
    <m/>
    <n v="103882152"/>
    <n v="0"/>
    <m/>
    <n v="103882152"/>
    <n v="103882152"/>
    <n v="0"/>
    <m/>
    <m/>
    <m/>
    <m/>
    <m/>
    <n v="0"/>
    <n v="0"/>
    <n v="0"/>
    <n v="103882152"/>
    <m/>
    <m/>
    <m/>
    <m/>
    <n v="0"/>
    <s v="RS***"/>
  </r>
  <r>
    <n v="31"/>
    <s v="A"/>
    <s v="MULTISECTORIAL"/>
    <s v="URBANO"/>
    <s v="SOCIAL"/>
    <x v="4"/>
    <s v="CHAITEN"/>
    <n v="30"/>
    <s v="LIBRE"/>
    <s v="DISEÑO"/>
    <n v="30103541"/>
    <s v="V"/>
    <e v="#N/A"/>
    <s v="30103541DISEÑO"/>
    <m/>
    <s v="REPOSICION EDIFICIO MUNICIPAL DE CHAITEN"/>
    <m/>
    <m/>
    <m/>
    <m/>
    <m/>
    <m/>
    <m/>
    <n v="137807000"/>
    <n v="7407000"/>
    <m/>
    <n v="107580000"/>
    <n v="64900000"/>
    <n v="42680000"/>
    <n v="0"/>
    <n v="0"/>
    <n v="0"/>
    <n v="0"/>
    <n v="0"/>
    <n v="0"/>
    <n v="23600000"/>
    <n v="23600000"/>
    <n v="0"/>
    <n v="0"/>
    <n v="17700000"/>
    <n v="0"/>
    <m/>
    <n v="22820000"/>
    <s v="RS"/>
  </r>
  <r>
    <n v="33"/>
    <s v="A"/>
    <s v="MULTISECTORIAL"/>
    <s v="URBANO"/>
    <s v="SOCIAL"/>
    <x v="4"/>
    <s v="CHAITEN"/>
    <n v="30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4"/>
    <s v="CHAITEN"/>
    <n v="30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57023311"/>
    <n v="42976689"/>
    <n v="0"/>
    <n v="0"/>
    <n v="0"/>
    <n v="0"/>
    <n v="0"/>
    <n v="0"/>
    <n v="0"/>
    <n v="35106063"/>
    <n v="12610419"/>
    <n v="58504051"/>
    <n v="50802778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963859152"/>
    <n v="7407000"/>
    <m/>
    <n v="933632152"/>
    <n v="416235609"/>
    <n v="517396543"/>
    <n v="0"/>
    <n v="0"/>
    <n v="0"/>
    <n v="0"/>
    <n v="0"/>
    <n v="0"/>
    <n v="57555636"/>
    <n v="91352016"/>
    <n v="116492571"/>
    <n v="58504051"/>
    <n v="90554877"/>
    <n v="1776458"/>
    <m/>
    <n v="2282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URBANO"/>
    <s v="SALUD"/>
    <x v="4"/>
    <s v="CHAITEN"/>
    <n v="30"/>
    <s v="PV"/>
    <s v="EJECUCION"/>
    <n v="30060589"/>
    <s v="SALUD"/>
    <e v="#N/A"/>
    <s v="30060589EJECUCION"/>
    <s v="1077523-3-LR20"/>
    <s v="MEJORAMIENTO HOSPITAL DE  CHAITEN."/>
    <s v="* CERT. CORE 231 08.08.19 - APRUEBA INCORPORAR CON CARGO FNDR"/>
    <m/>
    <m/>
    <s v="3462 30,09,19"/>
    <n v="13680509000"/>
    <m/>
    <m/>
    <n v="14945793000"/>
    <n v="0"/>
    <m/>
    <n v="974545692"/>
    <n v="0"/>
    <n v="974545692"/>
    <n v="0"/>
    <n v="0"/>
    <n v="0"/>
    <n v="0"/>
    <n v="0"/>
    <n v="0"/>
    <n v="0"/>
    <n v="0"/>
    <n v="0"/>
    <n v="0"/>
    <n v="0"/>
    <n v="0"/>
    <m/>
    <n v="13971247308"/>
    <s v="RS"/>
  </r>
  <r>
    <n v="29"/>
    <s v="N"/>
    <s v="MULTISECTORIAL"/>
    <s v="RURAL"/>
    <s v="SOCIAL"/>
    <x v="4"/>
    <s v="CHAITEN"/>
    <n v="30"/>
    <s v="FAR"/>
    <s v="EJECUCION"/>
    <n v="40016557"/>
    <m/>
    <m/>
    <s v="40016557EJECUCION"/>
    <s v="3293-28-LR20"/>
    <s v="* ADQUISICION CAMION MULTIPROPOSITO PARA EMERGENCIA  COMUNA DE CHAITEN (C33)"/>
    <s v="* ORD. 291 30.01.2020 (C33) - RS / * CERT. CORE 32 07.02.20 - APRUEBA Y ACTUALIZA COSTO"/>
    <m/>
    <m/>
    <s v="15 02,03,20 "/>
    <n v="435285000"/>
    <m/>
    <m/>
    <n v="435285000"/>
    <n v="0"/>
    <m/>
    <n v="435285000"/>
    <n v="0"/>
    <n v="435285000"/>
    <n v="0"/>
    <n v="0"/>
    <n v="0"/>
    <n v="0"/>
    <n v="0"/>
    <n v="0"/>
    <n v="0"/>
    <n v="0"/>
    <n v="0"/>
    <n v="0"/>
    <n v="0"/>
    <n v="0"/>
    <m/>
    <n v="0"/>
    <s v="RS*"/>
  </r>
  <r>
    <n v="31"/>
    <s v="A"/>
    <s v="TRANSPORTE Y VIVIENDA"/>
    <s v="URBANO"/>
    <s v="CONECTIVIDAD"/>
    <x v="4"/>
    <s v="CHAITEN"/>
    <n v="30"/>
    <s v="LIBRE"/>
    <s v="PREFACTIBILIDAD"/>
    <n v="30186523"/>
    <s v="V"/>
    <e v="#N/A"/>
    <s v="30186523PREFACTIBILIDAD"/>
    <s v="1896-48-LP19"/>
    <s v="CONSTRUCCION CONEXION VIAL ISLA TALCAN ARCH. DESERTORES,CHAITEN"/>
    <s v="* CERT. CORE 34 03.19 - ACTUALIZA COSTO."/>
    <m/>
    <m/>
    <m/>
    <m/>
    <m/>
    <m/>
    <n v="491402000"/>
    <n v="0"/>
    <m/>
    <n v="165137773"/>
    <n v="0"/>
    <n v="165137773"/>
    <n v="0"/>
    <n v="0"/>
    <n v="0"/>
    <n v="0"/>
    <n v="0"/>
    <n v="0"/>
    <n v="0"/>
    <n v="0"/>
    <n v="0"/>
    <n v="0"/>
    <n v="0"/>
    <n v="0"/>
    <m/>
    <n v="326264227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5872480000"/>
    <n v="0"/>
    <m/>
    <n v="1574968465"/>
    <n v="0"/>
    <n v="1574968465"/>
    <n v="0"/>
    <n v="0"/>
    <n v="0"/>
    <n v="0"/>
    <n v="0"/>
    <n v="0"/>
    <n v="0"/>
    <n v="0"/>
    <n v="0"/>
    <n v="0"/>
    <n v="0"/>
    <n v="0"/>
    <m/>
    <n v="142975115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CHAITEN"/>
    <m/>
    <m/>
    <m/>
    <m/>
    <m/>
    <m/>
    <m/>
    <n v="16836339152"/>
    <n v="7407000"/>
    <m/>
    <n v="2508600617"/>
    <n v="416235609"/>
    <n v="2092365008"/>
    <n v="0"/>
    <n v="0"/>
    <n v="0"/>
    <n v="0"/>
    <n v="0"/>
    <n v="0"/>
    <n v="57555636"/>
    <n v="91352016"/>
    <n v="116492571"/>
    <n v="58504051"/>
    <n v="90554877"/>
    <n v="1776458"/>
    <m/>
    <n v="143203315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FUTALEUFU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EDUCACIÓN Y CULTURA"/>
    <s v="RURAL"/>
    <s v="SOCIAL"/>
    <x v="4"/>
    <s v="FUTALEUFU"/>
    <n v="31"/>
    <s v="PV"/>
    <s v="EJECUCION"/>
    <n v="30072372"/>
    <s v="V"/>
    <s v="Fabricio Carra Paredes"/>
    <s v="30072372EJECUCION"/>
    <m/>
    <s v="AMPLIACION ESCUELA BASICA  FUTALEUFU PARA EDUCACION MEDIA"/>
    <m/>
    <m/>
    <m/>
    <m/>
    <m/>
    <m/>
    <m/>
    <n v="3944224378"/>
    <n v="3810001601"/>
    <m/>
    <n v="95507000"/>
    <n v="0"/>
    <n v="95507000"/>
    <n v="0"/>
    <n v="0"/>
    <n v="0"/>
    <n v="0"/>
    <n v="0"/>
    <n v="0"/>
    <n v="0"/>
    <n v="0"/>
    <n v="0"/>
    <n v="0"/>
    <n v="0"/>
    <n v="0"/>
    <m/>
    <n v="38715777"/>
    <s v="RS"/>
  </r>
  <r>
    <n v="31"/>
    <s v="A"/>
    <s v="TRANSPORTE Y VIVIENDA"/>
    <s v="RURAL"/>
    <s v="CONECTIVIDAD"/>
    <x v="4"/>
    <s v="FUTALEUFU"/>
    <n v="31"/>
    <s v="PV"/>
    <s v="EJECUCION"/>
    <n v="30102779"/>
    <s v="V"/>
    <s v="Fabricio Carra Paredes"/>
    <s v="30102779EJECUCION"/>
    <m/>
    <s v="CONSTRUCCION TERMINAL DE BUSES DE FUTALEUFU"/>
    <s v="CERT. CORE 304 26.09.19 - APRUEBA AUMENTO DE PPTO."/>
    <m/>
    <m/>
    <m/>
    <m/>
    <m/>
    <m/>
    <n v="703415000"/>
    <n v="539174204"/>
    <m/>
    <n v="164240796"/>
    <n v="16983173"/>
    <n v="147257623"/>
    <n v="0"/>
    <n v="0"/>
    <n v="0"/>
    <n v="0"/>
    <n v="0"/>
    <n v="0"/>
    <n v="0"/>
    <n v="0"/>
    <n v="0"/>
    <n v="0"/>
    <n v="0"/>
    <n v="16983173"/>
    <m/>
    <n v="0"/>
    <s v="RS"/>
  </r>
  <r>
    <n v="31"/>
    <s v="A"/>
    <s v="DEPORTE"/>
    <s v="RURAL"/>
    <s v="SOCIAL"/>
    <x v="4"/>
    <s v="FUTALEUFU"/>
    <n v="31"/>
    <s v="PV"/>
    <s v="EJECUCION"/>
    <n v="30086361"/>
    <s v="V"/>
    <s v="Fabricio Carra Paredes"/>
    <s v="30086361EJECUCION"/>
    <m/>
    <s v="REPOSICION GIMNASIO MUNICIPAL DE FUTALEUFU"/>
    <m/>
    <m/>
    <m/>
    <m/>
    <m/>
    <m/>
    <m/>
    <n v="3900581000"/>
    <n v="3137883323"/>
    <m/>
    <n v="454656000"/>
    <n v="299734525"/>
    <n v="154921475"/>
    <n v="0"/>
    <n v="0"/>
    <n v="0"/>
    <n v="0"/>
    <n v="0"/>
    <n v="0"/>
    <n v="0"/>
    <n v="0"/>
    <n v="295509359"/>
    <n v="0"/>
    <n v="2112583"/>
    <n v="2112583"/>
    <m/>
    <n v="308041677"/>
    <s v="RS"/>
  </r>
  <r>
    <n v="31"/>
    <s v="A"/>
    <s v="TRANSPORTE Y VIVIENDA"/>
    <s v="RURAL"/>
    <s v="SOCIAL"/>
    <x v="4"/>
    <s v="FUTALEUFU"/>
    <n v="31"/>
    <s v="LIBRE"/>
    <s v="DISEÑO"/>
    <n v="30352430"/>
    <s v="V"/>
    <s v="Fabricio Carra Paredes"/>
    <s v="30352430DISEÑO"/>
    <m/>
    <s v="CONSTRUCCION PARQUE MUNICIPAL DE FUTALEUFU"/>
    <m/>
    <m/>
    <m/>
    <m/>
    <m/>
    <m/>
    <m/>
    <n v="118160000"/>
    <n v="48000000"/>
    <m/>
    <n v="70160000"/>
    <n v="26000000"/>
    <n v="44160000"/>
    <n v="0"/>
    <n v="0"/>
    <n v="0"/>
    <n v="0"/>
    <n v="0"/>
    <n v="0"/>
    <n v="0"/>
    <n v="0"/>
    <n v="26000000"/>
    <n v="0"/>
    <n v="0"/>
    <n v="0"/>
    <m/>
    <n v="0"/>
    <s v="RS"/>
  </r>
  <r>
    <n v="33"/>
    <s v="A"/>
    <s v="MULTISECTORIAL"/>
    <s v="URBANO"/>
    <s v="SOCIAL"/>
    <x v="4"/>
    <s v="FUTALEUFU"/>
    <n v="31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4"/>
    <s v="FUTALEUFU"/>
    <n v="31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88878654"/>
    <n v="111121346"/>
    <n v="0"/>
    <n v="0"/>
    <n v="0"/>
    <n v="0"/>
    <n v="0"/>
    <n v="0"/>
    <n v="7460516"/>
    <n v="0"/>
    <n v="29074441"/>
    <n v="52343697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8966380378"/>
    <n v="7535059128"/>
    <m/>
    <n v="1084563796"/>
    <n v="431596352"/>
    <n v="652967444"/>
    <n v="0"/>
    <n v="0"/>
    <n v="0"/>
    <n v="0"/>
    <n v="0"/>
    <n v="0"/>
    <n v="7460516"/>
    <n v="0"/>
    <n v="350583800"/>
    <n v="52343697"/>
    <n v="2112583"/>
    <n v="19095756"/>
    <m/>
    <n v="34675745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MULTISECTORIAL"/>
    <s v="RURAL"/>
    <s v="SOCIAL"/>
    <x v="4"/>
    <s v="FUTALEUFU"/>
    <n v="31"/>
    <s v="LIBRE"/>
    <s v="EJECUCION"/>
    <n v="30341678"/>
    <s v="V"/>
    <e v="#N/A"/>
    <s v="30341678EJECUCION"/>
    <m/>
    <s v="ANALISIS ESTUDIO PLAN REGULADOR COMUNAL DE FUTALEUFU (C33)"/>
    <m/>
    <m/>
    <m/>
    <s v="1022 04,05,20"/>
    <n v="120000000"/>
    <m/>
    <m/>
    <n v="126058000"/>
    <n v="0"/>
    <m/>
    <n v="126058000"/>
    <n v="0"/>
    <n v="126058000"/>
    <n v="0"/>
    <n v="0"/>
    <n v="0"/>
    <n v="0"/>
    <n v="0"/>
    <n v="0"/>
    <n v="0"/>
    <n v="0"/>
    <n v="0"/>
    <n v="0"/>
    <n v="0"/>
    <n v="0"/>
    <m/>
    <n v="0"/>
    <s v="RS*"/>
  </r>
  <r>
    <n v="29"/>
    <s v="A"/>
    <s v="DEFENSA Y SEGURIDAD"/>
    <s v="URBANO"/>
    <s v="SOCIAL"/>
    <x v="4"/>
    <s v="FUTALEUFU"/>
    <n v="31"/>
    <s v="FAR"/>
    <s v="EJECUCION"/>
    <n v="40006627"/>
    <m/>
    <e v="#N/A"/>
    <s v="40006627EJECUCION"/>
    <s v="3897-50-LR19"/>
    <s v="REPOSICION CAMBIO LUMINARIA LED URBANA (C33)"/>
    <s v="* CERT. CORE 176 06.19 - ACTUALIZA PPTO Y COSTO."/>
    <m/>
    <m/>
    <s v="95 15,10,19"/>
    <n v="285807000"/>
    <m/>
    <m/>
    <n v="285806507"/>
    <n v="0"/>
    <m/>
    <n v="285806507"/>
    <n v="15658020"/>
    <n v="270148487"/>
    <n v="0"/>
    <n v="0"/>
    <n v="0"/>
    <n v="0"/>
    <n v="0"/>
    <n v="0"/>
    <n v="15658020"/>
    <n v="0"/>
    <n v="0"/>
    <n v="0"/>
    <n v="0"/>
    <n v="0"/>
    <m/>
    <n v="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411864507"/>
    <n v="0"/>
    <m/>
    <n v="411864507"/>
    <n v="15658020"/>
    <n v="396206487"/>
    <n v="0"/>
    <n v="0"/>
    <n v="0"/>
    <n v="0"/>
    <n v="0"/>
    <n v="0"/>
    <n v="15658020"/>
    <n v="0"/>
    <n v="0"/>
    <n v="0"/>
    <n v="0"/>
    <n v="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FUTALEUFU"/>
    <m/>
    <m/>
    <m/>
    <m/>
    <m/>
    <m/>
    <m/>
    <n v="9378244885"/>
    <n v="7535059128"/>
    <m/>
    <n v="1496428303"/>
    <n v="447254372"/>
    <n v="1049173931"/>
    <n v="0"/>
    <n v="0"/>
    <n v="0"/>
    <n v="0"/>
    <n v="0"/>
    <n v="0"/>
    <n v="23118536"/>
    <n v="0"/>
    <n v="350583800"/>
    <n v="52343697"/>
    <n v="2112583"/>
    <n v="19095756"/>
    <m/>
    <n v="346757454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HUALAIHUE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SALUD"/>
    <s v="RURAL"/>
    <s v="SOCIAL"/>
    <x v="4"/>
    <s v="HUALAIHUE"/>
    <n v="32"/>
    <s v="PV"/>
    <s v="EJECUCION"/>
    <n v="30311722"/>
    <s v="SALUD"/>
    <s v="Fabricio Carra Paredes"/>
    <s v="30311722EJECUCION"/>
    <m/>
    <s v="REPOSICION POSTA SALUD RURAL AULEN"/>
    <s v="* CERT. CORE 03 01.19 - AUMENTA ITEM OBRAS CIVILES Y ACTUALIZA COSTO."/>
    <m/>
    <m/>
    <m/>
    <m/>
    <m/>
    <m/>
    <n v="576755000"/>
    <n v="93181304"/>
    <m/>
    <n v="483573696"/>
    <n v="260868687"/>
    <n v="222705009"/>
    <n v="0"/>
    <n v="0"/>
    <n v="0"/>
    <n v="0"/>
    <n v="0"/>
    <n v="110119883"/>
    <n v="0"/>
    <n v="50599291"/>
    <n v="36014549"/>
    <n v="55602939"/>
    <n v="8532025"/>
    <n v="0"/>
    <m/>
    <n v="0"/>
    <s v="RS"/>
  </r>
  <r>
    <n v="31"/>
    <s v="A"/>
    <s v="EDUCACIÓN Y CULTURA"/>
    <s v="RURAL"/>
    <s v="SOCIAL"/>
    <x v="4"/>
    <s v="HUALAIHUE"/>
    <n v="32"/>
    <s v="LIBRE"/>
    <s v="EJECUCION"/>
    <n v="30277425"/>
    <s v="V"/>
    <s v="Fabricio Carra Paredes"/>
    <s v="30277425EJECUCION"/>
    <m/>
    <s v="CONSERVACION GIMNASIO ESCUELA SEMILLERO ROLECHA(C33)"/>
    <m/>
    <m/>
    <m/>
    <m/>
    <m/>
    <m/>
    <m/>
    <n v="231709000"/>
    <n v="217737229"/>
    <m/>
    <n v="7243423"/>
    <n v="0"/>
    <n v="7243423"/>
    <n v="0"/>
    <n v="0"/>
    <n v="0"/>
    <n v="0"/>
    <n v="0"/>
    <n v="0"/>
    <n v="0"/>
    <n v="0"/>
    <n v="0"/>
    <n v="0"/>
    <n v="0"/>
    <n v="0"/>
    <m/>
    <n v="6728348"/>
    <s v="RS*"/>
  </r>
  <r>
    <n v="31"/>
    <s v="A"/>
    <s v="TRANSPORTE Y VIVIENDA"/>
    <s v="RURAL"/>
    <s v="CONECTIVIDAD"/>
    <x v="4"/>
    <s v="HUALAIHUE"/>
    <n v="32"/>
    <s v="FAR"/>
    <s v="EJECUCION"/>
    <n v="30471092"/>
    <m/>
    <e v="#N/A"/>
    <s v="30471092EJECUCION"/>
    <m/>
    <s v="CONSERVACION CAMINOS VECINALES GLOSA 7,COMUNA HUALAIHUE, PROV. PALENA(C33)"/>
    <s v="* CERT. CORE 226 08.19 - AUMENTA ITEM OBRAS CIVILES Y ACTUALIZA COSTO."/>
    <m/>
    <m/>
    <m/>
    <m/>
    <m/>
    <m/>
    <n v="364878000"/>
    <n v="60000000"/>
    <m/>
    <n v="292551048"/>
    <n v="292551048"/>
    <n v="0"/>
    <n v="0"/>
    <n v="0"/>
    <n v="0"/>
    <n v="0"/>
    <n v="0"/>
    <n v="0"/>
    <n v="224567831"/>
    <n v="0"/>
    <n v="0"/>
    <n v="0"/>
    <n v="67983217"/>
    <n v="0"/>
    <m/>
    <n v="12326952"/>
    <s v="RS*"/>
  </r>
  <r>
    <n v="33"/>
    <s v="A"/>
    <s v="MULTISECTORIAL"/>
    <s v="URBANO"/>
    <s v="SOCIAL"/>
    <x v="4"/>
    <s v="HUALAIHUE"/>
    <n v="32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4"/>
    <s v="HUALAIHUE"/>
    <n v="32"/>
    <s v="FRIL"/>
    <s v="EJECUCION"/>
    <s v="FRIL"/>
    <m/>
    <m/>
    <s v="FRILEJECUCION"/>
    <m/>
    <s v="FONDO REGIONAL DE INICIATIVAS LOCAL - ANEXO PAGINA 11"/>
    <m/>
    <m/>
    <m/>
    <m/>
    <m/>
    <m/>
    <m/>
    <n v="200000000"/>
    <n v="0"/>
    <m/>
    <n v="200000000"/>
    <n v="160906939"/>
    <n v="39093061"/>
    <n v="0"/>
    <n v="0"/>
    <n v="0"/>
    <n v="0"/>
    <n v="0"/>
    <n v="4685187"/>
    <n v="33276208"/>
    <n v="0"/>
    <n v="69112102"/>
    <n v="0"/>
    <n v="53833442"/>
    <n v="0"/>
    <m/>
    <n v="0"/>
    <s v="RS**"/>
  </r>
  <r>
    <n v="31"/>
    <s v="A"/>
    <s v="SALUD"/>
    <s v="RURAL"/>
    <s v="SOCIAL"/>
    <x v="4"/>
    <s v="HUALAIHUE"/>
    <n v="32"/>
    <s v="LIBRE"/>
    <s v="EJECUCION"/>
    <n v="30455973"/>
    <m/>
    <e v="#N/A"/>
    <s v="30455973EJECUCION"/>
    <m/>
    <s v="CONSTRUCCION 2 CASAS PARA PROFESIONALES CECOSF HUALAIHUE"/>
    <m/>
    <m/>
    <m/>
    <m/>
    <m/>
    <m/>
    <m/>
    <n v="90272885"/>
    <n v="73838905"/>
    <m/>
    <n v="16433980"/>
    <n v="0"/>
    <n v="1643398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563614885"/>
    <n v="444757438"/>
    <m/>
    <n v="1099802147"/>
    <n v="714326674"/>
    <n v="385475473"/>
    <n v="0"/>
    <n v="0"/>
    <n v="0"/>
    <n v="0"/>
    <n v="0"/>
    <n v="114805070"/>
    <n v="257844039"/>
    <n v="50599291"/>
    <n v="105126651"/>
    <n v="55602939"/>
    <n v="130348684"/>
    <n v="0"/>
    <m/>
    <n v="190553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AGUA POTABLE Y ALCANTARILLADO"/>
    <s v="RURAL"/>
    <s v="AGUA POTABLE"/>
    <x v="4"/>
    <s v="HUALAIHUE"/>
    <n v="32"/>
    <s v="LIBRE"/>
    <s v="DISEÑO"/>
    <n v="30338024"/>
    <s v="V"/>
    <s v="Fabricio Carra Paredes"/>
    <s v="30338024DISEÑO"/>
    <s v="2904-34-LE19"/>
    <s v="CONSTRUCCION SISTEMA AGUA POTABLE PUNTILLA PICHICOL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</r>
  <r>
    <n v="31"/>
    <s v="A"/>
    <s v="AGUA POTABLE Y ALCANTARILLADO"/>
    <s v="RURAL"/>
    <s v="AGUA POTABLE"/>
    <x v="4"/>
    <s v="HUALAIHUE"/>
    <n v="32"/>
    <s v="LIBRE"/>
    <s v="DISEÑO"/>
    <n v="30338523"/>
    <s v="V"/>
    <e v="#N/A"/>
    <s v="30338523DISEÑO"/>
    <s v="2904-35-LE19"/>
    <s v="CONSTRUCCION SISTEMA AGUA POTABLE CHOLGO"/>
    <m/>
    <m/>
    <m/>
    <m/>
    <m/>
    <m/>
    <m/>
    <n v="33986000"/>
    <n v="0"/>
    <m/>
    <n v="28986000"/>
    <n v="0"/>
    <n v="28986000"/>
    <n v="0"/>
    <n v="0"/>
    <n v="0"/>
    <n v="0"/>
    <n v="0"/>
    <n v="0"/>
    <n v="0"/>
    <n v="0"/>
    <n v="0"/>
    <n v="0"/>
    <n v="0"/>
    <n v="0"/>
    <m/>
    <n v="5000000"/>
    <s v="RS"/>
  </r>
  <r>
    <n v="31"/>
    <s v="A"/>
    <s v="AGUA POTABLE Y ALCANTARILLADO"/>
    <s v="RURAL"/>
    <s v="AGUA POTABLE"/>
    <x v="4"/>
    <s v="HUALAIHUE"/>
    <n v="32"/>
    <s v="LIBRE"/>
    <s v="EJECUCION"/>
    <n v="30065600"/>
    <s v="V"/>
    <e v="#N/A"/>
    <s v="30065600EJECUCION"/>
    <s v="2904-35-LE19"/>
    <s v="CONSTRUCCION SISTEMA AGUA POTABLE EL MANZANO"/>
    <m/>
    <m/>
    <m/>
    <m/>
    <m/>
    <m/>
    <m/>
    <n v="418598000"/>
    <n v="0"/>
    <m/>
    <n v="184316689"/>
    <n v="0"/>
    <n v="184316689"/>
    <n v="0"/>
    <n v="0"/>
    <n v="0"/>
    <n v="0"/>
    <n v="0"/>
    <n v="0"/>
    <n v="0"/>
    <n v="0"/>
    <n v="0"/>
    <n v="0"/>
    <n v="0"/>
    <n v="0"/>
    <m/>
    <n v="234281311"/>
    <s v="RS"/>
  </r>
  <r>
    <n v="29"/>
    <s v="A"/>
    <s v="DEFENSA Y SEGURIDAD"/>
    <s v="RURAL"/>
    <s v="SOCIAL"/>
    <x v="4"/>
    <s v="HUALAIHUE"/>
    <n v="32"/>
    <s v="LIBRE"/>
    <s v="EJECUCION"/>
    <n v="30480167"/>
    <m/>
    <e v="#N/A"/>
    <s v="30480167EJECUCION"/>
    <m/>
    <s v="ADQUISICION LANCHA POLICIAL TENENCIA HORNOPIREN, COMUNA HUALAIHUE(C33)"/>
    <m/>
    <m/>
    <m/>
    <m/>
    <m/>
    <m/>
    <m/>
    <n v="237746000"/>
    <n v="0"/>
    <m/>
    <n v="71860000"/>
    <n v="0"/>
    <n v="71860000"/>
    <n v="0"/>
    <n v="0"/>
    <n v="0"/>
    <n v="0"/>
    <n v="0"/>
    <n v="0"/>
    <n v="0"/>
    <n v="0"/>
    <n v="0"/>
    <n v="0"/>
    <n v="0"/>
    <n v="0"/>
    <m/>
    <n v="165886000"/>
    <s v="RS*"/>
  </r>
  <r>
    <n v="29"/>
    <s v="A"/>
    <s v="TRANSPORTE Y VIVIENDA"/>
    <s v="RURAL"/>
    <s v="CONECTIVIDAD"/>
    <x v="4"/>
    <s v="HUALAIHUE"/>
    <n v="32"/>
    <s v="FAR"/>
    <s v="EJECUCION"/>
    <n v="30471865"/>
    <m/>
    <e v="#N/A"/>
    <s v="30471865EJECUCION"/>
    <m/>
    <s v="ADQUISICION SISTEMA DE ILUMINACION PAD. RIO NEGRO HORNOPIREN(C33)"/>
    <m/>
    <m/>
    <m/>
    <m/>
    <m/>
    <m/>
    <m/>
    <n v="101104000"/>
    <n v="0"/>
    <m/>
    <n v="101104000"/>
    <n v="0"/>
    <n v="101104000"/>
    <n v="0"/>
    <n v="0"/>
    <n v="0"/>
    <n v="0"/>
    <n v="0"/>
    <n v="0"/>
    <n v="0"/>
    <n v="0"/>
    <n v="0"/>
    <n v="0"/>
    <n v="0"/>
    <n v="0"/>
    <m/>
    <n v="0"/>
    <s v="RS*"/>
  </r>
  <r>
    <n v="29"/>
    <s v="A"/>
    <s v="TRANSPORTE Y VIVIENDA"/>
    <s v="RURAL"/>
    <s v="CONECTIVIDAD"/>
    <x v="4"/>
    <s v="HUALAIHUE"/>
    <n v="32"/>
    <s v="FAR"/>
    <s v="EJECUCION"/>
    <n v="30361477"/>
    <m/>
    <e v="#N/A"/>
    <s v="30361477EJECUCION"/>
    <m/>
    <s v="ADQUISICION Y REPOSICION VEHICULOS Y MAQUINARIA CAMINOS VECINALES (C33)"/>
    <m/>
    <m/>
    <m/>
    <m/>
    <m/>
    <m/>
    <m/>
    <n v="397041000"/>
    <n v="0"/>
    <m/>
    <n v="397041000"/>
    <n v="0"/>
    <n v="397041000"/>
    <n v="0"/>
    <n v="0"/>
    <n v="0"/>
    <n v="0"/>
    <n v="0"/>
    <n v="0"/>
    <n v="0"/>
    <n v="0"/>
    <n v="0"/>
    <n v="0"/>
    <n v="0"/>
    <n v="0"/>
    <m/>
    <n v="0"/>
    <s v="RS*"/>
  </r>
  <r>
    <n v="31"/>
    <s v="N"/>
    <s v="ENERGIA"/>
    <s v="RURAL"/>
    <s v="SOCIAL"/>
    <x v="4"/>
    <s v="HUALAIHUE"/>
    <n v="32"/>
    <s v="ENERGIZACION"/>
    <s v="EJECUCION"/>
    <n v="40003992"/>
    <s v="AC. SOCIAL"/>
    <m/>
    <s v="40003992EJECUCION"/>
    <m/>
    <s v="CONSTRUCCION SUMNISTRO ENERGIA ELECTRICA FOTOVOLTAICA LOC. QUIACA-ISLA LLANCAHUE"/>
    <m/>
    <m/>
    <m/>
    <m/>
    <m/>
    <m/>
    <m/>
    <n v="462000000"/>
    <n v="0"/>
    <m/>
    <n v="462000000"/>
    <n v="0"/>
    <n v="46200000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684461000"/>
    <n v="0"/>
    <m/>
    <n v="1274293689"/>
    <n v="0"/>
    <n v="1274293689"/>
    <n v="0"/>
    <n v="0"/>
    <n v="0"/>
    <n v="0"/>
    <n v="0"/>
    <n v="0"/>
    <n v="0"/>
    <n v="0"/>
    <n v="0"/>
    <n v="0"/>
    <n v="0"/>
    <n v="0"/>
    <m/>
    <n v="41016731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HUALAIHUE"/>
    <m/>
    <m/>
    <m/>
    <m/>
    <m/>
    <m/>
    <m/>
    <n v="3248075885"/>
    <n v="444757438"/>
    <m/>
    <n v="2374095836"/>
    <n v="714326674"/>
    <n v="1659769162"/>
    <n v="0"/>
    <n v="0"/>
    <n v="0"/>
    <n v="0"/>
    <n v="0"/>
    <n v="114805070"/>
    <n v="257844039"/>
    <n v="50599291"/>
    <n v="105126651"/>
    <n v="55602939"/>
    <n v="130348684"/>
    <n v="0"/>
    <m/>
    <n v="42922261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COMUNA DE PALENA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MULTISECTORIAL"/>
    <s v="RURAL"/>
    <s v="SOCIAL"/>
    <x v="4"/>
    <s v="PALENA"/>
    <n v="33"/>
    <s v="LIBRE"/>
    <s v="DISEÑO"/>
    <n v="30116040"/>
    <s v="V"/>
    <e v="#N/A"/>
    <s v="30116040DISEÑO"/>
    <m/>
    <s v="CONSTRUCCION BODEGA Y GALPON MUNICIPAL"/>
    <m/>
    <m/>
    <m/>
    <m/>
    <m/>
    <m/>
    <m/>
    <n v="43998000"/>
    <n v="35173080"/>
    <m/>
    <n v="8824920"/>
    <n v="0"/>
    <n v="8824920"/>
    <n v="0"/>
    <n v="0"/>
    <n v="0"/>
    <n v="0"/>
    <n v="0"/>
    <n v="0"/>
    <n v="0"/>
    <n v="0"/>
    <n v="0"/>
    <n v="0"/>
    <n v="0"/>
    <n v="0"/>
    <m/>
    <n v="0"/>
    <s v="RS"/>
  </r>
  <r>
    <n v="33"/>
    <s v="A"/>
    <s v="MULTISECTORIAL"/>
    <s v="URBANO"/>
    <s v="SOCIAL"/>
    <x v="4"/>
    <s v="PALENA"/>
    <n v="33"/>
    <s v="FRIL"/>
    <s v="EJECUCION"/>
    <s v="FRIL"/>
    <s v="AC. SOCIAL"/>
    <m/>
    <s v="FRILEJECUCION"/>
    <m/>
    <s v="FONDO REGIONAL DE INICIATIVAS LOCAL - ACUERDO SOCIAL"/>
    <m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A"/>
    <s v="MULTISECTORIAL"/>
    <s v="URBANO"/>
    <s v="SOCIAL"/>
    <x v="4"/>
    <s v="PALENA"/>
    <n v="33"/>
    <s v="FRIL"/>
    <s v="EJECUCION"/>
    <s v="FRIL"/>
    <m/>
    <m/>
    <s v="FRILEJECUCION"/>
    <m/>
    <s v="FONDO REGIONAL DE INICIATIVAS LOCAL - ANEXO PAGINA 12"/>
    <m/>
    <m/>
    <m/>
    <m/>
    <m/>
    <m/>
    <m/>
    <n v="200000000"/>
    <n v="0"/>
    <m/>
    <n v="200000000"/>
    <n v="62992534"/>
    <n v="137007466"/>
    <n v="0"/>
    <n v="0"/>
    <n v="0"/>
    <n v="0"/>
    <n v="0"/>
    <n v="0"/>
    <n v="5357276"/>
    <n v="0"/>
    <n v="3380268"/>
    <n v="54254990"/>
    <n v="0"/>
    <n v="0"/>
    <m/>
    <n v="0"/>
    <s v="RS**"/>
  </r>
  <r>
    <n v="31"/>
    <s v="A"/>
    <s v="DEFENSA Y SEGURIDAD"/>
    <s v="RURAL"/>
    <s v="SOCIAL"/>
    <x v="4"/>
    <s v="PALENA"/>
    <n v="33"/>
    <s v="PV"/>
    <s v="EJECUCION"/>
    <n v="30115295"/>
    <s v="V"/>
    <e v="#N/A"/>
    <s v="30115295EJECUCION"/>
    <m/>
    <s v="REPOSICION Y AMPLIACION CUARTEL 1° COMPAÑIA DE BOMBEROS DE PALENA"/>
    <m/>
    <m/>
    <m/>
    <m/>
    <m/>
    <m/>
    <m/>
    <n v="788374000"/>
    <n v="622243006"/>
    <m/>
    <n v="166130994"/>
    <n v="0"/>
    <n v="166130994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132372000"/>
    <n v="657416086"/>
    <m/>
    <n v="474955914"/>
    <n v="62992534"/>
    <n v="411963380"/>
    <n v="0"/>
    <n v="0"/>
    <n v="0"/>
    <n v="0"/>
    <n v="0"/>
    <n v="0"/>
    <n v="5357276"/>
    <n v="0"/>
    <n v="3380268"/>
    <n v="54254990"/>
    <n v="0"/>
    <n v="0"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A"/>
    <s v="TRANSPORTE Y VIVIENDA"/>
    <s v="RURAL"/>
    <s v="SOCIAL"/>
    <x v="4"/>
    <s v="PALENA"/>
    <n v="33"/>
    <s v="LIBRE"/>
    <s v="EJECUCION"/>
    <n v="30474713"/>
    <m/>
    <e v="#N/A"/>
    <s v="30474713EJECUCION"/>
    <s v="2929-102-LQ19"/>
    <s v="ACTUALIZACION PLAN REGULADOR COMUNA DE PALENA (C33)"/>
    <m/>
    <m/>
    <m/>
    <m/>
    <m/>
    <m/>
    <m/>
    <n v="130000000"/>
    <n v="0"/>
    <m/>
    <n v="115000000"/>
    <n v="0"/>
    <n v="115000000"/>
    <n v="0"/>
    <n v="0"/>
    <n v="0"/>
    <n v="0"/>
    <n v="0"/>
    <n v="0"/>
    <n v="0"/>
    <n v="0"/>
    <n v="0"/>
    <n v="0"/>
    <n v="0"/>
    <n v="0"/>
    <m/>
    <n v="15000000"/>
    <s v="RS*"/>
  </r>
  <r>
    <n v="31"/>
    <s v="A"/>
    <s v="TRANSPORTE Y VIVIENDA"/>
    <s v="RURAL"/>
    <s v="CONECTIVIDAD"/>
    <x v="4"/>
    <s v="PALENA"/>
    <n v="33"/>
    <s v="FAR"/>
    <s v="EJECUCION"/>
    <n v="30487244"/>
    <m/>
    <e v="#N/A"/>
    <s v="30487244EJECUCION"/>
    <s v="2929-119-LP19"/>
    <s v="CONSERVACION VEREDAS CALLES DE PALENA (C33)"/>
    <m/>
    <m/>
    <m/>
    <s v="4097 15,11,19"/>
    <n v="68104000"/>
    <m/>
    <m/>
    <n v="68106000"/>
    <n v="0"/>
    <m/>
    <n v="68106000"/>
    <n v="0"/>
    <n v="68106000"/>
    <n v="0"/>
    <n v="0"/>
    <n v="0"/>
    <n v="0"/>
    <n v="0"/>
    <n v="0"/>
    <n v="0"/>
    <n v="0"/>
    <n v="0"/>
    <n v="0"/>
    <n v="0"/>
    <n v="0"/>
    <m/>
    <n v="0"/>
    <s v="RS*"/>
  </r>
  <r>
    <n v="31"/>
    <s v="A"/>
    <s v="TRANSPORTE Y VIVIENDA"/>
    <s v="RURAL"/>
    <s v="SOCIAL"/>
    <x v="4"/>
    <s v="PALENA"/>
    <n v="33"/>
    <s v="FAR"/>
    <s v="EJECUCION"/>
    <n v="30135233"/>
    <m/>
    <e v="#N/A"/>
    <s v="30135233EJECUCION"/>
    <s v="2929-21-LR20"/>
    <s v="MEJORAMIENTO CIRCUITO PEATONAL HISTORICO COMUNA DE PALENA"/>
    <s v="* CERT. CORE 333 10.10.19 - AUMENTO PPTO ($ 2.433.282.000)"/>
    <m/>
    <m/>
    <s v="4164 25,11,19"/>
    <n v="2433282000"/>
    <m/>
    <m/>
    <n v="2433282000"/>
    <n v="0"/>
    <m/>
    <n v="494814115"/>
    <n v="0"/>
    <n v="494814115"/>
    <n v="0"/>
    <n v="0"/>
    <n v="0"/>
    <n v="0"/>
    <n v="0"/>
    <n v="0"/>
    <n v="0"/>
    <n v="0"/>
    <n v="0"/>
    <n v="0"/>
    <n v="0"/>
    <n v="0"/>
    <m/>
    <n v="1938467885"/>
    <s v="RS"/>
  </r>
  <r>
    <n v="31"/>
    <s v="N"/>
    <s v="TRANSPORTE Y VIVIENDA"/>
    <s v="RURAL"/>
    <s v="SOCIAL"/>
    <x v="4"/>
    <s v="PAL"/>
    <n v="33"/>
    <s v="PV"/>
    <s v="PREFACTIBILIDAD"/>
    <n v="30384235"/>
    <m/>
    <m/>
    <s v="30384235PREFACTIBILIDAD"/>
    <m/>
    <s v="** CONSTRUCCION CONEXION VIAL SECTOR PALENA - LAGO PALENA"/>
    <s v="* CERT. CORE 152 05,20 - INCORPORA INICAITIVA"/>
    <m/>
    <m/>
    <m/>
    <m/>
    <m/>
    <m/>
    <n v="814000000"/>
    <n v="0"/>
    <m/>
    <n v="0"/>
    <n v="0"/>
    <n v="0"/>
    <n v="0"/>
    <n v="0"/>
    <n v="0"/>
    <n v="0"/>
    <n v="0"/>
    <n v="0"/>
    <n v="0"/>
    <n v="0"/>
    <n v="0"/>
    <n v="0"/>
    <n v="0"/>
    <n v="0"/>
    <m/>
    <n v="81400000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3445388000"/>
    <n v="0"/>
    <m/>
    <n v="677920115"/>
    <n v="0"/>
    <n v="677920115"/>
    <n v="0"/>
    <n v="0"/>
    <n v="0"/>
    <n v="0"/>
    <n v="0"/>
    <n v="0"/>
    <n v="0"/>
    <n v="0"/>
    <n v="0"/>
    <n v="0"/>
    <n v="0"/>
    <n v="0"/>
    <m/>
    <n v="276746788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COMUNA DE  PALENA"/>
    <m/>
    <m/>
    <m/>
    <m/>
    <m/>
    <m/>
    <m/>
    <n v="4577760000"/>
    <n v="657416086"/>
    <m/>
    <n v="1152876029"/>
    <n v="62992534"/>
    <n v="1089883495"/>
    <n v="0"/>
    <n v="0"/>
    <n v="0"/>
    <n v="0"/>
    <n v="0"/>
    <n v="0"/>
    <n v="5357276"/>
    <n v="0"/>
    <n v="3380268"/>
    <n v="54254990"/>
    <n v="0"/>
    <n v="0"/>
    <m/>
    <n v="276746788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PROVINCI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A"/>
    <s v="TRANSPORTE Y VIVIENDA"/>
    <s v="RURAL"/>
    <s v="CONECTIVIDAD"/>
    <x v="4"/>
    <s v="PROV. PALENA"/>
    <n v="34"/>
    <s v="PV"/>
    <s v="EJECUCION"/>
    <n v="30342673"/>
    <s v="V"/>
    <s v="Fabricio Carra Paredes"/>
    <s v="30342673EJECUCION"/>
    <m/>
    <s v="CONSTRUCION CAMINO RUTA  W 807 SECTOR PUENTE NEGRO PTE. AQUELLAS"/>
    <m/>
    <m/>
    <m/>
    <m/>
    <m/>
    <m/>
    <m/>
    <n v="9788091000"/>
    <n v="131704474"/>
    <m/>
    <n v="139652045"/>
    <n v="1580902"/>
    <n v="138071143"/>
    <n v="0"/>
    <n v="0"/>
    <n v="0"/>
    <n v="0"/>
    <n v="0"/>
    <n v="1491328"/>
    <n v="0"/>
    <n v="0"/>
    <n v="0"/>
    <n v="0"/>
    <n v="89574"/>
    <n v="0"/>
    <m/>
    <n v="9516734481"/>
    <s v="RS"/>
  </r>
  <r>
    <n v="31"/>
    <s v="A"/>
    <s v="TRANSPORTE Y VIVIENDA"/>
    <s v="RURAL"/>
    <s v="CONECTIVIDAD"/>
    <x v="4"/>
    <s v="PROV. PALENA"/>
    <n v="34"/>
    <s v="PV"/>
    <s v="EJECUCION"/>
    <n v="30342679"/>
    <s v="V"/>
    <s v="Fabricio Carra Paredes"/>
    <s v="30342679EJECUCION"/>
    <m/>
    <s v="CONSERVACION PERIODICA, CAMINO BASICO ROL W-813 Y ROL W-815 (C33)"/>
    <s v="* CERT. CORE 21 02.19 - AUMENTA ITEM OBRAS CIVILES Y ACTUALIZA COSTO."/>
    <m/>
    <m/>
    <m/>
    <m/>
    <m/>
    <m/>
    <n v="4990418000"/>
    <n v="702332859"/>
    <m/>
    <n v="4079844413"/>
    <n v="3996901413"/>
    <n v="82943000"/>
    <n v="0"/>
    <n v="0"/>
    <n v="0"/>
    <n v="0"/>
    <n v="0"/>
    <n v="0"/>
    <n v="996348803"/>
    <n v="305238896"/>
    <n v="659311844"/>
    <n v="1004277006"/>
    <n v="869201596"/>
    <n v="162523268"/>
    <m/>
    <n v="208240728"/>
    <s v="RS*"/>
  </r>
  <r>
    <n v="29"/>
    <s v="N"/>
    <s v="SALUD"/>
    <s v="URBANO"/>
    <s v="SALUD"/>
    <x v="4"/>
    <s v="PROV. PALENA"/>
    <n v="34"/>
    <s v="LIBRE"/>
    <s v="EJECUCION"/>
    <n v="30428989"/>
    <m/>
    <m/>
    <s v="30428989EJECUCION"/>
    <m/>
    <s v="** ADQUISICION EQUIPOS Y EQUIPAMIENTO PARA HOSPITALES PROVINCIA DE PALENA (C33)"/>
    <s v="* CERT. CORE 76 03.2020 - APRUEBA INCORPORAR ARRASTRE PPTO20"/>
    <m/>
    <m/>
    <m/>
    <m/>
    <m/>
    <m/>
    <n v="505927000"/>
    <n v="451230101"/>
    <m/>
    <n v="6378765"/>
    <n v="6378765"/>
    <n v="0"/>
    <m/>
    <m/>
    <m/>
    <m/>
    <m/>
    <n v="0"/>
    <n v="6378765"/>
    <n v="0"/>
    <n v="0"/>
    <n v="0"/>
    <m/>
    <m/>
    <m/>
    <n v="48318134"/>
    <s v="RS*"/>
  </r>
  <r>
    <n v="31"/>
    <s v="A"/>
    <s v="TRANSPORTE Y VIVIENDA"/>
    <s v="RURAL"/>
    <s v="CONECTIVIDAD"/>
    <x v="4"/>
    <s v="PROV. PALENA"/>
    <n v="34"/>
    <s v="PV"/>
    <s v="EJECUCION"/>
    <n v="30371674"/>
    <s v="V"/>
    <s v="Fabricio Carra Paredes"/>
    <s v="30371674EJECUCION"/>
    <m/>
    <s v="REPOSICION TERMINAL PORTUARIO DE CHAITEN"/>
    <m/>
    <m/>
    <m/>
    <m/>
    <m/>
    <m/>
    <m/>
    <n v="2400000000"/>
    <n v="557673192"/>
    <m/>
    <n v="717057000"/>
    <n v="419806542"/>
    <n v="297250458"/>
    <n v="0"/>
    <n v="0"/>
    <n v="0"/>
    <n v="0"/>
    <n v="0"/>
    <n v="0"/>
    <n v="0"/>
    <n v="0"/>
    <n v="0"/>
    <n v="0"/>
    <n v="0"/>
    <n v="419806542"/>
    <m/>
    <n v="1125269808"/>
    <s v="RS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17684436000"/>
    <n v="1842940626"/>
    <m/>
    <n v="4942932223"/>
    <n v="4424667622"/>
    <n v="518264601"/>
    <n v="0"/>
    <n v="0"/>
    <n v="0"/>
    <n v="0"/>
    <n v="0"/>
    <n v="1491328"/>
    <n v="1002727568"/>
    <n v="305238896"/>
    <n v="659311844"/>
    <n v="1004277006"/>
    <n v="869291170"/>
    <n v="582329810"/>
    <m/>
    <n v="1089856315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MULTISECTORIAL"/>
    <s v="RURAL"/>
    <s v="SOCIAL"/>
    <x v="4"/>
    <s v="PROV. PALENA"/>
    <n v="34"/>
    <s v="LIBRE"/>
    <s v="EJECUCION"/>
    <n v="30398377"/>
    <m/>
    <e v="#N/A"/>
    <s v="30398377EJECUCION"/>
    <m/>
    <s v="ADQUISICION EQUIPOS GPS BIENES NACIONALES PALENA (C33)"/>
    <m/>
    <m/>
    <m/>
    <m/>
    <m/>
    <m/>
    <m/>
    <n v="33689000"/>
    <n v="0"/>
    <m/>
    <n v="33689000"/>
    <n v="0"/>
    <n v="33689000"/>
    <n v="0"/>
    <n v="0"/>
    <n v="0"/>
    <n v="0"/>
    <n v="0"/>
    <n v="0"/>
    <n v="0"/>
    <n v="0"/>
    <n v="0"/>
    <n v="0"/>
    <n v="0"/>
    <n v="0"/>
    <m/>
    <n v="0"/>
    <s v="RS*"/>
  </r>
  <r>
    <n v="31"/>
    <s v="A"/>
    <s v="TRANSPORTE Y VIVIENDA"/>
    <s v="RURAL"/>
    <s v="CONECTIVIDAD"/>
    <x v="4"/>
    <s v="PROV. PALENA"/>
    <n v="34"/>
    <s v="PV"/>
    <s v="EJECUCION"/>
    <n v="30384677"/>
    <s v="V"/>
    <e v="#N/A"/>
    <s v="30384677EJECUCION"/>
    <m/>
    <s v="MEJORAMIENTO RUTA 235-CH SECTOR V. S. LUCIA-P. RAMIREZ, PROV. PALENA"/>
    <m/>
    <m/>
    <m/>
    <m/>
    <m/>
    <m/>
    <m/>
    <n v="25923943000"/>
    <n v="0"/>
    <m/>
    <n v="914406005"/>
    <n v="0"/>
    <n v="914406005"/>
    <n v="0"/>
    <n v="0"/>
    <n v="0"/>
    <n v="0"/>
    <n v="0"/>
    <n v="0"/>
    <n v="0"/>
    <n v="0"/>
    <n v="0"/>
    <n v="0"/>
    <n v="0"/>
    <n v="0"/>
    <m/>
    <n v="25009536995"/>
    <s v="RS"/>
  </r>
  <r>
    <n v="31"/>
    <s v="A"/>
    <s v="TRANSPORTE Y VIVIENDA"/>
    <s v="RURAL"/>
    <s v="CONECTIVIDAD"/>
    <x v="4"/>
    <s v="PROV. PALENA"/>
    <n v="34"/>
    <s v="FAR"/>
    <s v="EJECUCION"/>
    <n v="30468388"/>
    <m/>
    <s v="Fabricio Carra Paredes"/>
    <s v="30468388EJECUCION"/>
    <m/>
    <s v="AMPLIACION AREA DE MOVIMIENTO PEQUEÑO AERODROMO ALTO PALENA"/>
    <m/>
    <m/>
    <m/>
    <m/>
    <m/>
    <m/>
    <m/>
    <n v="425541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5541000"/>
    <s v="RS"/>
  </r>
  <r>
    <n v="31"/>
    <s v="A"/>
    <s v="TRANSPORTE Y VIVIENDA"/>
    <s v="URBANO"/>
    <s v="CONECTIVIDAD"/>
    <x v="4"/>
    <s v="PROV. PALENA"/>
    <n v="34"/>
    <s v="FAR"/>
    <s v="EJECUCION"/>
    <n v="30458729"/>
    <m/>
    <s v="Fabricio Carra Paredes"/>
    <s v="30458729EJECUCION"/>
    <m/>
    <s v="MEJORAMIENTO AREA DE MOVIMIENTO PEQUEÑO AERODROMO AYACARA"/>
    <m/>
    <m/>
    <m/>
    <m/>
    <m/>
    <m/>
    <m/>
    <n v="742950000"/>
    <n v="0"/>
    <m/>
    <n v="742950000"/>
    <n v="0"/>
    <n v="742950000"/>
    <n v="0"/>
    <n v="0"/>
    <n v="0"/>
    <n v="0"/>
    <n v="0"/>
    <n v="0"/>
    <n v="0"/>
    <n v="0"/>
    <n v="0"/>
    <n v="0"/>
    <n v="0"/>
    <n v="0"/>
    <m/>
    <n v="0"/>
    <s v="RS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7126123000"/>
    <n v="0"/>
    <m/>
    <n v="1941045005"/>
    <n v="0"/>
    <n v="1941045005"/>
    <n v="0"/>
    <n v="0"/>
    <n v="0"/>
    <n v="0"/>
    <n v="0"/>
    <n v="0"/>
    <n v="0"/>
    <n v="0"/>
    <n v="0"/>
    <n v="0"/>
    <n v="0"/>
    <n v="0"/>
    <m/>
    <n v="2518507799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 PROVINCIALES"/>
    <m/>
    <m/>
    <m/>
    <m/>
    <m/>
    <m/>
    <m/>
    <n v="44810559000"/>
    <n v="1842940626"/>
    <m/>
    <n v="6883977228"/>
    <n v="4424667622"/>
    <n v="2459309606"/>
    <n v="0"/>
    <n v="0"/>
    <n v="0"/>
    <n v="0"/>
    <n v="0"/>
    <n v="1491328"/>
    <n v="1002727568"/>
    <n v="305238896"/>
    <n v="659311844"/>
    <n v="1004277006"/>
    <n v="869291170"/>
    <n v="582329810"/>
    <m/>
    <n v="36083641146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PROVINCIA DE PALENA"/>
    <m/>
    <m/>
    <m/>
    <m/>
    <m/>
    <m/>
    <m/>
    <n v="78850978922"/>
    <n v="10487580278"/>
    <m/>
    <n v="14415978013"/>
    <n v="6065476811"/>
    <n v="8350501202"/>
    <n v="0"/>
    <n v="0"/>
    <n v="0"/>
    <n v="0"/>
    <n v="0"/>
    <n v="116296398"/>
    <n v="1346603055"/>
    <n v="447190203"/>
    <n v="1234895134"/>
    <n v="1224982683"/>
    <n v="1092307314"/>
    <n v="603202024"/>
    <m/>
    <n v="53947420631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REGIONALES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"/>
    <s v="A"/>
    <s v="DEFENSA Y SEGURIDAD"/>
    <s v="URBANO"/>
    <s v="SOCIAL"/>
    <x v="5"/>
    <s v="REGIONAL"/>
    <n v="35"/>
    <s v="LIBRE"/>
    <s v="EJECUCION"/>
    <n v="30137152"/>
    <m/>
    <s v="PAULINA HUIDOBRO JARAMI"/>
    <s v="30137152EJECUCION"/>
    <m/>
    <s v="EQUIPAMIENTO DE RESCATE Y REPOSICION VEHICULOS PARA GOPE(C33)"/>
    <m/>
    <m/>
    <m/>
    <m/>
    <m/>
    <m/>
    <m/>
    <n v="247558000"/>
    <n v="223324087"/>
    <m/>
    <n v="24233913"/>
    <n v="0"/>
    <n v="24233913"/>
    <n v="0"/>
    <n v="0"/>
    <n v="0"/>
    <n v="0"/>
    <n v="0"/>
    <n v="0"/>
    <n v="0"/>
    <n v="0"/>
    <n v="0"/>
    <n v="0"/>
    <n v="0"/>
    <n v="0"/>
    <m/>
    <n v="0"/>
    <s v="RS*"/>
  </r>
  <r>
    <n v="29"/>
    <s v="A"/>
    <s v="RECURSOS NATURALES Y MEDIO AMBIENTE"/>
    <s v="URBANO"/>
    <s v="MEDIO AMBIENTE"/>
    <x v="5"/>
    <s v="REGIONAL"/>
    <n v="35"/>
    <s v="LIBRE"/>
    <s v="EJECUCION"/>
    <n v="40016016"/>
    <m/>
    <e v="#N/A"/>
    <s v="40016016EJECUCION"/>
    <m/>
    <s v="** ADQUISICION 6 EXCAVADORAS Y 1 CAMION TOLVA PARA OPERACIÓN EXCLUSIVA DE VERTEDEROS COMUNALES (C33)"/>
    <s v="* CERT. CORE 181 06.19 - APRUEBA CONVENIO GORE-SUBDERE RSD CHILOE. * CERT. CORE 208 07.19 - APRUEBA PROYECTO INCORPORAR CON CARGO FNDR. / * CERT. CORE 138 04.2020 INCORPORA"/>
    <m/>
    <m/>
    <m/>
    <m/>
    <m/>
    <m/>
    <n v="990000000"/>
    <n v="889336623"/>
    <m/>
    <n v="73686251"/>
    <n v="73686251"/>
    <n v="0"/>
    <n v="0"/>
    <n v="0"/>
    <n v="0"/>
    <n v="0"/>
    <n v="0"/>
    <n v="0"/>
    <n v="0"/>
    <n v="73686251"/>
    <n v="0"/>
    <n v="0"/>
    <n v="0"/>
    <n v="0"/>
    <m/>
    <n v="26977126"/>
    <s v="RS*"/>
  </r>
  <r>
    <n v="29"/>
    <s v="A"/>
    <s v="SALUD"/>
    <s v="URBANO"/>
    <s v="SOCIAL"/>
    <x v="5"/>
    <s v="REGIONAL"/>
    <n v="35"/>
    <s v="LIBRE"/>
    <s v="EJECUCION"/>
    <n v="30488894"/>
    <m/>
    <s v="KARIN DEL CARMEN BARRIENTOS WINTER"/>
    <s v="30488894EJECUCION"/>
    <m/>
    <s v="ADQUISICION EQUIPOS Y EQUIPAMIENTO PARA HABILITACION PABELLON CMA (C33)"/>
    <m/>
    <m/>
    <m/>
    <m/>
    <m/>
    <m/>
    <m/>
    <n v="1055427000"/>
    <n v="353735369"/>
    <m/>
    <n v="544127399"/>
    <n v="14320520"/>
    <n v="529806879"/>
    <n v="0"/>
    <n v="0"/>
    <n v="0"/>
    <n v="0"/>
    <n v="0"/>
    <n v="0"/>
    <n v="0"/>
    <n v="0"/>
    <n v="0"/>
    <n v="11005120"/>
    <n v="3315400"/>
    <n v="0"/>
    <m/>
    <n v="157564232"/>
    <s v="RS*"/>
  </r>
  <r>
    <n v="31"/>
    <s v="A"/>
    <s v="SALUD"/>
    <s v="URBANO"/>
    <s v="SOCIAL"/>
    <x v="5"/>
    <s v="REGIONAL"/>
    <n v="35"/>
    <s v="LIBRE"/>
    <s v="EJECUCION"/>
    <n v="30364305"/>
    <m/>
    <s v="PAULINA HUIDOBRO JARAMI"/>
    <s v="30364305EJECUCION"/>
    <m/>
    <s v="* AMPLIACION Y MEJORAMIENTO INSTITUTO TELETON"/>
    <s v="* CERT. CORE 07 01.20 - AUMENTO PPTO"/>
    <m/>
    <m/>
    <m/>
    <m/>
    <m/>
    <m/>
    <n v="3185189000"/>
    <n v="1218736828"/>
    <m/>
    <n v="1716506580"/>
    <n v="1684972272"/>
    <n v="31534308"/>
    <n v="0"/>
    <n v="0"/>
    <n v="0"/>
    <n v="0"/>
    <n v="0"/>
    <n v="126029924"/>
    <n v="118708393"/>
    <n v="130281311"/>
    <n v="155004713"/>
    <n v="275319513"/>
    <n v="431245293"/>
    <n v="448383125"/>
    <m/>
    <n v="249945592"/>
    <s v="RS"/>
  </r>
  <r>
    <n v="31"/>
    <s v="A"/>
    <s v="MULTISECTORIAL"/>
    <s v="URBANO"/>
    <s v="SOCIAL"/>
    <x v="5"/>
    <s v="REGIONAL"/>
    <n v="35"/>
    <s v="LIBRE"/>
    <s v="EJECUCION"/>
    <n v="30460140"/>
    <m/>
    <s v="PAULINA HUIDOBRO JARAMI"/>
    <s v="30460140EJECUCION"/>
    <m/>
    <s v="CONSERVACION FACHADAS Y CIRCULACIONES CENTRO ADMINISTRATIVO REGIONAL (C33)"/>
    <s v="* CERT. CORE 359 24.10.19 - APRUEBA AUMENTO PPTO ($ 3.712.173.268)"/>
    <m/>
    <m/>
    <m/>
    <m/>
    <m/>
    <m/>
    <n v="3712173268"/>
    <n v="3229143874"/>
    <m/>
    <n v="320689329"/>
    <n v="320689329"/>
    <n v="0"/>
    <n v="0"/>
    <n v="0"/>
    <n v="0"/>
    <n v="0"/>
    <n v="0"/>
    <n v="0"/>
    <n v="5200000"/>
    <n v="235814672"/>
    <n v="47413613"/>
    <n v="22761044"/>
    <n v="0"/>
    <n v="9500000"/>
    <m/>
    <n v="162340065"/>
    <s v="RS*"/>
  </r>
  <r>
    <n v="33"/>
    <s v="N"/>
    <s v="TRANSPORTE Y VIVIENDA"/>
    <s v="URBANO"/>
    <s v="CONECTIVIDAD"/>
    <x v="5"/>
    <s v="REGIONAL"/>
    <n v="35"/>
    <s v="FAR"/>
    <s v="EJECUCION"/>
    <n v="30429222"/>
    <m/>
    <m/>
    <s v="30429222EJECUCION"/>
    <m/>
    <s v="TRANSFERENCIA PROGRAMA RENOVACION FLOTA LOCOMOCION COLECTIVA"/>
    <m/>
    <m/>
    <m/>
    <m/>
    <m/>
    <m/>
    <m/>
    <n v="2519167000"/>
    <n v="0"/>
    <m/>
    <n v="2519167000"/>
    <n v="588242000"/>
    <n v="1930925000"/>
    <n v="0"/>
    <n v="0"/>
    <n v="0"/>
    <n v="0"/>
    <n v="0"/>
    <n v="0"/>
    <n v="164200000"/>
    <n v="123800000"/>
    <n v="299500000"/>
    <n v="0"/>
    <n v="742000"/>
    <n v="0"/>
    <m/>
    <n v="0"/>
    <s v="RS"/>
  </r>
  <r>
    <n v="33"/>
    <s v="N"/>
    <s v="MULTISECTORIAL"/>
    <s v="URBANO"/>
    <s v="SOCIAL"/>
    <x v="5"/>
    <s v="REGIONAL"/>
    <n v="35"/>
    <s v="FRIL"/>
    <s v="EJECUCION"/>
    <s v="FRIL"/>
    <m/>
    <m/>
    <s v="FRILEJECUCION"/>
    <m/>
    <s v="FONDO REGIONAL DE INICIATIVAS LOCAL"/>
    <m/>
    <m/>
    <m/>
    <m/>
    <m/>
    <m/>
    <m/>
    <n v="1740827000"/>
    <n v="0"/>
    <m/>
    <n v="1731354938"/>
    <n v="0"/>
    <n v="1731354938"/>
    <m/>
    <m/>
    <m/>
    <m/>
    <m/>
    <n v="0"/>
    <m/>
    <n v="0"/>
    <n v="0"/>
    <n v="0"/>
    <n v="0"/>
    <n v="0"/>
    <m/>
    <n v="9472062"/>
    <s v="RS**"/>
  </r>
  <r>
    <n v="24"/>
    <s v="N"/>
    <s v="ENERGIA"/>
    <s v="RURAL"/>
    <s v="SOCIAL"/>
    <x v="5"/>
    <s v="REGIONAL"/>
    <n v="35"/>
    <s v="ENERGIZACION"/>
    <s v="EJECUCION"/>
    <s v="S/C"/>
    <m/>
    <m/>
    <s v="S/CEJECUCION"/>
    <m/>
    <s v="TRANSFERENCIA SUBSIDIO OPERACION SISTEMA DE AUTOGENERACION DE ENERGIA EN ZONAS AISLADAS"/>
    <m/>
    <m/>
    <m/>
    <m/>
    <m/>
    <m/>
    <m/>
    <n v="2574984000"/>
    <n v="0"/>
    <m/>
    <n v="1929760895"/>
    <n v="0"/>
    <n v="1929760895"/>
    <n v="0"/>
    <n v="0"/>
    <n v="0"/>
    <n v="0"/>
    <n v="0"/>
    <n v="0"/>
    <n v="0"/>
    <n v="0"/>
    <n v="0"/>
    <n v="0"/>
    <n v="0"/>
    <n v="0"/>
    <m/>
    <n v="645223105"/>
    <s v="RS***"/>
  </r>
  <r>
    <n v="24"/>
    <s v="N"/>
    <s v="ENERGIA"/>
    <s v="RURAL"/>
    <s v="SOCIAL"/>
    <x v="5"/>
    <s v="REGIONAL"/>
    <n v="35"/>
    <s v="ENERGIZACION"/>
    <s v="EJECUCION"/>
    <s v="S/C"/>
    <m/>
    <m/>
    <s v="S/CEJECUCION"/>
    <m/>
    <s v="TRANSFERENCIA SUBSIDIO OPERACION SISTEMA DE AUTO. GENER. DE ENER. EN ZON. AISLADAS-MUNICIPAL"/>
    <m/>
    <m/>
    <m/>
    <m/>
    <m/>
    <m/>
    <m/>
    <n v="665771000"/>
    <n v="0"/>
    <m/>
    <n v="665771000"/>
    <n v="0"/>
    <n v="665771000"/>
    <n v="0"/>
    <n v="0"/>
    <n v="0"/>
    <n v="0"/>
    <n v="0"/>
    <n v="0"/>
    <n v="0"/>
    <n v="0"/>
    <n v="0"/>
    <n v="0"/>
    <n v="0"/>
    <n v="0"/>
    <m/>
    <n v="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MUNICIPALIDADES - APLICACIÓN LETRA F) NUMERAL 2.3 GLOSA 02 GOBIERNOS REGIONALES"/>
    <m/>
    <m/>
    <m/>
    <m/>
    <m/>
    <m/>
    <m/>
    <n v="815487000"/>
    <n v="0"/>
    <m/>
    <n v="0"/>
    <n v="0"/>
    <n v="0"/>
    <n v="0"/>
    <n v="0"/>
    <n v="0"/>
    <n v="0"/>
    <n v="0"/>
    <n v="0"/>
    <n v="0"/>
    <n v="0"/>
    <n v="0"/>
    <n v="0"/>
    <n v="0"/>
    <n v="0"/>
    <m/>
    <n v="815487000"/>
    <s v="RS***"/>
  </r>
  <r>
    <n v="24"/>
    <s v="N"/>
    <s v="MULTISECTORIAL"/>
    <s v="RURAL"/>
    <s v="SOCIAL"/>
    <x v="5"/>
    <s v="REGIONAL"/>
    <n v="35"/>
    <s v="LIBRE"/>
    <s v="EJECUCION"/>
    <s v="S/C"/>
    <m/>
    <m/>
    <s v="S/CEJECUCION"/>
    <m/>
    <s v="APLICACION NUMERAL 2.1 GLOSA COMUN PARA GOBIERNOS REGIONALES"/>
    <m/>
    <m/>
    <m/>
    <m/>
    <m/>
    <m/>
    <m/>
    <n v="3962058000"/>
    <n v="0"/>
    <m/>
    <n v="4676274000"/>
    <n v="1271325"/>
    <n v="4675002675"/>
    <n v="0"/>
    <n v="0"/>
    <n v="0"/>
    <n v="0"/>
    <n v="0"/>
    <n v="0"/>
    <n v="0"/>
    <n v="0"/>
    <n v="0"/>
    <n v="0"/>
    <n v="1271325"/>
    <n v="0"/>
    <m/>
    <n v="-714216000"/>
    <s v="RS*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1468641268"/>
    <n v="5914276781"/>
    <m/>
    <n v="14201571305"/>
    <n v="2683181697"/>
    <n v="11518389608"/>
    <n v="0"/>
    <n v="0"/>
    <n v="0"/>
    <n v="0"/>
    <n v="0"/>
    <n v="126029924"/>
    <n v="288108393"/>
    <n v="563582234"/>
    <n v="501918326"/>
    <n v="309085677"/>
    <n v="436574018"/>
    <n v="457883125"/>
    <m/>
    <n v="135279318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"/>
    <s v="N"/>
    <s v="MULTISECTORIAL"/>
    <s v="URBANO"/>
    <s v="SOCIAL"/>
    <x v="5"/>
    <s v="REGIONAL"/>
    <n v="35"/>
    <s v="PIR"/>
    <s v="EJECUCION"/>
    <n v="40015918"/>
    <m/>
    <m/>
    <s v="40015918EJECUCION"/>
    <m/>
    <s v="** DIAGNOSTICO PLAN MARCO DE DESARROLLO TERRITORIAL (PMDT) TERRITORIO NORTE Y PIRDT"/>
    <s v="* CERT. CORE 50 07.02.20 - APRUEBA ESTUDIO"/>
    <m/>
    <m/>
    <m/>
    <m/>
    <m/>
    <m/>
    <n v="201000000"/>
    <n v="0"/>
    <m/>
    <n v="120000000"/>
    <n v="0"/>
    <n v="120000000"/>
    <m/>
    <m/>
    <m/>
    <m/>
    <m/>
    <n v="0"/>
    <n v="0"/>
    <n v="0"/>
    <n v="0"/>
    <n v="0"/>
    <n v="0"/>
    <n v="0"/>
    <m/>
    <n v="81000000"/>
    <s v="RS**"/>
  </r>
  <r>
    <n v="29"/>
    <s v="N"/>
    <s v="DEFENSA Y SEGURIDAD"/>
    <s v="URBANO"/>
    <s v="SOCIAL"/>
    <x v="5"/>
    <s v="REGIONAL"/>
    <n v="35"/>
    <s v="LIBRE"/>
    <s v="EJECUCION"/>
    <s v="S/C"/>
    <m/>
    <m/>
    <s v="S/CEJECUCION"/>
    <m/>
    <s v="ACUERDO REGIONAL DE SEGURIDAD LOS LAGOS ENTRE GORE-CARABINEROS-PDI 2020-2023"/>
    <s v="* CERT. CORE 34 07.02.20 - APRUEBA INICIATIVA CARGO FNDR"/>
    <m/>
    <m/>
    <m/>
    <m/>
    <m/>
    <m/>
    <n v="8225679730"/>
    <n v="0"/>
    <m/>
    <n v="0"/>
    <n v="0"/>
    <n v="0"/>
    <m/>
    <m/>
    <m/>
    <m/>
    <m/>
    <n v="0"/>
    <n v="0"/>
    <n v="0"/>
    <n v="0"/>
    <m/>
    <n v="0"/>
    <n v="0"/>
    <m/>
    <n v="8225679730"/>
    <s v="RS**"/>
  </r>
  <r>
    <n v="31"/>
    <s v="N"/>
    <s v="MULTISECTORIAL"/>
    <s v="URBANO"/>
    <s v="CONECTIVIDAD"/>
    <x v="5"/>
    <s v="REGIONAL"/>
    <n v="35"/>
    <s v="LIBRE"/>
    <s v="EJECUCION"/>
    <n v="30091074"/>
    <m/>
    <m/>
    <s v="30091074EJECUCION"/>
    <m/>
    <s v="** CONSTRUCCION BIBLIOTECA REGIONAL LOS LAGOS, PUERTO MONTT"/>
    <s v="* CERT. CORE 93 003.2020 - INCORPORAR AL PPTO 2020 50% CARGO FNDR"/>
    <m/>
    <m/>
    <m/>
    <m/>
    <m/>
    <m/>
    <n v="5484512000"/>
    <n v="0"/>
    <m/>
    <n v="0"/>
    <n v="0"/>
    <n v="0"/>
    <m/>
    <m/>
    <m/>
    <m/>
    <m/>
    <n v="0"/>
    <n v="0"/>
    <n v="0"/>
    <n v="0"/>
    <n v="0"/>
    <m/>
    <m/>
    <m/>
    <n v="5484512000"/>
    <s v="RE"/>
  </r>
  <r>
    <n v="33"/>
    <s v="A"/>
    <s v="SILVOAGROPECUARIO"/>
    <s v="RURAL"/>
    <s v="SOCIAL"/>
    <x v="5"/>
    <s v="REGIONAL"/>
    <n v="35"/>
    <s v="LIBRE"/>
    <s v="EJECUCION"/>
    <s v="S/C"/>
    <m/>
    <m/>
    <s v="S/CEJECUCION"/>
    <m/>
    <s v="ACUERDO ZONAS CONTIGUA A PESCADORES ARTESANALES LOS LAGOS-AYSEN"/>
    <s v="* CERT. CORE 101 03.2020 REDISTRIBUYE $1.000 MILLONES EN PROGRAMA BENTONICO"/>
    <m/>
    <m/>
    <m/>
    <m/>
    <m/>
    <m/>
    <n v="2100000000"/>
    <n v="0"/>
    <m/>
    <n v="700000000"/>
    <n v="0"/>
    <n v="700000000"/>
    <n v="0"/>
    <n v="0"/>
    <n v="0"/>
    <n v="0"/>
    <n v="0"/>
    <n v="0"/>
    <n v="0"/>
    <n v="0"/>
    <n v="0"/>
    <n v="0"/>
    <n v="0"/>
    <n v="0"/>
    <m/>
    <n v="1400000000"/>
    <s v="RS**"/>
  </r>
  <r>
    <n v="29"/>
    <s v="A"/>
    <s v="DEFENSA Y SEGURIDAD"/>
    <s v="URBANO"/>
    <s v="SOCIAL"/>
    <x v="5"/>
    <s v="REGIONAL"/>
    <n v="35"/>
    <s v="LIBRE"/>
    <s v="EJECUCION"/>
    <n v="40008200"/>
    <m/>
    <e v="#N/A"/>
    <s v="40008200EJECUCION"/>
    <m/>
    <s v="REPOSICION EQUIPAMIENTO TECNOLOGICO LABORATORIO DE CRIMINALISTICA REGIONAL PUERTO MONTT (C33)"/>
    <s v="* CERT. CORE 307 26.09.19 - APRUEBA REPOSICION EQUIPAMIENTO"/>
    <m/>
    <m/>
    <s v="280 29,01,20"/>
    <n v="244473000"/>
    <m/>
    <m/>
    <n v="244473000"/>
    <n v="0"/>
    <m/>
    <n v="244473000"/>
    <n v="0"/>
    <n v="244473000"/>
    <n v="0"/>
    <n v="0"/>
    <n v="0"/>
    <n v="0"/>
    <n v="0"/>
    <n v="0"/>
    <n v="0"/>
    <n v="0"/>
    <n v="0"/>
    <n v="0"/>
    <n v="0"/>
    <n v="0"/>
    <m/>
    <n v="0"/>
    <s v="RS*"/>
  </r>
  <r>
    <n v="33"/>
    <s v="N"/>
    <s v="DEFENSA Y SEGURIDAD"/>
    <s v="URBANO"/>
    <s v="SOCIAL"/>
    <x v="5"/>
    <s v="REGIONAL"/>
    <n v="35"/>
    <s v="LIBRE"/>
    <s v="EJECUCION"/>
    <n v="40016388"/>
    <m/>
    <m/>
    <s v="40016388EJECUCION"/>
    <m/>
    <s v="TRANSFERENCIA ADQUISICION 12 CARROS Y 9 CAMIONETAS BOMBEROS - APORTE BOMBEROS REGION DE LOS LAGOS"/>
    <m/>
    <m/>
    <m/>
    <m/>
    <m/>
    <m/>
    <m/>
    <n v="2300000000"/>
    <n v="0"/>
    <m/>
    <n v="2300000000"/>
    <n v="0"/>
    <n v="2300000000"/>
    <m/>
    <m/>
    <m/>
    <m/>
    <m/>
    <n v="0"/>
    <n v="0"/>
    <n v="0"/>
    <n v="0"/>
    <n v="0"/>
    <n v="0"/>
    <n v="0"/>
    <m/>
    <n v="0"/>
    <s v="RS"/>
  </r>
  <r>
    <n v="22"/>
    <s v="A"/>
    <s v="MULTISECTORIAL"/>
    <s v="RURAL"/>
    <s v="SOCIAL"/>
    <x v="5"/>
    <s v="REGIONAL"/>
    <n v="35"/>
    <s v="LIBRE"/>
    <s v="EJECUCION"/>
    <n v="30430874"/>
    <m/>
    <e v="#N/A"/>
    <s v="30430874EJECUCION"/>
    <m/>
    <s v="ACTUALIZACION MODIFICACION Y REESTRUCTURACION DE LA PROPUESTA PROT (C33)"/>
    <m/>
    <m/>
    <m/>
    <m/>
    <m/>
    <m/>
    <m/>
    <n v="413944000"/>
    <n v="0"/>
    <m/>
    <n v="213944000"/>
    <n v="0"/>
    <n v="213944000"/>
    <n v="0"/>
    <n v="0"/>
    <n v="0"/>
    <n v="0"/>
    <n v="0"/>
    <n v="0"/>
    <n v="0"/>
    <n v="0"/>
    <n v="0"/>
    <n v="0"/>
    <n v="0"/>
    <n v="0"/>
    <m/>
    <n v="200000000"/>
    <s v="RS*"/>
  </r>
  <r>
    <n v="31"/>
    <s v="N"/>
    <s v="TRANSPORTE Y VIVIENDA"/>
    <s v="RURAL"/>
    <s v="CONECTIVIDAD"/>
    <x v="5"/>
    <s v="REGIONAL"/>
    <n v="35"/>
    <s v="LIBRE"/>
    <s v="EJECUCION"/>
    <n v="40020262"/>
    <s v="AC. COMPL."/>
    <m/>
    <s v="40020262EJECUCION"/>
    <m/>
    <s v="CONSERVACION DIVERSOS CAMINOS NO ENROLADOS DE LA REGION"/>
    <s v="* CERT. CORE 33 07.02.20 - APRUEBA / CERT. CORE 96 03.2020 APRUEBA CARTERA"/>
    <m/>
    <m/>
    <m/>
    <m/>
    <m/>
    <m/>
    <n v="550000000"/>
    <n v="0"/>
    <m/>
    <n v="104000000"/>
    <n v="0"/>
    <n v="104000000"/>
    <m/>
    <m/>
    <m/>
    <m/>
    <m/>
    <m/>
    <n v="0"/>
    <n v="0"/>
    <n v="0"/>
    <n v="0"/>
    <n v="0"/>
    <n v="0"/>
    <m/>
    <n v="446000000"/>
    <s v="RS*"/>
  </r>
  <r>
    <n v="31"/>
    <s v="N"/>
    <s v="TRANSPORTE Y VIVIENDA"/>
    <s v="RURAL"/>
    <s v="CONECTIVIDAD"/>
    <x v="5"/>
    <s v="REGIONAL"/>
    <n v="35"/>
    <s v="LIBRE"/>
    <s v="EJECUCION"/>
    <n v="40022424"/>
    <s v="AC. COMPL."/>
    <m/>
    <s v="40020259EJECUCION"/>
    <m/>
    <s v="* CONSERVACION DIVERSOS CAMINOS DE RIPIO, REGIÓN DE LOS LAGOS, AÑO 2020-2021 (C33)"/>
    <s v="* CERT. CORE 33 07.02.20 - APRUEBA / CERT. CORE 80 03.2020 MODIFICA NOMBRE / CERT. CORE 96 03.2020 APRUEBA CARTERA / CERT. CORE 174 06.2020 MODIFICA CODIGO, NOMBRE Y COSTO"/>
    <m/>
    <m/>
    <m/>
    <m/>
    <m/>
    <m/>
    <n v="2028090000"/>
    <n v="0"/>
    <m/>
    <n v="1400000000"/>
    <n v="0"/>
    <n v="1400000000"/>
    <m/>
    <m/>
    <m/>
    <m/>
    <m/>
    <n v="0"/>
    <n v="0"/>
    <n v="0"/>
    <n v="0"/>
    <n v="0"/>
    <n v="0"/>
    <n v="0"/>
    <m/>
    <n v="628090000"/>
    <s v="RS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21547698730"/>
    <n v="0"/>
    <m/>
    <n v="5082417000"/>
    <n v="0"/>
    <n v="5082417000"/>
    <n v="0"/>
    <n v="0"/>
    <n v="0"/>
    <n v="0"/>
    <n v="0"/>
    <n v="0"/>
    <n v="0"/>
    <n v="0"/>
    <n v="0"/>
    <n v="0"/>
    <n v="0"/>
    <n v="0"/>
    <m/>
    <n v="1646528173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TOTAL REGIONAL"/>
    <m/>
    <m/>
    <m/>
    <m/>
    <m/>
    <m/>
    <m/>
    <n v="43016339998"/>
    <n v="5914276781"/>
    <m/>
    <n v="19283988305"/>
    <n v="2683181697"/>
    <n v="16600806608"/>
    <n v="0"/>
    <n v="0"/>
    <n v="0"/>
    <n v="0"/>
    <n v="0"/>
    <n v="126029924"/>
    <n v="288108393"/>
    <n v="563582234"/>
    <n v="501918326"/>
    <n v="309085677"/>
    <n v="436574018"/>
    <n v="457883125"/>
    <m/>
    <n v="17818074912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FOMENTO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EJECUCION / LIQUIDACION / TERMINADA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A"/>
    <s v="SILVOAGROPECUARIO"/>
    <s v="RURAL"/>
    <s v="FOMENTO PRODUCTIVO"/>
    <x v="6"/>
    <s v="FOMENTO"/>
    <n v="36"/>
    <s v="PV"/>
    <s v="SEREMI DE AGRICULTURA"/>
    <n v="30341175"/>
    <s v="V"/>
    <s v="Luisa Adela  Macias Bahamonde"/>
    <s v="30341175SEREMI DE AGRICULTURA"/>
    <m/>
    <s v="PROGRAMA MEJORAMIENTO GENETICO OVINO/BOVINO TPV"/>
    <m/>
    <m/>
    <n v="622551000"/>
    <m/>
    <n v="600000000"/>
    <m/>
    <m/>
    <n v="600000000"/>
    <n v="256299083"/>
    <m/>
    <n v="341901000"/>
    <n v="40000000"/>
    <n v="301901000"/>
    <n v="0"/>
    <n v="0"/>
    <n v="0"/>
    <n v="0"/>
    <n v="0"/>
    <n v="0"/>
    <n v="0"/>
    <n v="0"/>
    <n v="0"/>
    <n v="40000000"/>
    <n v="0"/>
    <n v="0"/>
    <m/>
    <n v="1799917"/>
    <s v="RS**"/>
  </r>
  <r>
    <m/>
    <m/>
    <m/>
    <m/>
    <m/>
    <x v="0"/>
    <m/>
    <m/>
    <m/>
    <m/>
    <m/>
    <m/>
    <s v="Luisa Adela  Macias Bahamonde"/>
    <m/>
    <m/>
    <s v="CONSULTORIA"/>
    <m/>
    <m/>
    <n v="59926000"/>
    <m/>
    <n v="74219000"/>
    <m/>
    <m/>
    <n v="74219000"/>
    <m/>
    <m/>
    <m/>
    <m/>
    <m/>
    <m/>
    <m/>
    <m/>
    <m/>
    <m/>
    <m/>
    <m/>
    <m/>
    <m/>
    <m/>
    <m/>
    <m/>
    <m/>
    <n v="74219000"/>
    <m/>
  </r>
  <r>
    <m/>
    <m/>
    <m/>
    <m/>
    <m/>
    <x v="0"/>
    <m/>
    <m/>
    <m/>
    <m/>
    <m/>
    <m/>
    <s v="Luisa Adela  Macias Bahamonde"/>
    <m/>
    <m/>
    <s v="CONTRATACION DEL PROGRAMA"/>
    <m/>
    <m/>
    <n v="537030000"/>
    <m/>
    <n v="494461000"/>
    <m/>
    <m/>
    <n v="494461000"/>
    <m/>
    <m/>
    <m/>
    <m/>
    <m/>
    <m/>
    <m/>
    <m/>
    <m/>
    <m/>
    <m/>
    <m/>
    <m/>
    <m/>
    <m/>
    <m/>
    <m/>
    <m/>
    <n v="494461000"/>
    <m/>
  </r>
  <r>
    <m/>
    <m/>
    <m/>
    <m/>
    <m/>
    <x v="0"/>
    <m/>
    <m/>
    <m/>
    <m/>
    <m/>
    <m/>
    <s v="Luisa Adela  Macias Bahamonde"/>
    <m/>
    <m/>
    <s v="GASTOS ADMINISTRATIVOS"/>
    <m/>
    <m/>
    <n v="25595000"/>
    <m/>
    <n v="31320000"/>
    <m/>
    <m/>
    <n v="31320000"/>
    <m/>
    <m/>
    <m/>
    <m/>
    <m/>
    <m/>
    <m/>
    <m/>
    <m/>
    <m/>
    <m/>
    <m/>
    <m/>
    <m/>
    <m/>
    <m/>
    <m/>
    <m/>
    <n v="3132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INDAP"/>
    <n v="30341275"/>
    <s v="V"/>
    <s v="Luisa Adela  Macias Bahamonde"/>
    <s v="30341275INDAP"/>
    <m/>
    <s v="TRANSFERENCIA PROGRAMA REGULARIZACION DERECHO APROVECHAMIENTOS DE AGUA"/>
    <m/>
    <m/>
    <n v="198944000"/>
    <m/>
    <n v="203000000"/>
    <m/>
    <m/>
    <n v="203000000"/>
    <n v="184613176"/>
    <m/>
    <n v="3238418"/>
    <n v="0"/>
    <n v="3238418"/>
    <n v="0"/>
    <n v="0"/>
    <n v="0"/>
    <n v="0"/>
    <n v="0"/>
    <n v="0"/>
    <n v="0"/>
    <n v="0"/>
    <n v="0"/>
    <n v="0"/>
    <n v="0"/>
    <n v="0"/>
    <m/>
    <n v="15148406"/>
    <s v="RS**"/>
  </r>
  <r>
    <m/>
    <m/>
    <m/>
    <m/>
    <m/>
    <x v="0"/>
    <m/>
    <m/>
    <m/>
    <m/>
    <m/>
    <m/>
    <s v="Luisa Adela  Macias Bahamonde"/>
    <m/>
    <m/>
    <s v="CONSULTORIA"/>
    <m/>
    <m/>
    <m/>
    <m/>
    <n v="16000000"/>
    <m/>
    <m/>
    <n v="16000000"/>
    <m/>
    <m/>
    <m/>
    <m/>
    <m/>
    <m/>
    <m/>
    <m/>
    <m/>
    <m/>
    <m/>
    <m/>
    <m/>
    <m/>
    <m/>
    <m/>
    <m/>
    <m/>
    <n v="16000000"/>
    <m/>
  </r>
  <r>
    <m/>
    <m/>
    <m/>
    <m/>
    <m/>
    <x v="0"/>
    <m/>
    <m/>
    <m/>
    <m/>
    <m/>
    <m/>
    <s v="Luisa Adela  Macias Bahamonde"/>
    <m/>
    <m/>
    <s v="CONTRATACION DEL PROGRAMA"/>
    <m/>
    <m/>
    <n v="195389000"/>
    <m/>
    <n v="180000000"/>
    <m/>
    <m/>
    <n v="180000000"/>
    <m/>
    <m/>
    <m/>
    <m/>
    <m/>
    <m/>
    <m/>
    <m/>
    <m/>
    <m/>
    <m/>
    <m/>
    <m/>
    <m/>
    <m/>
    <m/>
    <m/>
    <m/>
    <n v="180000000"/>
    <m/>
  </r>
  <r>
    <m/>
    <m/>
    <m/>
    <m/>
    <m/>
    <x v="0"/>
    <m/>
    <m/>
    <m/>
    <m/>
    <m/>
    <m/>
    <s v="Luisa Adela  Macias Bahamonde"/>
    <m/>
    <m/>
    <s v="GASTOS ADMINISTRATIVOS"/>
    <m/>
    <m/>
    <n v="3555000"/>
    <m/>
    <n v="7000000"/>
    <m/>
    <m/>
    <n v="7000000"/>
    <m/>
    <m/>
    <m/>
    <m/>
    <m/>
    <m/>
    <m/>
    <m/>
    <m/>
    <m/>
    <m/>
    <m/>
    <m/>
    <m/>
    <m/>
    <m/>
    <m/>
    <m/>
    <n v="70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</r>
  <r>
    <n v="33"/>
    <s v="A"/>
    <s v="MULTISECTORIAL"/>
    <s v="RURAL"/>
    <s v="FOMENTO PRODUCTIVO"/>
    <x v="6"/>
    <s v="FOMENTO"/>
    <n v="36"/>
    <s v="PV"/>
    <s v="INDAP"/>
    <n v="30341329"/>
    <s v="V"/>
    <s v="Luisa Adela  Macias Bahamonde"/>
    <s v="30341329INDAP"/>
    <m/>
    <s v="TRANSFERENCIA ASESORIA ESPECIALIZADA CONSOLIDACION TENENCIA TIERRA EN AFC"/>
    <m/>
    <m/>
    <n v="304340000"/>
    <m/>
    <n v="309000000"/>
    <m/>
    <m/>
    <n v="309000000"/>
    <n v="267992602"/>
    <m/>
    <n v="13414000"/>
    <n v="0"/>
    <n v="13414000"/>
    <n v="0"/>
    <n v="0"/>
    <n v="0"/>
    <n v="0"/>
    <n v="0"/>
    <n v="0"/>
    <n v="0"/>
    <n v="0"/>
    <n v="0"/>
    <n v="0"/>
    <n v="0"/>
    <n v="0"/>
    <m/>
    <n v="27593398"/>
    <s v="RS**"/>
  </r>
  <r>
    <m/>
    <m/>
    <m/>
    <m/>
    <m/>
    <x v="0"/>
    <m/>
    <m/>
    <m/>
    <m/>
    <m/>
    <m/>
    <s v="Luisa Adela  Macias Bahamonde"/>
    <m/>
    <m/>
    <s v="CONSULTORIA"/>
    <m/>
    <m/>
    <n v="14643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281656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8041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SEREMI DE AGRICULTURA"/>
    <n v="30419826"/>
    <s v="V"/>
    <s v="Luisa Adela  Macias Bahamonde"/>
    <s v="30419826SEREMI DE AGRICULTURA"/>
    <m/>
    <s v="CAPACITACION PARA EL FOMENTO AGROFORESTAL EN PALENA Y COCHAMO"/>
    <m/>
    <m/>
    <n v="395740000"/>
    <m/>
    <n v="315000000"/>
    <m/>
    <m/>
    <n v="315000000"/>
    <n v="220695807"/>
    <m/>
    <n v="91905000"/>
    <n v="80672000"/>
    <n v="11233000"/>
    <n v="0"/>
    <n v="0"/>
    <n v="0"/>
    <n v="0"/>
    <n v="0"/>
    <n v="0"/>
    <n v="0"/>
    <n v="0"/>
    <n v="0"/>
    <n v="80672000"/>
    <n v="0"/>
    <n v="0"/>
    <m/>
    <n v="2399193"/>
    <s v="RS**"/>
  </r>
  <r>
    <m/>
    <m/>
    <m/>
    <m/>
    <m/>
    <x v="0"/>
    <m/>
    <m/>
    <m/>
    <m/>
    <m/>
    <m/>
    <s v="Luisa Adela  Macias Bahamonde"/>
    <m/>
    <m/>
    <s v="CONTRATACION DEL PROGRAMA"/>
    <m/>
    <m/>
    <n v="387036000"/>
    <m/>
    <n v="300000000"/>
    <m/>
    <m/>
    <n v="300000000"/>
    <m/>
    <m/>
    <m/>
    <n v="0"/>
    <m/>
    <m/>
    <m/>
    <m/>
    <m/>
    <m/>
    <m/>
    <m/>
    <m/>
    <m/>
    <m/>
    <m/>
    <m/>
    <m/>
    <n v="300000000"/>
    <m/>
  </r>
  <r>
    <m/>
    <m/>
    <m/>
    <m/>
    <m/>
    <x v="0"/>
    <m/>
    <m/>
    <m/>
    <m/>
    <m/>
    <m/>
    <s v="Luisa Adela  Macias Bahamonde"/>
    <m/>
    <m/>
    <s v="GASTOS ADMINISTRATIVOS"/>
    <m/>
    <m/>
    <n v="8704000"/>
    <m/>
    <n v="15000000"/>
    <m/>
    <m/>
    <n v="15000000"/>
    <m/>
    <m/>
    <m/>
    <n v="0"/>
    <m/>
    <m/>
    <m/>
    <m/>
    <m/>
    <m/>
    <m/>
    <m/>
    <m/>
    <m/>
    <m/>
    <m/>
    <m/>
    <m/>
    <n v="150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SAG"/>
    <n v="30341424"/>
    <s v="V"/>
    <s v="Luisa Adela  Macias Bahamonde"/>
    <s v="30341424SAG"/>
    <m/>
    <s v="TRANSFERENCIA MONITOREO SITUACION SANITARIA EN BOVINOS Y OVINOS DEL TPV"/>
    <m/>
    <m/>
    <n v="236501000"/>
    <m/>
    <n v="169500000"/>
    <m/>
    <m/>
    <n v="169500000"/>
    <n v="123996879"/>
    <m/>
    <n v="30000000"/>
    <n v="751000"/>
    <n v="29249000"/>
    <n v="0"/>
    <n v="0"/>
    <n v="0"/>
    <n v="0"/>
    <n v="0"/>
    <n v="751000"/>
    <n v="0"/>
    <n v="0"/>
    <n v="0"/>
    <n v="0"/>
    <n v="0"/>
    <n v="0"/>
    <m/>
    <n v="15503121"/>
    <s v="RS**"/>
  </r>
  <r>
    <m/>
    <m/>
    <m/>
    <m/>
    <m/>
    <x v="0"/>
    <m/>
    <m/>
    <m/>
    <m/>
    <m/>
    <m/>
    <s v="Luisa Adela  Macias Bahamonde"/>
    <m/>
    <m/>
    <s v="CONTRATACION DEL PROGRAMA"/>
    <m/>
    <m/>
    <n v="232578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3923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SAG"/>
    <n v="30341439"/>
    <s v="V"/>
    <s v="Luisa Adela  Macias Bahamonde"/>
    <s v="30341439SAG"/>
    <m/>
    <s v="TRANSFERENCIA PROGRAMA RECUPERACION SUELO DEGRADADOS EN TPV"/>
    <m/>
    <m/>
    <n v="210000000"/>
    <m/>
    <n v="210000000"/>
    <m/>
    <m/>
    <n v="210000000"/>
    <n v="30699279"/>
    <m/>
    <n v="156560000"/>
    <n v="83620"/>
    <n v="156476380"/>
    <n v="0"/>
    <n v="0"/>
    <n v="0"/>
    <n v="0"/>
    <n v="0"/>
    <n v="83620"/>
    <n v="0"/>
    <n v="0"/>
    <n v="0"/>
    <n v="0"/>
    <n v="0"/>
    <n v="0"/>
    <m/>
    <n v="22740721"/>
    <s v="RS**"/>
  </r>
  <r>
    <m/>
    <m/>
    <m/>
    <m/>
    <m/>
    <x v="0"/>
    <m/>
    <m/>
    <m/>
    <m/>
    <m/>
    <m/>
    <s v="Luisa Adela  Macias Bahamonde"/>
    <m/>
    <m/>
    <s v="CONTRATACION DEL PROGRAMA"/>
    <m/>
    <m/>
    <n v="195467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14533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SEREMI DE AGRICULTURA"/>
    <n v="30341173"/>
    <s v="V"/>
    <s v="Luisa Adela  Macias Bahamonde"/>
    <s v="30341173SEREMI DE AGRICULTURA"/>
    <m/>
    <s v="TRANSFERENCIA PROGRAMA VALORACION SELLO ORIGEN DE PRODUCTOS SILVOAGROPECUARIOS"/>
    <m/>
    <m/>
    <n v="450000000"/>
    <m/>
    <n v="450000000"/>
    <m/>
    <m/>
    <n v="450000000"/>
    <n v="204207260"/>
    <m/>
    <n v="230000000"/>
    <n v="90000000"/>
    <n v="140000000"/>
    <n v="0"/>
    <n v="0"/>
    <n v="0"/>
    <n v="0"/>
    <n v="0"/>
    <n v="0"/>
    <n v="0"/>
    <n v="0"/>
    <n v="0"/>
    <n v="90000000"/>
    <n v="0"/>
    <n v="0"/>
    <m/>
    <n v="15792740"/>
    <s v="RS**"/>
  </r>
  <r>
    <m/>
    <m/>
    <m/>
    <m/>
    <m/>
    <x v="0"/>
    <m/>
    <m/>
    <m/>
    <m/>
    <m/>
    <m/>
    <s v="Luisa Adela  Macias Bahamonde"/>
    <m/>
    <m/>
    <s v="CONSULTORIA"/>
    <m/>
    <m/>
    <n v="58534000"/>
    <m/>
    <n v="58534000"/>
    <m/>
    <m/>
    <n v="58534000"/>
    <m/>
    <m/>
    <m/>
    <n v="0"/>
    <m/>
    <m/>
    <m/>
    <m/>
    <m/>
    <m/>
    <m/>
    <m/>
    <m/>
    <m/>
    <m/>
    <m/>
    <m/>
    <m/>
    <n v="58534000"/>
    <m/>
  </r>
  <r>
    <m/>
    <m/>
    <m/>
    <m/>
    <m/>
    <x v="0"/>
    <m/>
    <m/>
    <m/>
    <m/>
    <m/>
    <m/>
    <s v="Luisa Adela  Macias Bahamonde"/>
    <m/>
    <m/>
    <s v="CONTRATACION DEL PROGRAMA"/>
    <m/>
    <m/>
    <n v="368931000"/>
    <m/>
    <n v="368931000"/>
    <m/>
    <m/>
    <n v="368931000"/>
    <m/>
    <m/>
    <m/>
    <n v="0"/>
    <m/>
    <m/>
    <m/>
    <m/>
    <m/>
    <m/>
    <m/>
    <m/>
    <m/>
    <m/>
    <m/>
    <m/>
    <m/>
    <m/>
    <n v="368931000"/>
    <m/>
  </r>
  <r>
    <m/>
    <m/>
    <m/>
    <m/>
    <m/>
    <x v="0"/>
    <m/>
    <m/>
    <m/>
    <m/>
    <m/>
    <m/>
    <s v="Luisa Adela  Macias Bahamonde"/>
    <m/>
    <m/>
    <s v="GASTOS ADMINISTRATIVOS"/>
    <m/>
    <m/>
    <n v="22535000"/>
    <m/>
    <n v="22535000"/>
    <m/>
    <m/>
    <n v="22535000"/>
    <m/>
    <m/>
    <m/>
    <n v="0"/>
    <m/>
    <m/>
    <m/>
    <m/>
    <m/>
    <m/>
    <m/>
    <m/>
    <m/>
    <m/>
    <m/>
    <m/>
    <m/>
    <m/>
    <n v="22535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PV"/>
    <s v="SEREMI DE AGRICULTURA"/>
    <n v="30329922"/>
    <s v="V"/>
    <s v="Luisa Adela  Macias Bahamonde"/>
    <s v="30329922SEREMI DE AGRICULTURA"/>
    <m/>
    <s v="TRANSFERENCIA TECNOLOGICA PARA EL DESARROLLO Y POTENCIAMIENTO DE LA AFC"/>
    <m/>
    <m/>
    <n v="547808000"/>
    <m/>
    <n v="530000000"/>
    <m/>
    <m/>
    <n v="530000000"/>
    <n v="243232948"/>
    <m/>
    <n v="250000000"/>
    <n v="53400000"/>
    <n v="196600000"/>
    <n v="0"/>
    <n v="0"/>
    <n v="0"/>
    <n v="0"/>
    <n v="0"/>
    <n v="0"/>
    <n v="0"/>
    <n v="0"/>
    <n v="0"/>
    <n v="53400000"/>
    <n v="0"/>
    <n v="0"/>
    <m/>
    <n v="36767052"/>
    <s v="RS**"/>
  </r>
  <r>
    <m/>
    <m/>
    <m/>
    <m/>
    <m/>
    <x v="0"/>
    <m/>
    <m/>
    <m/>
    <m/>
    <m/>
    <m/>
    <s v="Luisa Adela  Macias Bahamonde"/>
    <m/>
    <m/>
    <s v="CONSULTORIA"/>
    <m/>
    <m/>
    <n v="64924000"/>
    <m/>
    <n v="61435000"/>
    <m/>
    <m/>
    <n v="61435000"/>
    <m/>
    <m/>
    <m/>
    <n v="0"/>
    <m/>
    <m/>
    <m/>
    <m/>
    <m/>
    <m/>
    <m/>
    <m/>
    <m/>
    <m/>
    <m/>
    <m/>
    <m/>
    <m/>
    <n v="61435000"/>
    <m/>
  </r>
  <r>
    <m/>
    <m/>
    <m/>
    <m/>
    <m/>
    <x v="0"/>
    <m/>
    <m/>
    <m/>
    <m/>
    <m/>
    <m/>
    <s v="Luisa Adela  Macias Bahamonde"/>
    <m/>
    <m/>
    <s v="CONTRATACION DEL PROGRAMA"/>
    <m/>
    <m/>
    <n v="464441000"/>
    <m/>
    <n v="447365000"/>
    <m/>
    <m/>
    <n v="447365000"/>
    <m/>
    <m/>
    <m/>
    <n v="0"/>
    <m/>
    <m/>
    <m/>
    <m/>
    <m/>
    <m/>
    <m/>
    <m/>
    <m/>
    <m/>
    <m/>
    <m/>
    <m/>
    <m/>
    <n v="447365000"/>
    <m/>
  </r>
  <r>
    <m/>
    <m/>
    <m/>
    <m/>
    <m/>
    <x v="0"/>
    <m/>
    <m/>
    <m/>
    <m/>
    <m/>
    <m/>
    <s v="Luisa Adela  Macias Bahamonde"/>
    <m/>
    <m/>
    <s v="GASTOS ADMINISTRATIVOS"/>
    <m/>
    <m/>
    <n v="18443000"/>
    <m/>
    <n v="21200000"/>
    <m/>
    <m/>
    <n v="21200000"/>
    <m/>
    <m/>
    <m/>
    <n v="0"/>
    <m/>
    <m/>
    <m/>
    <m/>
    <m/>
    <m/>
    <m/>
    <m/>
    <m/>
    <m/>
    <m/>
    <m/>
    <m/>
    <m/>
    <n v="212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SOCIAL"/>
    <x v="6"/>
    <s v="FOMENTO"/>
    <n v="36"/>
    <s v="LIBRE"/>
    <s v="SEREMI DE MEDIO AMBIENTE"/>
    <n v="30136320"/>
    <m/>
    <s v="Luisa Adela  Macias Bahamonde"/>
    <s v="30136320SEREMI DE MEDIO AMBIENTE"/>
    <m/>
    <s v="PROTECCION APLICACION MODELO USO SUST. EN PAISAJE CONSERV. CHILOE"/>
    <m/>
    <m/>
    <n v="600000000"/>
    <m/>
    <n v="600000000"/>
    <m/>
    <m/>
    <n v="600000000"/>
    <n v="309862776"/>
    <m/>
    <n v="200000000"/>
    <n v="0"/>
    <n v="200000000"/>
    <n v="0"/>
    <n v="0"/>
    <n v="0"/>
    <n v="0"/>
    <n v="0"/>
    <n v="0"/>
    <n v="0"/>
    <n v="0"/>
    <n v="0"/>
    <n v="0"/>
    <n v="0"/>
    <n v="0"/>
    <m/>
    <n v="90137224"/>
    <s v="RS**"/>
  </r>
  <r>
    <m/>
    <m/>
    <m/>
    <m/>
    <m/>
    <x v="0"/>
    <m/>
    <m/>
    <m/>
    <m/>
    <m/>
    <m/>
    <s v="Luisa Adela  Macias Bahamonde"/>
    <m/>
    <m/>
    <s v="CONSULTORIA"/>
    <m/>
    <m/>
    <n v="95310000"/>
    <m/>
    <n v="69600000"/>
    <m/>
    <m/>
    <n v="69600000"/>
    <m/>
    <m/>
    <m/>
    <n v="0"/>
    <m/>
    <m/>
    <m/>
    <m/>
    <m/>
    <m/>
    <m/>
    <m/>
    <m/>
    <m/>
    <m/>
    <m/>
    <m/>
    <m/>
    <n v="69600000"/>
    <m/>
  </r>
  <r>
    <m/>
    <m/>
    <m/>
    <m/>
    <m/>
    <x v="0"/>
    <m/>
    <m/>
    <m/>
    <m/>
    <m/>
    <m/>
    <s v="Luisa Adela  Macias Bahamonde"/>
    <m/>
    <m/>
    <s v="CONTRATACION DEL PROGRAMA"/>
    <m/>
    <m/>
    <n v="484535000"/>
    <m/>
    <n v="519600000"/>
    <m/>
    <m/>
    <n v="519600000"/>
    <m/>
    <m/>
    <m/>
    <n v="0"/>
    <m/>
    <m/>
    <m/>
    <m/>
    <m/>
    <m/>
    <m/>
    <m/>
    <m/>
    <m/>
    <m/>
    <m/>
    <m/>
    <m/>
    <n v="519600000"/>
    <m/>
  </r>
  <r>
    <m/>
    <m/>
    <m/>
    <m/>
    <m/>
    <x v="0"/>
    <m/>
    <m/>
    <m/>
    <m/>
    <m/>
    <m/>
    <s v="Luisa Adela  Macias Bahamonde"/>
    <m/>
    <m/>
    <s v="GASTOS ADMINISTRATIVOS"/>
    <m/>
    <m/>
    <n v="20155000"/>
    <m/>
    <n v="10800000"/>
    <m/>
    <m/>
    <n v="10800000"/>
    <m/>
    <m/>
    <m/>
    <n v="0"/>
    <m/>
    <m/>
    <m/>
    <m/>
    <m/>
    <m/>
    <m/>
    <m/>
    <m/>
    <m/>
    <m/>
    <m/>
    <m/>
    <m/>
    <n v="108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FOMENTO PRODUCTIVO"/>
    <x v="6"/>
    <s v="FOMENTO"/>
    <n v="36"/>
    <s v="LIBRE"/>
    <s v="INDAP"/>
    <n v="30485206"/>
    <m/>
    <s v="Luisa Adela  Macias Bahamonde"/>
    <s v="30485206INDAP"/>
    <m/>
    <s v="DIFUSION PARA EL FORTALECIMIENTO Y DASARROLLO DEL SITIO SIPAN Y SELLO SIPAN"/>
    <m/>
    <m/>
    <n v="202400000"/>
    <m/>
    <m/>
    <m/>
    <m/>
    <n v="202400000"/>
    <n v="7500000"/>
    <m/>
    <n v="100000000"/>
    <n v="0"/>
    <n v="100000000"/>
    <n v="0"/>
    <n v="0"/>
    <n v="0"/>
    <n v="0"/>
    <n v="0"/>
    <n v="0"/>
    <n v="0"/>
    <n v="0"/>
    <n v="0"/>
    <n v="0"/>
    <n v="0"/>
    <n v="0"/>
    <m/>
    <n v="94900000"/>
    <s v="RS**"/>
  </r>
  <r>
    <m/>
    <m/>
    <m/>
    <m/>
    <m/>
    <x v="0"/>
    <m/>
    <m/>
    <m/>
    <m/>
    <m/>
    <m/>
    <s v="Luisa Adela  Macias Bahamonde"/>
    <m/>
    <m/>
    <s v="CONSULTORIA"/>
    <m/>
    <m/>
    <n v="304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164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8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FOMENTO PRODUCTIVO"/>
    <x v="6"/>
    <s v="FOMENTO"/>
    <n v="36"/>
    <s v="LIBRE"/>
    <s v="INDAP"/>
    <n v="40014803"/>
    <m/>
    <s v="Luisa Adela  Macias Bahamonde"/>
    <s v="40014803INDAP"/>
    <m/>
    <s v="PROGRAMA DE FERTILIZACION MEJORANDO LA PRODUCTIVIDAD GANADERA EN LA PROVINCIA DE PALENA "/>
    <m/>
    <m/>
    <n v="764465000"/>
    <m/>
    <m/>
    <m/>
    <m/>
    <n v="764464200"/>
    <n v="3900000"/>
    <m/>
    <n v="500000000"/>
    <n v="0"/>
    <n v="500000000"/>
    <n v="0"/>
    <n v="0"/>
    <n v="0"/>
    <n v="0"/>
    <n v="0"/>
    <n v="0"/>
    <n v="0"/>
    <n v="0"/>
    <n v="0"/>
    <n v="0"/>
    <n v="0"/>
    <n v="0"/>
    <m/>
    <n v="260564200"/>
    <s v="RS**"/>
  </r>
  <r>
    <m/>
    <m/>
    <m/>
    <m/>
    <m/>
    <x v="0"/>
    <m/>
    <m/>
    <m/>
    <m/>
    <m/>
    <m/>
    <s v="Luisa Adela  Macias Bahamonde"/>
    <m/>
    <m/>
    <s v="CONSULTORIA"/>
    <m/>
    <m/>
    <n v="954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651065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18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INDAP"/>
    <n v="30137060"/>
    <m/>
    <s v="RENE CARCAMO ANDRADE"/>
    <s v="30137060INDAP"/>
    <m/>
    <s v="TRANSFERENCIA PROGRAMAS DE INVERSIONES PRODUCTIVAS EN FAMILIAS USUARIAS DE PROGRAMAS DE ASESORIA INDAP"/>
    <m/>
    <m/>
    <n v="1619231000"/>
    <m/>
    <m/>
    <m/>
    <m/>
    <n v="2332740000"/>
    <n v="2286596682"/>
    <m/>
    <n v="45892901"/>
    <n v="0"/>
    <n v="45892901"/>
    <n v="0"/>
    <n v="0"/>
    <n v="0"/>
    <n v="0"/>
    <n v="0"/>
    <n v="0"/>
    <n v="0"/>
    <n v="0"/>
    <n v="0"/>
    <n v="0"/>
    <n v="0"/>
    <n v="0"/>
    <m/>
    <n v="250417"/>
    <s v="RS**"/>
  </r>
  <r>
    <m/>
    <m/>
    <m/>
    <m/>
    <m/>
    <x v="0"/>
    <m/>
    <m/>
    <m/>
    <m/>
    <m/>
    <m/>
    <s v="RENE CARCAMO ANDRADE"/>
    <m/>
    <m/>
    <s v="CONSULTORIA"/>
    <m/>
    <m/>
    <n v="96571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RENE CARCAMO ANDRADE"/>
    <m/>
    <m/>
    <s v="CONTRATACION DEL PROGRAMA"/>
    <m/>
    <m/>
    <n v="1511015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RENE CARCAMO ANDRADE"/>
    <m/>
    <m/>
    <s v="GASTOS ADMINISTRATIVOS"/>
    <m/>
    <m/>
    <n v="11645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INDAP"/>
    <n v="30433775"/>
    <m/>
    <s v="Luisa Adela  Macias Bahamonde"/>
    <s v="30433775INDAP"/>
    <m/>
    <s v="MEJORAMIENTO DE SUELOS  EN TERRITORIOS INDIGENAS"/>
    <m/>
    <m/>
    <n v="491966000"/>
    <m/>
    <m/>
    <m/>
    <m/>
    <n v="499999334"/>
    <n v="495707192"/>
    <m/>
    <n v="1190000"/>
    <n v="0"/>
    <n v="1190000"/>
    <n v="0"/>
    <n v="0"/>
    <n v="0"/>
    <n v="0"/>
    <n v="0"/>
    <n v="0"/>
    <n v="0"/>
    <n v="0"/>
    <n v="0"/>
    <n v="0"/>
    <n v="0"/>
    <n v="0"/>
    <m/>
    <n v="3102142"/>
    <s v="RS**"/>
  </r>
  <r>
    <m/>
    <m/>
    <m/>
    <m/>
    <m/>
    <x v="0"/>
    <m/>
    <m/>
    <m/>
    <m/>
    <m/>
    <m/>
    <s v="Luisa Adela  Macias Bahamonde"/>
    <m/>
    <m/>
    <s v="CONSULTORIA"/>
    <m/>
    <m/>
    <n v="73287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409373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9306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INDUSTRIA, COMERCIO, FINANZAS Y TURISMO"/>
    <s v="RURAL"/>
    <s v="FOMENTO PRODUCTIVO"/>
    <x v="6"/>
    <s v="FOMENTO"/>
    <n v="36"/>
    <s v="LIBRE"/>
    <s v="INDAP"/>
    <n v="30378428"/>
    <m/>
    <s v="RENE CARCAMO ANDRADE"/>
    <s v="30378428INDAP"/>
    <m/>
    <s v="SANEAMIENTO ASESORIA LEGAL Y TECNICA  CONSOLIDACION DE LA TENENCIA IMPERFECTA  DE TIERRAS"/>
    <m/>
    <m/>
    <n v="205198000"/>
    <m/>
    <m/>
    <m/>
    <m/>
    <n v="563347000"/>
    <n v="452344503"/>
    <m/>
    <n v="102527826"/>
    <n v="0"/>
    <n v="102527826"/>
    <n v="0"/>
    <n v="0"/>
    <n v="0"/>
    <n v="0"/>
    <n v="0"/>
    <n v="0"/>
    <n v="0"/>
    <n v="0"/>
    <n v="0"/>
    <n v="0"/>
    <n v="0"/>
    <n v="0"/>
    <m/>
    <n v="8474671"/>
    <s v="RS**"/>
  </r>
  <r>
    <m/>
    <m/>
    <m/>
    <m/>
    <m/>
    <x v="0"/>
    <m/>
    <m/>
    <m/>
    <m/>
    <m/>
    <m/>
    <s v="RENE CARCAMO ANDRADE"/>
    <m/>
    <m/>
    <s v="CONTRATACION DEL PROGRAMA"/>
    <m/>
    <m/>
    <n v="197559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RENE CARCAMO ANDRADE"/>
    <m/>
    <m/>
    <s v="GASTOS ADMINISTRATIVOS"/>
    <m/>
    <m/>
    <n v="7639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SAG"/>
    <n v="30482019"/>
    <m/>
    <s v="Luisa Adela  Macias Bahamonde"/>
    <s v="30482019SAG"/>
    <m/>
    <s v="ERRADICACION VISON DE LA REGION DE LOS LAGOS"/>
    <m/>
    <m/>
    <n v="413028000"/>
    <m/>
    <m/>
    <m/>
    <m/>
    <n v="400000000"/>
    <n v="145063966"/>
    <m/>
    <n v="196445000"/>
    <n v="6250927"/>
    <n v="190194073"/>
    <n v="0"/>
    <n v="0"/>
    <n v="0"/>
    <n v="0"/>
    <n v="0"/>
    <n v="0"/>
    <n v="0"/>
    <n v="0"/>
    <n v="0"/>
    <n v="6250927"/>
    <n v="0"/>
    <n v="0"/>
    <m/>
    <n v="58491034"/>
    <s v="RS**"/>
  </r>
  <r>
    <m/>
    <m/>
    <m/>
    <m/>
    <m/>
    <x v="0"/>
    <m/>
    <m/>
    <m/>
    <m/>
    <m/>
    <m/>
    <s v="Luisa Adela  Macias Bahamonde"/>
    <m/>
    <m/>
    <s v="CONTRATACION DEL PROGRAMA"/>
    <m/>
    <m/>
    <n v="407878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515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SERCOTEC"/>
    <n v="30349427"/>
    <m/>
    <e v="#N/A"/>
    <s v="30349427SERCOTEC"/>
    <m/>
    <s v="TRANSFERENCIA MEJORAMIENTO DE LA PRODUCTIVIDAD EN AREAS DE MANEJO II"/>
    <m/>
    <m/>
    <n v="540800000"/>
    <m/>
    <m/>
    <m/>
    <m/>
    <n v="540800000"/>
    <n v="516277132"/>
    <m/>
    <n v="24522868"/>
    <n v="0"/>
    <n v="24522868"/>
    <n v="0"/>
    <n v="0"/>
    <n v="0"/>
    <n v="0"/>
    <n v="0"/>
    <n v="0"/>
    <n v="0"/>
    <n v="0"/>
    <n v="0"/>
    <n v="0"/>
    <n v="0"/>
    <n v="0"/>
    <m/>
    <n v="0"/>
    <s v="RS**"/>
  </r>
  <r>
    <m/>
    <m/>
    <m/>
    <m/>
    <m/>
    <x v="0"/>
    <m/>
    <m/>
    <m/>
    <m/>
    <m/>
    <m/>
    <m/>
    <m/>
    <m/>
    <s v="CONSULTORIA"/>
    <m/>
    <m/>
    <n v="53733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s v="CONTRATACION DEL PROGRAMA"/>
    <m/>
    <m/>
    <n v="455862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s v="GASTOS ADMINISTRATIVOS"/>
    <m/>
    <m/>
    <n v="31205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INDUSTRIA, COMERCIO, FINANZAS Y TURISMO"/>
    <s v="RURAL"/>
    <s v="FOMENTO PRODUCTIVO"/>
    <x v="6"/>
    <s v="FOMENTO"/>
    <n v="36"/>
    <s v="LIBRE"/>
    <s v="SERCOTEC"/>
    <n v="30440729"/>
    <m/>
    <s v="Luisa Adela  Macias Bahamonde"/>
    <s v="30440729SERCOTEC"/>
    <m/>
    <s v="PROGRAMA APOYO INTEGRAL A LAS FERIAS LIBRES"/>
    <m/>
    <m/>
    <n v="360491000"/>
    <m/>
    <m/>
    <m/>
    <m/>
    <n v="320000000"/>
    <n v="297995504"/>
    <m/>
    <n v="15900000"/>
    <n v="0"/>
    <n v="15900000"/>
    <n v="0"/>
    <n v="0"/>
    <n v="0"/>
    <n v="0"/>
    <n v="0"/>
    <n v="0"/>
    <n v="0"/>
    <n v="0"/>
    <n v="0"/>
    <n v="0"/>
    <n v="0"/>
    <n v="0"/>
    <m/>
    <n v="6104496"/>
    <s v="RS**"/>
  </r>
  <r>
    <m/>
    <m/>
    <m/>
    <m/>
    <m/>
    <x v="0"/>
    <m/>
    <m/>
    <m/>
    <m/>
    <m/>
    <m/>
    <s v="Luisa Adela  Macias Bahamonde"/>
    <m/>
    <m/>
    <s v="CONSULTORIA"/>
    <m/>
    <m/>
    <n v="55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351491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35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SERCOTEC"/>
    <n v="30351343"/>
    <m/>
    <s v="Luisa Adela  Macias Bahamonde"/>
    <s v="30351343SERCOTEC"/>
    <m/>
    <s v="CAPACITACION Y VALORIZACION DE PRODUCTOS AGROPECUARIOS"/>
    <m/>
    <m/>
    <n v="450000000"/>
    <m/>
    <m/>
    <m/>
    <m/>
    <n v="450000000"/>
    <n v="188600072"/>
    <m/>
    <n v="256959328"/>
    <n v="51400000"/>
    <n v="205559328"/>
    <n v="0"/>
    <n v="0"/>
    <n v="0"/>
    <n v="0"/>
    <n v="0"/>
    <n v="0"/>
    <n v="0"/>
    <n v="51400000"/>
    <n v="0"/>
    <n v="0"/>
    <n v="0"/>
    <n v="0"/>
    <m/>
    <n v="4440600"/>
    <s v="RS**"/>
  </r>
  <r>
    <m/>
    <m/>
    <m/>
    <m/>
    <m/>
    <x v="0"/>
    <m/>
    <m/>
    <m/>
    <m/>
    <m/>
    <m/>
    <s v="Luisa Adela  Macias Bahamonde"/>
    <m/>
    <m/>
    <s v="CONSULTORIA"/>
    <m/>
    <m/>
    <n v="552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3721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227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SERNAPESCA"/>
    <n v="30343724"/>
    <m/>
    <s v="Luisa Adela  Macias Bahamonde"/>
    <s v="30343724SERNAPESCA"/>
    <m/>
    <s v="PROGRAMA FOMENTO Y DESARROLLO PESCA ARTESANAL REGION DE LOS LAGOS 2014-2016"/>
    <m/>
    <m/>
    <n v="2160000000"/>
    <m/>
    <m/>
    <m/>
    <m/>
    <n v="2160000000"/>
    <n v="1336907233"/>
    <m/>
    <n v="308417962"/>
    <n v="0"/>
    <n v="308417962"/>
    <n v="0"/>
    <n v="0"/>
    <n v="0"/>
    <n v="0"/>
    <n v="0"/>
    <n v="0"/>
    <n v="0"/>
    <n v="0"/>
    <n v="0"/>
    <n v="0"/>
    <n v="0"/>
    <n v="0"/>
    <m/>
    <n v="514674805"/>
    <s v="RS**"/>
  </r>
  <r>
    <m/>
    <m/>
    <m/>
    <m/>
    <m/>
    <x v="0"/>
    <m/>
    <m/>
    <m/>
    <m/>
    <m/>
    <m/>
    <s v="Luisa Adela  Macias Bahamonde"/>
    <m/>
    <m/>
    <s v="CONSULTORIA"/>
    <m/>
    <m/>
    <n v="116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20394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46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FOMENTO PRODUCTIVO"/>
    <x v="6"/>
    <s v="FOMENTO"/>
    <n v="36"/>
    <s v="LIBRE"/>
    <s v="SUBPESCA"/>
    <n v="30398233"/>
    <m/>
    <s v="Luisa Adela  Macias Bahamonde"/>
    <s v="30398233SUBPESCA"/>
    <m/>
    <s v="RECUPERACION DE DIVERSIDAD PROD DE LA PESCA ARTESANAL"/>
    <m/>
    <m/>
    <n v="900000000"/>
    <m/>
    <m/>
    <m/>
    <m/>
    <n v="900002100"/>
    <n v="475373157"/>
    <m/>
    <n v="308000000"/>
    <n v="14027228"/>
    <n v="293972772"/>
    <n v="0"/>
    <n v="0"/>
    <n v="0"/>
    <n v="0"/>
    <n v="0"/>
    <n v="0"/>
    <n v="0"/>
    <n v="1250000"/>
    <n v="12777228"/>
    <n v="0"/>
    <n v="0"/>
    <n v="0"/>
    <m/>
    <n v="116628943"/>
    <s v="RS**"/>
  </r>
  <r>
    <m/>
    <m/>
    <m/>
    <m/>
    <m/>
    <x v="0"/>
    <m/>
    <m/>
    <m/>
    <m/>
    <m/>
    <m/>
    <s v="Luisa Adela  Macias Bahamonde"/>
    <m/>
    <m/>
    <s v="CONSULTORIA"/>
    <m/>
    <m/>
    <n v="65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820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15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INDUSTRIA, COMERCIO, FINANZAS Y TURISMO"/>
    <s v="RURAL"/>
    <s v="FOMENTO PRODUCTIVO"/>
    <x v="6"/>
    <s v="FOMENTO"/>
    <n v="36"/>
    <s v="LIBRE"/>
    <s v="SERNATUR"/>
    <n v="30342025"/>
    <m/>
    <s v="Luisa Adela  Macias Bahamonde"/>
    <s v="30342025SERNATUR"/>
    <m/>
    <s v="TRANSFERENCIA GESTION DEL TERRITORIO TURISTICO, REGION DE LOS LAGOS "/>
    <m/>
    <m/>
    <n v="971238000"/>
    <m/>
    <m/>
    <m/>
    <m/>
    <n v="700000000"/>
    <n v="645868063"/>
    <m/>
    <n v="54131937"/>
    <n v="20957859"/>
    <n v="33174078"/>
    <n v="0"/>
    <n v="0"/>
    <n v="0"/>
    <n v="0"/>
    <n v="0"/>
    <n v="0"/>
    <n v="0"/>
    <n v="20957859"/>
    <n v="0"/>
    <n v="0"/>
    <n v="0"/>
    <n v="0"/>
    <m/>
    <n v="0"/>
    <s v="RS**"/>
  </r>
  <r>
    <m/>
    <m/>
    <m/>
    <m/>
    <m/>
    <x v="0"/>
    <m/>
    <m/>
    <m/>
    <m/>
    <m/>
    <m/>
    <s v="Luisa Adela  Macias Bahamonde"/>
    <m/>
    <m/>
    <s v="CONSULTORIA"/>
    <m/>
    <m/>
    <n v="564259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383044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23935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SILVOAGROPECUARIO"/>
    <s v="RURAL"/>
    <s v="SOCIAL"/>
    <x v="6"/>
    <s v="FOMENTO"/>
    <n v="36"/>
    <s v="LIBRE"/>
    <s v="COMISION NACIONAL DE RIEGO"/>
    <n v="30434988"/>
    <s v="G"/>
    <s v="Luisa Adela  Macias Bahamonde"/>
    <s v="30434988COMISION NACIONAL DE RIEGO"/>
    <m/>
    <s v="TRANSFERENCIA PROGRAMA INTEGRAL DE RIEGO REGION DE LOS LAGOS"/>
    <m/>
    <m/>
    <n v="2000000000"/>
    <m/>
    <m/>
    <m/>
    <m/>
    <n v="2000000000"/>
    <n v="1104986431"/>
    <m/>
    <n v="858870095"/>
    <n v="57028696"/>
    <n v="801841399"/>
    <n v="0"/>
    <n v="0"/>
    <n v="0"/>
    <n v="0"/>
    <n v="0"/>
    <n v="0"/>
    <n v="0"/>
    <n v="0"/>
    <n v="0"/>
    <n v="57028696"/>
    <n v="0"/>
    <n v="0"/>
    <m/>
    <n v="36143474"/>
    <s v="RS**"/>
  </r>
  <r>
    <m/>
    <m/>
    <m/>
    <m/>
    <m/>
    <x v="0"/>
    <m/>
    <m/>
    <m/>
    <m/>
    <m/>
    <m/>
    <s v="Luisa Adela  Macias Bahamonde"/>
    <m/>
    <m/>
    <s v="CONSULTORIA"/>
    <m/>
    <m/>
    <n v="899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1899901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10199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INDUSTRIA, COMERCIO, FINANZAS Y TURISMO"/>
    <s v="RURAL"/>
    <s v="FOMENTO PRODUCTIVO"/>
    <x v="6"/>
    <s v="FOMENTO"/>
    <n v="36"/>
    <s v="PV"/>
    <s v="SERNATUR"/>
    <n v="30337226"/>
    <s v="V"/>
    <s v="Luisa Adela  Macias Bahamonde"/>
    <s v="30337226SERNATUR"/>
    <m/>
    <s v="TRANSFERENCIA DESARROLLO DEL T.I.E. EN TERRITORIO PATAGONIA VERDE "/>
    <m/>
    <m/>
    <n v="1781184000"/>
    <m/>
    <m/>
    <m/>
    <m/>
    <n v="1275000000"/>
    <n v="1170998840"/>
    <m/>
    <n v="66000000"/>
    <n v="0"/>
    <n v="66000000"/>
    <n v="0"/>
    <n v="0"/>
    <n v="0"/>
    <n v="0"/>
    <n v="0"/>
    <n v="0"/>
    <n v="0"/>
    <n v="0"/>
    <n v="0"/>
    <n v="0"/>
    <n v="0"/>
    <n v="0"/>
    <m/>
    <n v="38001160"/>
    <s v="RS**"/>
  </r>
  <r>
    <m/>
    <m/>
    <m/>
    <m/>
    <m/>
    <x v="0"/>
    <m/>
    <m/>
    <m/>
    <m/>
    <m/>
    <m/>
    <s v="Luisa Adela  Macias Bahamonde"/>
    <m/>
    <m/>
    <s v="CONSULTORIA"/>
    <m/>
    <m/>
    <n v="244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1526386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10798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SOCIAL"/>
    <x v="6"/>
    <s v="FOMENTO"/>
    <n v="36"/>
    <s v="FIC"/>
    <s v="FIC"/>
    <s v="FIC"/>
    <m/>
    <m/>
    <s v="FICFIC"/>
    <m/>
    <s v="FONDO INNOVACION Y COMPETITIVIDAD"/>
    <m/>
    <m/>
    <m/>
    <m/>
    <m/>
    <m/>
    <m/>
    <n v="1542573000"/>
    <n v="0"/>
    <m/>
    <n v="1542573000"/>
    <n v="214072797"/>
    <n v="1328500203"/>
    <n v="0"/>
    <n v="0"/>
    <n v="0"/>
    <n v="0"/>
    <n v="0"/>
    <n v="3100000"/>
    <n v="700000"/>
    <n v="4295797"/>
    <n v="98350000"/>
    <n v="107627000"/>
    <n v="0"/>
    <n v="0"/>
    <m/>
    <n v="0"/>
    <s v="RS**"/>
  </r>
  <r>
    <n v="33"/>
    <s v="A"/>
    <s v="INDUSTRIA, COMERCIO, FINANZAS Y TURISMO"/>
    <s v="RURAL"/>
    <s v="FOMENTO PRODUCTIVO"/>
    <x v="6"/>
    <s v="FOMENTO"/>
    <n v="36"/>
    <s v="LIBRE"/>
    <s v="SERNAMEG"/>
    <n v="30461825"/>
    <m/>
    <s v="Luisa Adela  Macias Bahamonde"/>
    <s v="30461825SERNAMEG"/>
    <m/>
    <s v="CAPACITACION TRABAJO EN FIBRA ANIMAL Y VEGETAL MUJERES DE CHAITEN"/>
    <m/>
    <m/>
    <n v="172830000"/>
    <m/>
    <n v="172830000"/>
    <m/>
    <m/>
    <n v="172830000"/>
    <n v="28937750"/>
    <m/>
    <n v="88535667"/>
    <n v="59375500"/>
    <n v="29160167"/>
    <n v="0"/>
    <n v="0"/>
    <n v="0"/>
    <n v="0"/>
    <n v="0"/>
    <n v="3000000"/>
    <n v="0"/>
    <n v="31786000"/>
    <n v="0"/>
    <n v="24589500"/>
    <n v="0"/>
    <n v="0"/>
    <m/>
    <n v="55356583"/>
    <s v="RS**"/>
  </r>
  <r>
    <m/>
    <m/>
    <m/>
    <m/>
    <m/>
    <x v="0"/>
    <m/>
    <m/>
    <m/>
    <m/>
    <m/>
    <m/>
    <s v="Luisa Adela  Macias Bahamonde"/>
    <m/>
    <m/>
    <s v="CONSULTORIA"/>
    <m/>
    <m/>
    <n v="20000000"/>
    <m/>
    <n v="20000000"/>
    <m/>
    <m/>
    <n v="20000000"/>
    <m/>
    <m/>
    <m/>
    <n v="0"/>
    <m/>
    <m/>
    <m/>
    <m/>
    <m/>
    <m/>
    <m/>
    <m/>
    <m/>
    <m/>
    <m/>
    <m/>
    <m/>
    <m/>
    <n v="20000000"/>
    <m/>
  </r>
  <r>
    <m/>
    <m/>
    <m/>
    <m/>
    <m/>
    <x v="0"/>
    <m/>
    <m/>
    <m/>
    <m/>
    <m/>
    <m/>
    <s v="Luisa Adela  Macias Bahamonde"/>
    <m/>
    <m/>
    <s v="CONTRATACION DEL PROGRAMA"/>
    <m/>
    <m/>
    <n v="143933000"/>
    <m/>
    <n v="143930000"/>
    <m/>
    <m/>
    <n v="143930000"/>
    <m/>
    <m/>
    <m/>
    <n v="0"/>
    <m/>
    <m/>
    <m/>
    <m/>
    <m/>
    <m/>
    <m/>
    <m/>
    <m/>
    <m/>
    <m/>
    <m/>
    <m/>
    <m/>
    <n v="143930000"/>
    <m/>
  </r>
  <r>
    <m/>
    <m/>
    <m/>
    <m/>
    <m/>
    <x v="0"/>
    <m/>
    <m/>
    <m/>
    <m/>
    <m/>
    <m/>
    <s v="Luisa Adela  Macias Bahamonde"/>
    <m/>
    <m/>
    <s v="GASTOS ADMINISTRATIVOS"/>
    <m/>
    <m/>
    <n v="8897000"/>
    <m/>
    <n v="8900000"/>
    <m/>
    <m/>
    <n v="8900000"/>
    <m/>
    <m/>
    <m/>
    <n v="0"/>
    <m/>
    <m/>
    <m/>
    <m/>
    <m/>
    <m/>
    <m/>
    <m/>
    <m/>
    <m/>
    <m/>
    <m/>
    <m/>
    <m/>
    <n v="89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INDUSTRIA, COMERCIO, FINANZAS Y TURISMO"/>
    <s v="RURAL"/>
    <s v="FOMENTO PRODUCTIVO"/>
    <x v="6"/>
    <s v="FOMENTO"/>
    <n v="36"/>
    <s v="LIBRE"/>
    <s v="FOSIS"/>
    <n v="30484364"/>
    <m/>
    <s v="Luisa Adela  Macias Bahamonde"/>
    <s v="30484364FOSIS"/>
    <m/>
    <s v="CAPACITACION DESARROLLO Y FORTALECIMIENTO PERSONAS DISCAPACITADAS"/>
    <m/>
    <m/>
    <n v="230000000"/>
    <m/>
    <n v="230000000"/>
    <m/>
    <m/>
    <n v="230000000"/>
    <n v="223000000"/>
    <m/>
    <n v="7000000"/>
    <n v="0"/>
    <n v="7000000"/>
    <n v="0"/>
    <n v="0"/>
    <n v="0"/>
    <n v="0"/>
    <n v="0"/>
    <n v="0"/>
    <n v="0"/>
    <n v="0"/>
    <n v="0"/>
    <n v="0"/>
    <n v="0"/>
    <n v="0"/>
    <m/>
    <n v="0"/>
    <s v="RS**"/>
  </r>
  <r>
    <m/>
    <m/>
    <m/>
    <m/>
    <m/>
    <x v="0"/>
    <m/>
    <m/>
    <m/>
    <m/>
    <m/>
    <m/>
    <s v="Luisa Adela  Macias Bahamonde"/>
    <m/>
    <m/>
    <s v="CONSULTORIA"/>
    <m/>
    <m/>
    <n v="13000000"/>
    <m/>
    <n v="9600000"/>
    <m/>
    <m/>
    <n v="9600000"/>
    <m/>
    <m/>
    <m/>
    <n v="0"/>
    <m/>
    <m/>
    <m/>
    <m/>
    <m/>
    <m/>
    <m/>
    <m/>
    <m/>
    <m/>
    <m/>
    <m/>
    <m/>
    <m/>
    <n v="9600000"/>
    <m/>
  </r>
  <r>
    <m/>
    <m/>
    <m/>
    <m/>
    <m/>
    <x v="0"/>
    <m/>
    <m/>
    <m/>
    <m/>
    <m/>
    <m/>
    <s v="Luisa Adela  Macias Bahamonde"/>
    <m/>
    <m/>
    <s v="CONTRATACION DEL PROGRAMA"/>
    <m/>
    <m/>
    <n v="210000000"/>
    <m/>
    <n v="213000000"/>
    <m/>
    <m/>
    <n v="213000000"/>
    <m/>
    <m/>
    <m/>
    <n v="0"/>
    <m/>
    <m/>
    <m/>
    <m/>
    <m/>
    <m/>
    <m/>
    <m/>
    <m/>
    <m/>
    <m/>
    <m/>
    <m/>
    <m/>
    <n v="213000000"/>
    <m/>
  </r>
  <r>
    <m/>
    <m/>
    <m/>
    <m/>
    <m/>
    <x v="0"/>
    <m/>
    <m/>
    <m/>
    <m/>
    <m/>
    <m/>
    <s v="Luisa Adela  Macias Bahamonde"/>
    <m/>
    <m/>
    <s v="GASTOS ADMINISTRATIVOS"/>
    <m/>
    <m/>
    <n v="7000000"/>
    <m/>
    <n v="7400000"/>
    <m/>
    <m/>
    <n v="7400000"/>
    <m/>
    <m/>
    <m/>
    <n v="0"/>
    <m/>
    <m/>
    <m/>
    <m/>
    <m/>
    <m/>
    <m/>
    <m/>
    <m/>
    <m/>
    <m/>
    <m/>
    <m/>
    <m/>
    <n v="74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SOCIAL"/>
    <x v="6"/>
    <s v="FOMENTO"/>
    <n v="36"/>
    <s v="PV"/>
    <s v="SEREMI DE BIENES NACIONALES"/>
    <n v="30426980"/>
    <s v="V"/>
    <s v="Luisa Adela  Macias Bahamonde"/>
    <s v="30426980SEREMI DE BIENES NACIONALES"/>
    <m/>
    <s v="SANEAMIENTO DE LA TENENCIA IRREGULAR DE LA PROPIEDAD PATAGONIA VERDE"/>
    <m/>
    <m/>
    <n v="500000000"/>
    <m/>
    <m/>
    <m/>
    <m/>
    <n v="500000000"/>
    <n v="246117549"/>
    <m/>
    <n v="185000000"/>
    <n v="19609648"/>
    <n v="165390352"/>
    <n v="0"/>
    <n v="0"/>
    <n v="0"/>
    <n v="0"/>
    <n v="0"/>
    <n v="0"/>
    <n v="2282186"/>
    <n v="15391000"/>
    <n v="0"/>
    <n v="1936462"/>
    <n v="0"/>
    <n v="0"/>
    <m/>
    <n v="68882451"/>
    <s v="RS**"/>
  </r>
  <r>
    <m/>
    <m/>
    <m/>
    <m/>
    <m/>
    <x v="0"/>
    <m/>
    <m/>
    <m/>
    <m/>
    <m/>
    <m/>
    <s v="Luisa Adela  Macias Bahamonde"/>
    <m/>
    <m/>
    <s v="CONSULTORIA"/>
    <m/>
    <m/>
    <n v="60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CONTRATACION DEL PROGRAMA"/>
    <m/>
    <m/>
    <n v="415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25000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SOCIAL"/>
    <x v="6"/>
    <s v="FOMENTO"/>
    <n v="36"/>
    <s v="LIBRE"/>
    <s v="FUNCHI"/>
    <n v="40016769"/>
    <m/>
    <s v="Luisa Adela  Macias Bahamonde"/>
    <s v="40016769SERCOTEC"/>
    <m/>
    <s v="TRANSFERENCIA  EN CULTIVO EN AM Y CCAA BENTONICA, ALGAS Y AGREGACION DE VALOR PRODUCCION P.A."/>
    <s v="* CERT. CORE 23 01.2020 REEMPLAZA Y ELIMINA COMPONENTE"/>
    <m/>
    <n v="1000000000"/>
    <m/>
    <m/>
    <m/>
    <m/>
    <n v="1000000000"/>
    <n v="120977000"/>
    <m/>
    <n v="459648000"/>
    <n v="459648000"/>
    <n v="0"/>
    <n v="0"/>
    <n v="0"/>
    <n v="0"/>
    <n v="0"/>
    <n v="0"/>
    <n v="459648000"/>
    <n v="0"/>
    <n v="0"/>
    <n v="0"/>
    <n v="0"/>
    <n v="0"/>
    <n v="0"/>
    <m/>
    <n v="419375000"/>
    <s v="RS**"/>
  </r>
  <r>
    <m/>
    <m/>
    <m/>
    <m/>
    <m/>
    <x v="0"/>
    <m/>
    <m/>
    <m/>
    <m/>
    <m/>
    <m/>
    <s v="Luisa Adela  Macias Bahamonde"/>
    <m/>
    <m/>
    <s v="CONSULTORIA"/>
    <m/>
    <m/>
    <n v="120000000"/>
    <m/>
    <m/>
    <m/>
    <m/>
    <n v="120000000"/>
    <m/>
    <m/>
    <m/>
    <n v="0"/>
    <m/>
    <m/>
    <m/>
    <m/>
    <m/>
    <m/>
    <m/>
    <m/>
    <m/>
    <m/>
    <m/>
    <m/>
    <m/>
    <m/>
    <n v="120000000"/>
    <m/>
  </r>
  <r>
    <m/>
    <m/>
    <m/>
    <m/>
    <m/>
    <x v="0"/>
    <m/>
    <m/>
    <m/>
    <m/>
    <m/>
    <m/>
    <s v="Luisa Adela  Macias Bahamonde"/>
    <m/>
    <m/>
    <s v="CONTRATACION DEL PROGRAMA"/>
    <m/>
    <m/>
    <n v="830000000"/>
    <m/>
    <m/>
    <m/>
    <m/>
    <n v="830000000"/>
    <m/>
    <m/>
    <m/>
    <n v="0"/>
    <m/>
    <m/>
    <m/>
    <m/>
    <m/>
    <m/>
    <m/>
    <m/>
    <m/>
    <m/>
    <m/>
    <m/>
    <m/>
    <m/>
    <n v="830000000"/>
    <m/>
  </r>
  <r>
    <m/>
    <m/>
    <m/>
    <m/>
    <m/>
    <x v="0"/>
    <m/>
    <m/>
    <m/>
    <m/>
    <m/>
    <m/>
    <s v="Luisa Adela  Macias Bahamonde"/>
    <m/>
    <m/>
    <s v="GASTOS ADMINISTRATIVOS"/>
    <m/>
    <m/>
    <n v="50000000"/>
    <m/>
    <m/>
    <m/>
    <m/>
    <n v="50000000"/>
    <m/>
    <m/>
    <m/>
    <n v="0"/>
    <m/>
    <m/>
    <m/>
    <m/>
    <m/>
    <m/>
    <m/>
    <m/>
    <m/>
    <m/>
    <m/>
    <m/>
    <m/>
    <m/>
    <n v="5000000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A"/>
    <s v="MULTISECTORIAL"/>
    <s v="RURAL"/>
    <s v="SOCIAL"/>
    <x v="6"/>
    <s v="FOMENTO"/>
    <n v="36"/>
    <s v="LIBRE"/>
    <s v="SEREMI DE BIENES NACIONALES"/>
    <n v="40004275"/>
    <m/>
    <s v="Luisa Adela  Macias Bahamonde"/>
    <s v="40004275SEREMI DE BIENES NACIONALES"/>
    <m/>
    <s v="SANEAMIENTO PROGRAMA NACIONAL DE REGULARIZACION &quot;CHILE PROPIETARIO&quot;"/>
    <m/>
    <m/>
    <m/>
    <m/>
    <m/>
    <m/>
    <m/>
    <n v="1200000000"/>
    <n v="7925370"/>
    <m/>
    <n v="148878614"/>
    <n v="126547614"/>
    <n v="22331000"/>
    <n v="0"/>
    <n v="0"/>
    <n v="0"/>
    <n v="0"/>
    <n v="0"/>
    <n v="0"/>
    <n v="47162028"/>
    <n v="15086452"/>
    <n v="64299134"/>
    <n v="0"/>
    <n v="0"/>
    <n v="0"/>
    <m/>
    <n v="1043196016"/>
    <s v="RS**"/>
  </r>
  <r>
    <n v="33"/>
    <s v="A"/>
    <s v="SALUD"/>
    <s v="URBANO "/>
    <s v="SALUD"/>
    <x v="6"/>
    <s v="FOMENTO"/>
    <n v="36"/>
    <s v="LIBRE"/>
    <s v="SERV. SALUD OSORNO"/>
    <n v="40015599"/>
    <m/>
    <e v="#N/A"/>
    <s v="40015599SERV. SALUD OSORNO"/>
    <m/>
    <s v="CAPACITACION PARA LA PREVENCIÓN Y DIAG. PRECOZ DEL CÁNCER COLORRECTAL, Provincia de osorno"/>
    <s v="* CERT. CORE 311 26.09.19 - APRUEBA PROGRAMA"/>
    <m/>
    <m/>
    <m/>
    <m/>
    <m/>
    <m/>
    <n v="200000000"/>
    <n v="16850000"/>
    <m/>
    <n v="100000000"/>
    <n v="0"/>
    <n v="100000000"/>
    <n v="0"/>
    <n v="0"/>
    <n v="0"/>
    <n v="0"/>
    <n v="0"/>
    <n v="0"/>
    <n v="0"/>
    <n v="0"/>
    <n v="0"/>
    <n v="0"/>
    <n v="0"/>
    <n v="0"/>
    <m/>
    <n v="83150000"/>
    <s v="RS**"/>
  </r>
  <r>
    <n v="33"/>
    <s v="A"/>
    <s v="SILVOAGROPECUARIO"/>
    <s v="RURAL"/>
    <s v="FOMENTO PRODUCTIVO"/>
    <x v="6"/>
    <s v="FOMENTO"/>
    <n v="36"/>
    <s v="LIBRE"/>
    <s v="SAG"/>
    <n v="30482027"/>
    <m/>
    <s v="Luisa Adela  Macias Bahamonde"/>
    <s v="30482027SAG"/>
    <m/>
    <s v="ERRADICACION DE LA BRUCELOSIS BOVINA"/>
    <m/>
    <m/>
    <n v="694302000"/>
    <m/>
    <m/>
    <m/>
    <m/>
    <n v="499999364"/>
    <n v="420749364"/>
    <m/>
    <n v="53627529"/>
    <n v="53627529"/>
    <n v="0"/>
    <n v="0"/>
    <n v="0"/>
    <n v="0"/>
    <n v="0"/>
    <n v="0"/>
    <n v="72529"/>
    <n v="0"/>
    <n v="0"/>
    <n v="0"/>
    <n v="53555000"/>
    <n v="0"/>
    <n v="0"/>
    <m/>
    <n v="25622471"/>
    <s v="RS**"/>
  </r>
  <r>
    <m/>
    <m/>
    <m/>
    <m/>
    <m/>
    <x v="0"/>
    <m/>
    <m/>
    <m/>
    <m/>
    <m/>
    <m/>
    <s v="Luisa Adela  Macias Bahamonde"/>
    <m/>
    <m/>
    <s v="CONTRATACION DEL PROGRAMA"/>
    <m/>
    <m/>
    <n v="423766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s v="Luisa Adela  Macias Bahamonde"/>
    <m/>
    <m/>
    <s v="GASTOS ADMINISTRATIVOS"/>
    <m/>
    <m/>
    <n v="270536000"/>
    <m/>
    <m/>
    <m/>
    <m/>
    <m/>
    <m/>
    <m/>
    <m/>
    <n v="0"/>
    <m/>
    <m/>
    <m/>
    <m/>
    <m/>
    <m/>
    <m/>
    <m/>
    <m/>
    <m/>
    <m/>
    <m/>
    <m/>
    <m/>
    <n v="0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n v="0"/>
    <m/>
    <m/>
    <m/>
    <m/>
    <m/>
    <m/>
    <m/>
    <m/>
    <m/>
    <m/>
    <m/>
    <m/>
    <m/>
    <m/>
    <n v="0"/>
    <m/>
  </r>
  <r>
    <n v="33"/>
    <s v="N"/>
    <s v="INDUSTRIA, COMERCIO, FINANZAS Y TURISMO"/>
    <s v="RURAL"/>
    <s v="FOMENTO PRODUCTIVO"/>
    <x v="6"/>
    <s v="FOMENTO"/>
    <n v="36"/>
    <s v="PV"/>
    <s v="INDAP"/>
    <n v="30341323"/>
    <s v="V"/>
    <m/>
    <s v="30341323INDAP"/>
    <m/>
    <s v="TRANSFERENCIA FORTALECIMIENTO Y COMPETITIVIDAD DE LA ARTESANIA"/>
    <m/>
    <m/>
    <m/>
    <m/>
    <m/>
    <m/>
    <m/>
    <n v="189316581"/>
    <n v="189316581"/>
    <m/>
    <n v="0"/>
    <n v="0"/>
    <n v="0"/>
    <n v="0"/>
    <n v="0"/>
    <n v="0"/>
    <n v="0"/>
    <n v="0"/>
    <n v="0"/>
    <n v="0"/>
    <n v="0"/>
    <n v="0"/>
    <n v="0"/>
    <n v="0"/>
    <n v="0"/>
    <m/>
    <n v="0"/>
    <s v="RS**"/>
  </r>
  <r>
    <m/>
    <m/>
    <m/>
    <m/>
    <m/>
    <x v="0"/>
    <m/>
    <m/>
    <m/>
    <m/>
    <m/>
    <m/>
    <m/>
    <m/>
    <m/>
    <s v="TOTAL DE INICIATIVAS EN EJECUCION / LIQUIDACION / TERMINADAS"/>
    <m/>
    <m/>
    <m/>
    <m/>
    <m/>
    <m/>
    <m/>
    <n v="22029971579"/>
    <n v="12223592199"/>
    <m/>
    <n v="6741139145"/>
    <n v="1347452418"/>
    <n v="5393686727"/>
    <n v="0"/>
    <n v="0"/>
    <n v="0"/>
    <n v="0"/>
    <n v="0"/>
    <n v="466655149"/>
    <n v="50144214"/>
    <n v="140167108"/>
    <n v="175426362"/>
    <n v="515059585"/>
    <n v="0"/>
    <n v="0"/>
    <m/>
    <n v="3065240235"/>
    <m/>
  </r>
  <r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x v="0"/>
    <m/>
    <m/>
    <m/>
    <m/>
    <m/>
    <m/>
    <m/>
    <m/>
    <m/>
    <s v="INICIATIVAS EN CONVENIO / LICITACION / ADJUDICACION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N"/>
    <s v="INDUSTRIA, COMERCIO, FINANZAS Y TURISMO"/>
    <s v="URBANO"/>
    <s v="FOMENTO PRODUCTIVO"/>
    <x v="6"/>
    <s v="FOMENTO"/>
    <n v="36"/>
    <s v="LIBRE"/>
    <s v="SENAMA"/>
    <n v="40026610"/>
    <m/>
    <m/>
    <m/>
    <m/>
    <s v="INSUMOS Y ALIMENTACION PARA ELEAM DE LOS LAGOS, PUERTO MONTT"/>
    <s v="* CERT. CORE 223 07.20 APRUEBA"/>
    <m/>
    <m/>
    <m/>
    <m/>
    <m/>
    <m/>
    <n v="14917780"/>
    <n v="0"/>
    <m/>
    <n v="14917780"/>
    <n v="0"/>
    <n v="14917780"/>
    <m/>
    <m/>
    <m/>
    <m/>
    <m/>
    <m/>
    <m/>
    <m/>
    <m/>
    <m/>
    <m/>
    <m/>
    <m/>
    <n v="0"/>
    <s v="RS**"/>
  </r>
  <r>
    <n v="33"/>
    <s v="N"/>
    <s v="INDUSTRIA, COMERCIO, FINANZAS Y TURISMO"/>
    <s v="URBANO"/>
    <s v="FOMENTO PRODUCTIVO"/>
    <x v="6"/>
    <s v="FOMENTO"/>
    <n v="36"/>
    <s v="LIBRE"/>
    <s v="SENAMA"/>
    <n v="40026612"/>
    <m/>
    <m/>
    <m/>
    <m/>
    <s v="INSUMOS Y ALIMENTACION PARA ELEAM DE LOS LAGOS, PUERTO VARAS"/>
    <s v="* CERT. CORE 222 07.20 APRUEBA"/>
    <m/>
    <m/>
    <m/>
    <m/>
    <m/>
    <m/>
    <n v="6261750"/>
    <n v="0"/>
    <m/>
    <n v="6261750"/>
    <n v="0"/>
    <n v="6261750"/>
    <m/>
    <m/>
    <m/>
    <m/>
    <m/>
    <m/>
    <m/>
    <m/>
    <m/>
    <m/>
    <m/>
    <m/>
    <m/>
    <n v="0"/>
    <s v="RS**"/>
  </r>
  <r>
    <n v="33"/>
    <s v="A"/>
    <s v="RECURSOS NATURALES Y MEDIO AMBIENTE"/>
    <s v="RURAL"/>
    <s v="FOMENTO PRODUCTIVO"/>
    <x v="6"/>
    <s v="FOMENTO"/>
    <n v="36"/>
    <s v="LIBRE"/>
    <s v="SEREMI MEDIO AMBIENTE"/>
    <n v="40005399"/>
    <m/>
    <m/>
    <s v="40005399SEREMI MEDIO AMBIENTE"/>
    <m/>
    <s v="TRANSFERENCIA CAPACITACION EN EL USO EFICIENTE DE LA CALEFACCION RESIDENCIAL EN OSORNO"/>
    <s v="* CERT. CORE 376 07.11.19 - APRUEBA PROGRAMA CON CARGO AL FNDR"/>
    <m/>
    <n v="2212769000"/>
    <m/>
    <m/>
    <m/>
    <m/>
    <n v="2212769231"/>
    <n v="0"/>
    <m/>
    <n v="319927471"/>
    <n v="0"/>
    <n v="319927471"/>
    <n v="0"/>
    <n v="0"/>
    <n v="0"/>
    <n v="0"/>
    <n v="0"/>
    <n v="0"/>
    <n v="0"/>
    <n v="0"/>
    <n v="0"/>
    <n v="0"/>
    <n v="0"/>
    <n v="0"/>
    <m/>
    <n v="1892841760"/>
    <s v="RS**"/>
  </r>
  <r>
    <n v="33"/>
    <s v="A"/>
    <s v="MULTISECTORIAL"/>
    <s v="RURAL"/>
    <s v="SOCIAL"/>
    <x v="6"/>
    <s v="FOMENTO"/>
    <n v="36"/>
    <s v="LIBRE"/>
    <m/>
    <n v="30485056"/>
    <m/>
    <e v="#N/A"/>
    <s v="30485056"/>
    <m/>
    <s v="CAPACITACION TECNICA PARA IMPLEMEN PLAN &quot;DESARROLLO INDUSTRIA DE LA MITILICULTURA SUSTENTABLE"/>
    <s v="* CERT. CORE 252 22.08.19 - APRUEBA PROGRAMA CON CARGO AL FNDR."/>
    <m/>
    <m/>
    <m/>
    <m/>
    <m/>
    <m/>
    <n v="3278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207800000"/>
    <s v="RS**"/>
  </r>
  <r>
    <n v="33"/>
    <s v="A"/>
    <s v="MULTISECTORIAL"/>
    <s v="RURAL"/>
    <s v="SOCIAL"/>
    <x v="6"/>
    <s v="FOMENTO"/>
    <n v="36"/>
    <s v="LIBRE"/>
    <s v="SERCOTEC"/>
    <n v="40016559"/>
    <m/>
    <e v="#N/A"/>
    <s v="40016559SERCOTEC"/>
    <m/>
    <s v="TRANSFERENCIA DE REACTIVACION Y CAPACITACION VILLA SANTA LUCIA"/>
    <s v="* CERT. CORE 283 12.09.19 - APRUEBA AGREGAR AL EE.SS CON CARGO AL FNDR"/>
    <m/>
    <m/>
    <m/>
    <m/>
    <m/>
    <m/>
    <n v="231418750"/>
    <n v="0"/>
    <m/>
    <n v="110000000"/>
    <n v="0"/>
    <n v="110000000"/>
    <n v="0"/>
    <n v="0"/>
    <n v="0"/>
    <n v="0"/>
    <n v="0"/>
    <n v="0"/>
    <n v="0"/>
    <n v="0"/>
    <n v="0"/>
    <n v="0"/>
    <n v="0"/>
    <n v="0"/>
    <m/>
    <n v="121418750"/>
    <s v="RS**"/>
  </r>
  <r>
    <n v="33"/>
    <s v="A"/>
    <s v="RECURSOS NATURALES Y MEDIO AMBIENTE"/>
    <s v="RURAL"/>
    <s v="SILVOAGROPECUARIO"/>
    <x v="6"/>
    <s v="FOMENTO"/>
    <n v="36"/>
    <s v="LIBRE"/>
    <s v="SEREMI DE AGRICULTURA"/>
    <n v="40012343"/>
    <s v="G"/>
    <e v="#N/A"/>
    <s v="40012343SEREMI DE AGRICULTURA"/>
    <m/>
    <s v="CAPACITACION  Y FERTILIZACION INTEGRAL DE PRADERAS DE LA REGION DE LOS LAGOS"/>
    <s v="* CERT. CORE 308 26.09.19 - APRUEBA PROGRAMA."/>
    <m/>
    <m/>
    <m/>
    <m/>
    <m/>
    <m/>
    <n v="2256500000"/>
    <n v="0"/>
    <m/>
    <n v="140352000"/>
    <n v="0"/>
    <n v="140352000"/>
    <n v="0"/>
    <n v="0"/>
    <n v="0"/>
    <n v="0"/>
    <n v="0"/>
    <n v="0"/>
    <n v="0"/>
    <n v="0"/>
    <n v="0"/>
    <n v="0"/>
    <n v="0"/>
    <n v="0"/>
    <m/>
    <n v="2116148000"/>
    <s v="RS**"/>
  </r>
  <r>
    <n v="33"/>
    <s v="A"/>
    <s v="INDUSTRIA, COMERCIO, FINANZAS Y TURISMO"/>
    <s v="RURAL"/>
    <s v="TURISMO"/>
    <x v="6"/>
    <s v="FOMENTO"/>
    <n v="36"/>
    <s v="LIBRE"/>
    <s v="SERNATUR"/>
    <n v="40017839"/>
    <m/>
    <e v="#N/A"/>
    <s v="40017839SERNATUR"/>
    <m/>
    <s v="* CAPACITACION Y POSICIONAMIENTO PATAGONIA VERDE COMO DESTINO DE TURISMO AVENTURA"/>
    <s v="* CERT. CORE 310 26.09.19 - APRUEBA PROGRAMA / CERT. CORE 71 02.2020 CAMBIA NOMBRE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GORE"/>
    <n v="40020255"/>
    <s v="AC. COMPL."/>
    <m/>
    <s v="40020255GORE"/>
    <m/>
    <s v="TRANSFERENCIA REACTIVACION ECONOMICA PYMES TURISMO REGION DE LOS LAGOS"/>
    <s v="* CERT. CORE 33 07.02.20 - APRUEBA"/>
    <m/>
    <m/>
    <m/>
    <m/>
    <m/>
    <m/>
    <n v="15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500000000"/>
    <s v="RS**"/>
  </r>
  <r>
    <n v="33"/>
    <s v="N"/>
    <s v="SILVOAGROPECUARIO"/>
    <s v="RURAL"/>
    <s v="FOMENTO PRODUCTIVO"/>
    <x v="6"/>
    <s v="FOMENTO"/>
    <n v="36"/>
    <s v="LIBRE"/>
    <s v="GORE"/>
    <n v="40019474"/>
    <s v="AC. SOCIAL"/>
    <m/>
    <s v="40019474GORE"/>
    <m/>
    <s v="PROGRAMA DIVERSIFICACION PRODUCTIVA MUJERES EMP. SECTOR ALGUERO"/>
    <s v="* CERT. CORE PPTO 2020 / * CERT. CORE 87 03.2020"/>
    <m/>
    <m/>
    <m/>
    <m/>
    <m/>
    <m/>
    <n v="120000000"/>
    <n v="0"/>
    <m/>
    <n v="120000000"/>
    <n v="0"/>
    <n v="12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SILVOAGROPECUARIO"/>
    <s v="RURAL"/>
    <s v="FOMENTO PRODUCTIVO"/>
    <x v="6"/>
    <s v="FOMENTO"/>
    <n v="36"/>
    <s v="LIBRE"/>
    <s v="GORE"/>
    <n v="40019475"/>
    <s v="AC. SOCIAL"/>
    <m/>
    <s v="40019475GORE"/>
    <m/>
    <s v="PROGRAMA DE TRANSFERENCIA CAPACITACION Y RECONVERSION LABORAL PARA ALGUEROS DE ANCUD"/>
    <s v="* CERT. CORE PPTO 2020 / * CERT. CORE 88  03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SENAMA"/>
    <n v="40024008"/>
    <s v="AC. SOCIAL"/>
    <m/>
    <s v="40019534GORE"/>
    <m/>
    <s v="PREVENCION PROGRAMA MEJORAMIENTO INTEGRAL DE LA CALIDAD DE VIDA DE LAS PERSONAS MAYORES REGION DE LOS LAGOS"/>
    <s v="* CERT. CORE 207 07.20"/>
    <m/>
    <m/>
    <m/>
    <m/>
    <m/>
    <m/>
    <n v="474000000"/>
    <n v="0"/>
    <m/>
    <n v="474000000"/>
    <n v="0"/>
    <n v="474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SENAMA"/>
    <n v="40015477"/>
    <s v="AC. SOCIAL"/>
    <m/>
    <s v="40019534GORE"/>
    <m/>
    <s v="PREVENCION PROGRAMA DE CUIDADOS DOMICILIARIOS REGION DE LOS LAGOS"/>
    <s v="* CERT. CORE 47 02.20"/>
    <m/>
    <m/>
    <m/>
    <m/>
    <m/>
    <m/>
    <n v="456000000"/>
    <n v="0"/>
    <m/>
    <n v="456000000"/>
    <n v="0"/>
    <n v="456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TRANSPORTE Y VIVIENDA"/>
    <s v="URBANO"/>
    <s v="FOMENTO PRODUCTIVO"/>
    <x v="6"/>
    <s v="FOMENTO"/>
    <n v="36"/>
    <s v="LIBRE"/>
    <s v="SEREMI VIVIENDA"/>
    <n v="40019485"/>
    <s v="AC. SOCIAL"/>
    <m/>
    <s v="40019485SEREMI VIVIENDA"/>
    <m/>
    <s v="TRANSFERENCIA MEJORAMIENTO DE VIVIENDAS CON SUBSIDIOS ENFOCADOS A EFICIENCIA ENERGETICA"/>
    <s v="* / * CERT. CORE 22 01.20 - APRUEBA PROGRAMA"/>
    <m/>
    <m/>
    <m/>
    <m/>
    <m/>
    <m/>
    <n v="1300000000"/>
    <n v="0"/>
    <m/>
    <n v="1300000000"/>
    <n v="0"/>
    <n v="13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TRANSPORTE Y VIVIENDA"/>
    <s v="URBANO"/>
    <s v="FOMENTO PRODUCTIVO"/>
    <x v="6"/>
    <s v="FOMENTO"/>
    <n v="36"/>
    <s v="LIBRE"/>
    <s v="FOSIS"/>
    <n v="40019414"/>
    <s v="AC. SOCIAL"/>
    <m/>
    <s v="40019414FOSIS"/>
    <m/>
    <s v="TRANSFERENCIA MEJORAMIENTO CONDICIONES DE HABITABILIDAD"/>
    <s v="* / * CERT. CORE 11 01.20 - APRUEBA INICIATIVA"/>
    <m/>
    <m/>
    <m/>
    <m/>
    <m/>
    <m/>
    <n v="500000000"/>
    <n v="0"/>
    <m/>
    <n v="500000000"/>
    <n v="0"/>
    <n v="5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SILVOAGROPECUARIO"/>
    <s v="RURAL"/>
    <s v="FOMENTO PRODUCTIVO"/>
    <x v="6"/>
    <s v="FOMENTO"/>
    <n v="36"/>
    <s v="LIBRE"/>
    <s v="GORE"/>
    <n v="40019379"/>
    <s v="AC. SOCIAL"/>
    <m/>
    <s v="40019379GORE"/>
    <m/>
    <s v="PROGRAMA DE APOYO A PESCADORES ARTESANALES DEMERSALES"/>
    <s v="* CERT. CORE PPTO 2020 / * CERT. CORE 90 03.2020"/>
    <m/>
    <m/>
    <m/>
    <m/>
    <m/>
    <m/>
    <n v="300000000"/>
    <n v="0"/>
    <m/>
    <n v="300000000"/>
    <n v="0"/>
    <n v="3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SILVOAGROPECUARIO"/>
    <s v="RURAL"/>
    <s v="FOMENTO PRODUCTIVO"/>
    <x v="6"/>
    <s v="FOMENTO"/>
    <n v="36"/>
    <s v="LIBRE"/>
    <s v="GORE"/>
    <n v="40019479"/>
    <s v="AC. SOCIAL"/>
    <m/>
    <s v="40019479GORE"/>
    <m/>
    <s v="PROGRAMA DE TRANSFERENCIA DESARROLLO ECONOMICO LOCAL SAN JUAN DE LA COSTA"/>
    <s v="* CERT. CORE PPTO 2020 / * CERT. CORE 89 03.2020"/>
    <m/>
    <m/>
    <m/>
    <m/>
    <m/>
    <m/>
    <n v="100000000"/>
    <n v="0"/>
    <m/>
    <n v="100000000"/>
    <n v="0"/>
    <n v="1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RURAL"/>
    <s v="FOMENTO PRODUCTIVO"/>
    <x v="6"/>
    <s v="FOMENTO"/>
    <n v="36"/>
    <s v="LIBRE"/>
    <s v="FOSIS"/>
    <n v="40019469"/>
    <s v="AC. SOCIAL"/>
    <m/>
    <s v="40019469FOSIS"/>
    <m/>
    <s v="REPOSICION PROGRAMA DE EMPRENDIMIENTO DE MUJERES JEFAS DE HOGAR"/>
    <s v="* CERT. CORE PPTO / CERT. CORE 70 02.2020"/>
    <m/>
    <m/>
    <m/>
    <m/>
    <m/>
    <m/>
    <n v="150000000"/>
    <n v="0"/>
    <m/>
    <n v="150000000"/>
    <n v="0"/>
    <n v="15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RURAL"/>
    <s v="FOMENTO PRODUCTIVO"/>
    <x v="6"/>
    <s v="FOMENTO"/>
    <n v="36"/>
    <s v="LIBRE"/>
    <s v="GORE"/>
    <n v="40019440"/>
    <s v="AC. SOCIAL"/>
    <m/>
    <s v="40019440GORE"/>
    <m/>
    <s v="CAPACITACION APOYO AL EMPREDIMIENTO DE LA MUJER: UN PASO MAS"/>
    <s v="* CERT. CORE PPTO 2020 / * CERT. CORE 72 03.2020"/>
    <m/>
    <m/>
    <m/>
    <m/>
    <m/>
    <m/>
    <n v="130000000"/>
    <n v="0"/>
    <m/>
    <n v="130000000"/>
    <n v="0"/>
    <n v="13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GORE"/>
    <n v="40019477"/>
    <s v="AC. SOCIAL"/>
    <m/>
    <s v="40019477GORE"/>
    <m/>
    <s v="TRANSFERENCIA APOYO LEVANTEMOS PYMES"/>
    <s v="* CERT. CORE PPTO / CERT. CORE 69 02.2020"/>
    <m/>
    <m/>
    <m/>
    <m/>
    <m/>
    <m/>
    <n v="1000000000"/>
    <n v="0"/>
    <m/>
    <n v="1000000000"/>
    <n v="0"/>
    <n v="10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GORE"/>
    <n v="40019444"/>
    <s v="AC. SOCIAL"/>
    <m/>
    <s v="40019444GORE"/>
    <m/>
    <s v="PREVENCION APOYO A LA REINSERCION SOCIAL, UN COMPROMISO EN SOCIEDAD"/>
    <s v="* CERT. CORE 48 07.02.20 - CAMBIA NOMBRE"/>
    <m/>
    <m/>
    <m/>
    <m/>
    <m/>
    <m/>
    <n v="200000000"/>
    <n v="0"/>
    <m/>
    <n v="200000000"/>
    <n v="0"/>
    <n v="200000000"/>
    <n v="0"/>
    <n v="0"/>
    <n v="0"/>
    <n v="0"/>
    <n v="0"/>
    <n v="0"/>
    <n v="0"/>
    <n v="0"/>
    <n v="0"/>
    <n v="0"/>
    <n v="0"/>
    <n v="0"/>
    <m/>
    <n v="0"/>
    <s v="RS**"/>
  </r>
  <r>
    <n v="33"/>
    <s v="N"/>
    <s v="INDUSTRIA, COMERCIO, FINANZAS Y TURISMO"/>
    <s v="URBANO"/>
    <s v="FOMENTO PRODUCTIVO"/>
    <x v="6"/>
    <s v="FOMENTO"/>
    <n v="36"/>
    <s v="LIBRE"/>
    <s v="SERCOTEC"/>
    <n v="40025181"/>
    <s v="COVID19"/>
    <m/>
    <s v="40025181SERCOTEC"/>
    <m/>
    <s v="** RECUPERACION ECONÓMICA MICROEMPRESAS LOS LAGOS (REACTÍVATE)"/>
    <s v="* CERT.CORE 170 06.2020"/>
    <m/>
    <m/>
    <m/>
    <m/>
    <m/>
    <m/>
    <n v="2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000000000"/>
    <s v="RS**"/>
  </r>
  <r>
    <n v="33"/>
    <s v="N"/>
    <s v="RECURSOS NATURALES Y MEDIO AMBIENTE"/>
    <s v="URBANO"/>
    <s v="FOMENTO PRODUCTIVO"/>
    <x v="6"/>
    <s v="FOMENTO"/>
    <n v="36"/>
    <s v="LIBRE"/>
    <s v="FUNDACION CHINQUIHUE"/>
    <n v="40025247"/>
    <s v="COVID19"/>
    <m/>
    <s v="40025247FUNDACION CHINQUIHUE"/>
    <m/>
    <s v="** RECUPERACION ECONOMICA A TRAVES DE MICROEMPRESAS FAMILIARES"/>
    <s v="* CERT.CORE 171 06.2020"/>
    <m/>
    <m/>
    <m/>
    <m/>
    <m/>
    <m/>
    <n v="100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000000000"/>
    <s v="RS**"/>
  </r>
  <r>
    <n v="33"/>
    <s v="N"/>
    <s v="INDUSTRIA, COMERCIO, FINANZAS Y TURISMO"/>
    <s v="URBANO"/>
    <s v="FOMENTO PRODUCTIVO"/>
    <x v="6"/>
    <s v="FOMENTO"/>
    <n v="36"/>
    <s v="LIBRE"/>
    <s v="FOSIS"/>
    <n v="40025197"/>
    <s v="COVID19"/>
    <m/>
    <s v="40025197FOSIS"/>
    <m/>
    <s v="** RECUPERACION ECONOMICA A TRAVES DE MICROEMPRESAS FAMILIARES"/>
    <s v="* CERT.CORE 172 06.2020"/>
    <m/>
    <m/>
    <m/>
    <m/>
    <m/>
    <m/>
    <n v="17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1750000000"/>
    <s v="RS**"/>
  </r>
  <r>
    <n v="33"/>
    <s v="N"/>
    <s v="INDUSTRIA, COMERCIO, FINANZAS Y TURISMO"/>
    <s v="URBANO"/>
    <s v="FOMENTO PRODUCTIVO"/>
    <x v="6"/>
    <s v="FOMENTO"/>
    <n v="36"/>
    <s v="LIBRE"/>
    <s v="FUNDACION ARTESANIAS DE CHILE"/>
    <n v="40025326"/>
    <m/>
    <m/>
    <s v="40025326FUNDACION ARTESANIAS DE CHILE"/>
    <m/>
    <s v="** RECUPERACION ECONÓMICA DE LA ARTESANÍA TRADICIONAL DE LA REGIÓN DE LOS LAGOS   "/>
    <s v="* CERT.CORE 173 06.2020"/>
    <m/>
    <m/>
    <m/>
    <m/>
    <m/>
    <m/>
    <n v="250000000"/>
    <n v="0"/>
    <m/>
    <n v="0"/>
    <n v="0"/>
    <n v="0"/>
    <n v="0"/>
    <n v="0"/>
    <n v="0"/>
    <n v="0"/>
    <n v="0"/>
    <n v="0"/>
    <n v="0"/>
    <n v="0"/>
    <n v="0"/>
    <n v="0"/>
    <n v="0"/>
    <n v="0"/>
    <m/>
    <n v="250000000"/>
    <s v="RS**"/>
  </r>
  <r>
    <n v="33"/>
    <s v="N"/>
    <s v="SILVOAGROPECUARIO"/>
    <s v="RURAL"/>
    <s v="FOMENTO PRODUCTIVO"/>
    <x v="6"/>
    <s v="FOMENTO"/>
    <n v="36"/>
    <s v="LIBRE"/>
    <s v="SEREMI DE AGRIC."/>
    <n v="40014466"/>
    <s v="G"/>
    <m/>
    <s v="40014466SEREMI DE AGRIC."/>
    <m/>
    <s v="CAPACITACION Y FOMENTO PARA FORTALECER EL RIEGO TECNIFICADO DE LA REGION DE LOS LAGOS "/>
    <m/>
    <m/>
    <m/>
    <m/>
    <m/>
    <m/>
    <m/>
    <n v="2040000000"/>
    <n v="0"/>
    <m/>
    <n v="250000000"/>
    <n v="0"/>
    <n v="250000000"/>
    <n v="0"/>
    <n v="0"/>
    <n v="0"/>
    <n v="0"/>
    <n v="0"/>
    <n v="0"/>
    <n v="0"/>
    <n v="0"/>
    <n v="0"/>
    <n v="0"/>
    <n v="0"/>
    <n v="0"/>
    <m/>
    <n v="1790000000"/>
    <s v="RS**"/>
  </r>
  <r>
    <m/>
    <m/>
    <m/>
    <m/>
    <m/>
    <x v="0"/>
    <m/>
    <m/>
    <m/>
    <m/>
    <m/>
    <m/>
    <m/>
    <m/>
    <m/>
    <s v="TOTAL DE INICIATIVAS EN CONVENIO / LICITACION / ADJUDICACION"/>
    <m/>
    <m/>
    <m/>
    <m/>
    <m/>
    <m/>
    <m/>
    <n v="18569667511"/>
    <n v="0"/>
    <m/>
    <n v="6941459001"/>
    <n v="0"/>
    <n v="6941459001"/>
    <n v="0"/>
    <n v="0"/>
    <n v="0"/>
    <n v="0"/>
    <n v="0"/>
    <n v="0"/>
    <n v="0"/>
    <n v="0"/>
    <n v="0"/>
    <n v="0"/>
    <n v="0"/>
    <n v="0"/>
    <m/>
    <n v="679000000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3" cacheId="2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SION">
  <location ref="A16:G28" firstHeaderRow="1" firstDataRow="2" firstDataCol="1"/>
  <pivotFields count="4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13">
        <item x="5"/>
        <item x="1"/>
        <item x="10"/>
        <item x="4"/>
        <item x="3"/>
        <item x="2"/>
        <item x="9"/>
        <item x="7"/>
        <item m="1" x="12"/>
        <item x="6"/>
        <item m="1" x="11"/>
        <item h="1" x="0"/>
        <item x="8"/>
      </items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8" baseItem="6" numFmtId="3"/>
    <dataField name=" COMPROMISO 2020" fld="26" baseField="0" baseItem="0"/>
    <dataField name="Suma de TOTAL PAGOS AL 31 JULIO 2020" fld="27" baseField="8" baseItem="2" numFmtId="3"/>
    <dataField name=" SALDO COMPROMISO" fld="28" baseField="8" baseItem="5" numFmtId="3"/>
    <dataField name=" ARRASTRE" fld="42" baseField="0" baseItem="0"/>
  </dataFields>
  <formats count="6">
    <format dxfId="61">
      <pivotArea outline="0" collapsedLevelsAreSubtotals="1" fieldPosition="0"/>
    </format>
    <format dxfId="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9">
      <pivotArea type="all" dataOnly="0" outline="0" fieldPosition="0"/>
    </format>
    <format dxfId="58">
      <pivotArea outline="0" fieldPosition="0">
        <references count="1">
          <reference field="4294967294" count="1">
            <x v="4"/>
          </reference>
        </references>
      </pivotArea>
    </format>
    <format dxfId="57">
      <pivotArea outline="0" fieldPosition="0">
        <references count="1">
          <reference field="4294967294" count="1">
            <x v="1"/>
          </reference>
        </references>
      </pivotArea>
    </format>
    <format dxfId="56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SION">
  <location ref="A93:G105" firstHeaderRow="0" firstDataRow="1" firstDataCol="1"/>
  <pivotFields count="46">
    <pivotField showAll="0"/>
    <pivotField showAll="0"/>
    <pivotField axis="axisRow" showAll="0">
      <items count="20">
        <item x="7"/>
        <item x="3"/>
        <item x="5"/>
        <item x="2"/>
        <item x="8"/>
        <item x="10"/>
        <item x="4"/>
        <item m="1" x="14"/>
        <item m="1" x="17"/>
        <item x="6"/>
        <item x="11"/>
        <item x="1"/>
        <item h="1" x="0"/>
        <item x="9"/>
        <item m="1" x="12"/>
        <item m="1" x="18"/>
        <item m="1" x="13"/>
        <item m="1" x="15"/>
        <item m="1"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dataField="1" showAll="0"/>
    <pivotField dataField="1" showAll="0"/>
    <pivotField showAll="0"/>
    <pivotField dataField="1" showAll="0" defaultSubtotal="0"/>
    <pivotField dataField="1" showAll="0" defaultSubtota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showAll="0" defaultSubtotal="0"/>
    <pivotField showAll="0" defaultSubtotal="0"/>
    <pivotField showAll="0"/>
  </pivotFields>
  <rowFields count="1">
    <field x="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9"/>
    </i>
    <i>
      <x v="10"/>
    </i>
    <i>
      <x v="11"/>
    </i>
    <i>
      <x v="1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a de  COSTO" fld="23" baseField="2" baseItem="0" numFmtId="3"/>
    <dataField name=" PAGOS AÑOS ANTERIORES" fld="24" baseField="2" baseItem="0" numFmtId="3"/>
    <dataField name="Suma de COMPROMISO 2020" fld="26" baseField="0" baseItem="0" numFmtId="3"/>
    <dataField name="Suma de TOTAL PAGOS AL 31 JULIO 2020" fld="27" baseField="2" baseItem="6" numFmtId="3"/>
    <dataField name=" SALDO COMPROMISO" fld="28" baseField="2" baseItem="0" numFmtId="3"/>
    <dataField name="Suma de ARRASTRE" fld="42" baseField="0" baseItem="0" numFmtId="3"/>
  </dataFields>
  <formats count="11">
    <format dxfId="72">
      <pivotArea collapsedLevelsAreSubtotals="1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71">
      <pivotArea collapsedLevelsAreSubtotals="1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70">
      <pivotArea collapsedLevelsAreSubtotals="1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69">
      <pivotArea collapsedLevelsAreSubtotals="1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68">
      <pivotArea collapsedLevelsAreSubtotals="1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67">
      <pivotArea collapsedLevelsAreSubtotals="1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66">
      <pivotArea collapsedLevelsAreSubtotals="1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65">
      <pivotArea collapsedLevelsAreSubtotals="1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64">
      <pivotArea collapsedLevelsAreSubtotals="1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63">
      <pivotArea collapsedLevelsAreSubtotals="1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62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PROVINCIA">
  <location ref="A3:G11" firstHeaderRow="1" firstDataRow="2" firstDataCol="1"/>
  <pivotFields count="44">
    <pivotField showAll="0"/>
    <pivotField showAll="0"/>
    <pivotField showAll="0"/>
    <pivotField showAll="0"/>
    <pivotField showAll="0"/>
    <pivotField axis="axisRow" showAll="0">
      <items count="8">
        <item x="1"/>
        <item x="2"/>
        <item x="3"/>
        <item x="4"/>
        <item x="5"/>
        <item x="6"/>
        <item h="1" x="0"/>
        <item t="default"/>
      </items>
    </pivotField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5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5" baseItem="3" numFmtId="3"/>
    <dataField name=" COMPROMISO 2020" fld="26" baseField="0" baseItem="0"/>
    <dataField name="Suma de TOTAL PAGOS AL 31 JULIO 2020" fld="27" baseField="5" baseItem="3" numFmtId="3"/>
    <dataField name=" SALDO COMPROMISO" fld="28" baseField="5" baseItem="2" numFmtId="3"/>
    <dataField name=" ARRASTRE" fld="42" baseField="0" baseItem="0"/>
  </dataFields>
  <formats count="6">
    <format dxfId="78">
      <pivotArea outline="0" collapsedLevelsAreSubtotals="1" fieldPosition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type="all" dataOnly="0" outline="0" fieldPosition="0"/>
    </format>
    <format dxfId="75">
      <pivotArea outline="0" fieldPosition="0">
        <references count="1">
          <reference field="4294967294" count="1">
            <x v="4"/>
          </reference>
        </references>
      </pivotArea>
    </format>
    <format dxfId="74">
      <pivotArea outline="0" fieldPosition="0">
        <references count="1">
          <reference field="4294967294" count="1">
            <x v="1"/>
          </reference>
        </references>
      </pivotArea>
    </format>
    <format dxfId="73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compact="0" compactData="0" multipleFieldFilters="0" rowHeaderCaption="PROVINCIA">
  <location ref="A44:I88" firstHeaderRow="0" firstDataRow="1" firstDataCol="2"/>
  <pivotFields count="46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8">
        <item x="3"/>
        <item x="6"/>
        <item x="2"/>
        <item x="1"/>
        <item x="4"/>
        <item x="5"/>
        <item h="1" x="0"/>
        <item t="default"/>
      </items>
    </pivotField>
    <pivotField axis="axisRow" compact="0" outline="0" showAll="0">
      <items count="40">
        <item x="19"/>
        <item x="10"/>
        <item x="20"/>
        <item x="30"/>
        <item m="1" x="38"/>
        <item x="21"/>
        <item x="11"/>
        <item x="22"/>
        <item x="23"/>
        <item x="37"/>
        <item x="12"/>
        <item x="13"/>
        <item x="31"/>
        <item x="32"/>
        <item x="14"/>
        <item x="15"/>
        <item x="16"/>
        <item x="1"/>
        <item x="9"/>
        <item x="17"/>
        <item x="33"/>
        <item x="29"/>
        <item x="8"/>
        <item x="35"/>
        <item x="18"/>
        <item x="2"/>
        <item x="24"/>
        <item x="3"/>
        <item x="4"/>
        <item x="25"/>
        <item x="26"/>
        <item x="27"/>
        <item x="28"/>
        <item x="36"/>
        <item x="5"/>
        <item x="6"/>
        <item x="7"/>
        <item x="0"/>
        <item x="34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/>
  </pivotFields>
  <rowFields count="2">
    <field x="5"/>
    <field x="6"/>
  </rowFields>
  <rowItems count="44">
    <i>
      <x/>
      <x/>
    </i>
    <i r="1">
      <x v="2"/>
    </i>
    <i r="1">
      <x v="5"/>
    </i>
    <i r="1">
      <x v="7"/>
    </i>
    <i r="1">
      <x v="8"/>
    </i>
    <i r="1">
      <x v="21"/>
    </i>
    <i r="1">
      <x v="26"/>
    </i>
    <i r="1">
      <x v="29"/>
    </i>
    <i r="1">
      <x v="30"/>
    </i>
    <i r="1">
      <x v="31"/>
    </i>
    <i r="1">
      <x v="32"/>
    </i>
    <i t="default">
      <x/>
    </i>
    <i>
      <x v="1"/>
      <x v="9"/>
    </i>
    <i t="default">
      <x v="1"/>
    </i>
    <i>
      <x v="2"/>
      <x v="1"/>
    </i>
    <i r="1">
      <x v="6"/>
    </i>
    <i r="1">
      <x v="10"/>
    </i>
    <i r="1">
      <x v="11"/>
    </i>
    <i r="1">
      <x v="14"/>
    </i>
    <i r="1">
      <x v="15"/>
    </i>
    <i r="1">
      <x v="16"/>
    </i>
    <i r="1">
      <x v="18"/>
    </i>
    <i r="1">
      <x v="19"/>
    </i>
    <i r="1">
      <x v="24"/>
    </i>
    <i t="default">
      <x v="2"/>
    </i>
    <i>
      <x v="3"/>
      <x v="17"/>
    </i>
    <i r="1">
      <x v="22"/>
    </i>
    <i r="1">
      <x v="25"/>
    </i>
    <i r="1">
      <x v="27"/>
    </i>
    <i r="1">
      <x v="28"/>
    </i>
    <i r="1">
      <x v="34"/>
    </i>
    <i r="1">
      <x v="35"/>
    </i>
    <i r="1">
      <x v="36"/>
    </i>
    <i t="default">
      <x v="3"/>
    </i>
    <i>
      <x v="4"/>
      <x v="3"/>
    </i>
    <i r="1">
      <x v="12"/>
    </i>
    <i r="1">
      <x v="13"/>
    </i>
    <i r="1">
      <x v="20"/>
    </i>
    <i r="1">
      <x v="23"/>
    </i>
    <i r="1">
      <x v="38"/>
    </i>
    <i t="default">
      <x v="4"/>
    </i>
    <i>
      <x v="5"/>
      <x v="33"/>
    </i>
    <i t="default"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INICIATIVAS" fld="10" subtotal="count" baseField="0" baseItem="0"/>
    <dataField name="  COSTO" fld="23" baseField="6" baseItem="12" numFmtId="3"/>
    <dataField name=" PAGOS AÑOS ANTERIORES" fld="24" baseField="6" baseItem="7" numFmtId="3"/>
    <dataField name=" COMPROMISO 2020" fld="26" baseField="0" baseItem="0" numFmtId="3"/>
    <dataField name="Suma de TOTAL PAGOS AL 31 JULIO 2020" fld="27" baseField="6" baseItem="0" numFmtId="3"/>
    <dataField name=" SALDO COMPROMISO" fld="28" baseField="6" baseItem="21" numFmtId="3"/>
    <dataField name=" ARRASTRE" fld="42" baseField="6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grandTotalCaption="TOTAL" updatedVersion="6" minRefreshableVersion="3" useAutoFormatting="1" createdVersion="4" indent="0" outline="1" outlineData="1" multipleFieldFilters="0" rowHeaderCaption="SUBTITULO">
  <location ref="A33:G40" firstHeaderRow="1" firstDataRow="2" firstDataCol="1"/>
  <pivotFields count="44">
    <pivotField axis="axisRow" showAll="0">
      <items count="7">
        <item x="5"/>
        <item x="4"/>
        <item x="3"/>
        <item x="1"/>
        <item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/>
    <pivotField dataField="1"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dataField="1" showAll="0" defaultSubtotal="0"/>
    <pivotField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   COSTO" fld="23" baseField="5" baseItem="3"/>
    <dataField name=" PAGOS AÑOS ANTERIORES" fld="24" baseField="0" baseItem="2" numFmtId="3"/>
    <dataField name=" COMPROMISO 2020" fld="26" baseField="0" baseItem="2"/>
    <dataField name="Suma de TOTAL PAGOS AL 31 JULIO 2020" fld="27" baseField="0" baseItem="3" numFmtId="3"/>
    <dataField name=" SALDO COMPROMISO" fld="28" baseField="0" baseItem="3" numFmtId="3"/>
    <dataField name=" ARRASTRE" fld="42" baseField="0" baseItem="2"/>
  </dataFields>
  <formats count="6">
    <format dxfId="84">
      <pivotArea outline="0" collapsedLevelsAreSubtotals="1" fieldPosition="0"/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2">
      <pivotArea type="all" dataOnly="0" outline="0" fieldPosition="0"/>
    </format>
    <format dxfId="81">
      <pivotArea outline="0" fieldPosition="0">
        <references count="1">
          <reference field="4294967294" count="1">
            <x v="4"/>
          </reference>
        </references>
      </pivotArea>
    </format>
    <format dxfId="80">
      <pivotArea outline="0" fieldPosition="0">
        <references count="1">
          <reference field="4294967294" count="1">
            <x v="1"/>
          </reference>
        </references>
      </pivotArea>
    </format>
    <format dxfId="79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5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5:R11"/>
  <sheetViews>
    <sheetView tabSelected="1" view="pageBreakPreview" zoomScale="60" zoomScaleNormal="85" workbookViewId="0">
      <selection activeCell="Q22" sqref="Q22"/>
    </sheetView>
  </sheetViews>
  <sheetFormatPr baseColWidth="10" defaultColWidth="11.42578125" defaultRowHeight="15"/>
  <cols>
    <col min="1" max="12" width="11.42578125" style="597"/>
    <col min="13" max="13" width="21.42578125" style="597" customWidth="1"/>
    <col min="14" max="16384" width="11.42578125" style="597"/>
  </cols>
  <sheetData>
    <row r="5" spans="15:18">
      <c r="O5"/>
    </row>
    <row r="7" spans="15:18">
      <c r="O7"/>
    </row>
    <row r="11" spans="15:18">
      <c r="Q11"/>
      <c r="R11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149" scale="8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J21"/>
  <sheetViews>
    <sheetView view="pageBreakPreview" zoomScaleNormal="100" zoomScaleSheetLayoutView="100" workbookViewId="0">
      <selection activeCell="K6" sqref="K6"/>
    </sheetView>
  </sheetViews>
  <sheetFormatPr baseColWidth="10" defaultColWidth="11.42578125" defaultRowHeight="12.75"/>
  <cols>
    <col min="1" max="1" width="12" style="479" customWidth="1"/>
    <col min="2" max="2" width="35.28515625" style="479" customWidth="1"/>
    <col min="3" max="3" width="16.42578125" style="479" customWidth="1"/>
    <col min="4" max="4" width="8.85546875" style="479" customWidth="1"/>
    <col min="5" max="6" width="14.7109375" style="479" customWidth="1"/>
    <col min="7" max="7" width="14.28515625" style="479" customWidth="1"/>
    <col min="8" max="8" width="14.7109375" style="479" customWidth="1"/>
    <col min="9" max="9" width="16.140625" style="479" customWidth="1"/>
    <col min="10" max="10" width="14.7109375" style="512" customWidth="1"/>
    <col min="11" max="248" width="11.42578125" style="479"/>
    <col min="249" max="249" width="5.28515625" style="479" customWidth="1"/>
    <col min="250" max="250" width="2.140625" style="479" customWidth="1"/>
    <col min="251" max="251" width="0.85546875" style="479" customWidth="1"/>
    <col min="252" max="253" width="2" style="479" customWidth="1"/>
    <col min="254" max="254" width="1.140625" style="479" customWidth="1"/>
    <col min="255" max="255" width="2" style="479" customWidth="1"/>
    <col min="256" max="256" width="2.140625" style="479" customWidth="1"/>
    <col min="257" max="257" width="0.85546875" style="479" customWidth="1"/>
    <col min="258" max="258" width="2" style="479" customWidth="1"/>
    <col min="259" max="259" width="2.28515625" style="479" customWidth="1"/>
    <col min="260" max="504" width="11.42578125" style="479"/>
    <col min="505" max="505" width="5.28515625" style="479" customWidth="1"/>
    <col min="506" max="506" width="2.140625" style="479" customWidth="1"/>
    <col min="507" max="507" width="0.85546875" style="479" customWidth="1"/>
    <col min="508" max="509" width="2" style="479" customWidth="1"/>
    <col min="510" max="510" width="1.140625" style="479" customWidth="1"/>
    <col min="511" max="511" width="2" style="479" customWidth="1"/>
    <col min="512" max="512" width="2.140625" style="479" customWidth="1"/>
    <col min="513" max="513" width="0.85546875" style="479" customWidth="1"/>
    <col min="514" max="514" width="2" style="479" customWidth="1"/>
    <col min="515" max="515" width="2.28515625" style="479" customWidth="1"/>
    <col min="516" max="760" width="11.42578125" style="479"/>
    <col min="761" max="761" width="5.28515625" style="479" customWidth="1"/>
    <col min="762" max="762" width="2.140625" style="479" customWidth="1"/>
    <col min="763" max="763" width="0.85546875" style="479" customWidth="1"/>
    <col min="764" max="765" width="2" style="479" customWidth="1"/>
    <col min="766" max="766" width="1.140625" style="479" customWidth="1"/>
    <col min="767" max="767" width="2" style="479" customWidth="1"/>
    <col min="768" max="768" width="2.140625" style="479" customWidth="1"/>
    <col min="769" max="769" width="0.85546875" style="479" customWidth="1"/>
    <col min="770" max="770" width="2" style="479" customWidth="1"/>
    <col min="771" max="771" width="2.28515625" style="479" customWidth="1"/>
    <col min="772" max="1016" width="11.42578125" style="479"/>
    <col min="1017" max="1017" width="5.28515625" style="479" customWidth="1"/>
    <col min="1018" max="1018" width="2.140625" style="479" customWidth="1"/>
    <col min="1019" max="1019" width="0.85546875" style="479" customWidth="1"/>
    <col min="1020" max="1021" width="2" style="479" customWidth="1"/>
    <col min="1022" max="1022" width="1.140625" style="479" customWidth="1"/>
    <col min="1023" max="1023" width="2" style="479" customWidth="1"/>
    <col min="1024" max="1024" width="2.140625" style="479" customWidth="1"/>
    <col min="1025" max="1025" width="0.85546875" style="479" customWidth="1"/>
    <col min="1026" max="1026" width="2" style="479" customWidth="1"/>
    <col min="1027" max="1027" width="2.28515625" style="479" customWidth="1"/>
    <col min="1028" max="1272" width="11.42578125" style="479"/>
    <col min="1273" max="1273" width="5.28515625" style="479" customWidth="1"/>
    <col min="1274" max="1274" width="2.140625" style="479" customWidth="1"/>
    <col min="1275" max="1275" width="0.85546875" style="479" customWidth="1"/>
    <col min="1276" max="1277" width="2" style="479" customWidth="1"/>
    <col min="1278" max="1278" width="1.140625" style="479" customWidth="1"/>
    <col min="1279" max="1279" width="2" style="479" customWidth="1"/>
    <col min="1280" max="1280" width="2.140625" style="479" customWidth="1"/>
    <col min="1281" max="1281" width="0.85546875" style="479" customWidth="1"/>
    <col min="1282" max="1282" width="2" style="479" customWidth="1"/>
    <col min="1283" max="1283" width="2.28515625" style="479" customWidth="1"/>
    <col min="1284" max="1528" width="11.42578125" style="479"/>
    <col min="1529" max="1529" width="5.28515625" style="479" customWidth="1"/>
    <col min="1530" max="1530" width="2.140625" style="479" customWidth="1"/>
    <col min="1531" max="1531" width="0.85546875" style="479" customWidth="1"/>
    <col min="1532" max="1533" width="2" style="479" customWidth="1"/>
    <col min="1534" max="1534" width="1.140625" style="479" customWidth="1"/>
    <col min="1535" max="1535" width="2" style="479" customWidth="1"/>
    <col min="1536" max="1536" width="2.140625" style="479" customWidth="1"/>
    <col min="1537" max="1537" width="0.85546875" style="479" customWidth="1"/>
    <col min="1538" max="1538" width="2" style="479" customWidth="1"/>
    <col min="1539" max="1539" width="2.28515625" style="479" customWidth="1"/>
    <col min="1540" max="1784" width="11.42578125" style="479"/>
    <col min="1785" max="1785" width="5.28515625" style="479" customWidth="1"/>
    <col min="1786" max="1786" width="2.140625" style="479" customWidth="1"/>
    <col min="1787" max="1787" width="0.85546875" style="479" customWidth="1"/>
    <col min="1788" max="1789" width="2" style="479" customWidth="1"/>
    <col min="1790" max="1790" width="1.140625" style="479" customWidth="1"/>
    <col min="1791" max="1791" width="2" style="479" customWidth="1"/>
    <col min="1792" max="1792" width="2.140625" style="479" customWidth="1"/>
    <col min="1793" max="1793" width="0.85546875" style="479" customWidth="1"/>
    <col min="1794" max="1794" width="2" style="479" customWidth="1"/>
    <col min="1795" max="1795" width="2.28515625" style="479" customWidth="1"/>
    <col min="1796" max="2040" width="11.42578125" style="479"/>
    <col min="2041" max="2041" width="5.28515625" style="479" customWidth="1"/>
    <col min="2042" max="2042" width="2.140625" style="479" customWidth="1"/>
    <col min="2043" max="2043" width="0.85546875" style="479" customWidth="1"/>
    <col min="2044" max="2045" width="2" style="479" customWidth="1"/>
    <col min="2046" max="2046" width="1.140625" style="479" customWidth="1"/>
    <col min="2047" max="2047" width="2" style="479" customWidth="1"/>
    <col min="2048" max="2048" width="2.140625" style="479" customWidth="1"/>
    <col min="2049" max="2049" width="0.85546875" style="479" customWidth="1"/>
    <col min="2050" max="2050" width="2" style="479" customWidth="1"/>
    <col min="2051" max="2051" width="2.28515625" style="479" customWidth="1"/>
    <col min="2052" max="2296" width="11.42578125" style="479"/>
    <col min="2297" max="2297" width="5.28515625" style="479" customWidth="1"/>
    <col min="2298" max="2298" width="2.140625" style="479" customWidth="1"/>
    <col min="2299" max="2299" width="0.85546875" style="479" customWidth="1"/>
    <col min="2300" max="2301" width="2" style="479" customWidth="1"/>
    <col min="2302" max="2302" width="1.140625" style="479" customWidth="1"/>
    <col min="2303" max="2303" width="2" style="479" customWidth="1"/>
    <col min="2304" max="2304" width="2.140625" style="479" customWidth="1"/>
    <col min="2305" max="2305" width="0.85546875" style="479" customWidth="1"/>
    <col min="2306" max="2306" width="2" style="479" customWidth="1"/>
    <col min="2307" max="2307" width="2.28515625" style="479" customWidth="1"/>
    <col min="2308" max="2552" width="11.42578125" style="479"/>
    <col min="2553" max="2553" width="5.28515625" style="479" customWidth="1"/>
    <col min="2554" max="2554" width="2.140625" style="479" customWidth="1"/>
    <col min="2555" max="2555" width="0.85546875" style="479" customWidth="1"/>
    <col min="2556" max="2557" width="2" style="479" customWidth="1"/>
    <col min="2558" max="2558" width="1.140625" style="479" customWidth="1"/>
    <col min="2559" max="2559" width="2" style="479" customWidth="1"/>
    <col min="2560" max="2560" width="2.140625" style="479" customWidth="1"/>
    <col min="2561" max="2561" width="0.85546875" style="479" customWidth="1"/>
    <col min="2562" max="2562" width="2" style="479" customWidth="1"/>
    <col min="2563" max="2563" width="2.28515625" style="479" customWidth="1"/>
    <col min="2564" max="2808" width="11.42578125" style="479"/>
    <col min="2809" max="2809" width="5.28515625" style="479" customWidth="1"/>
    <col min="2810" max="2810" width="2.140625" style="479" customWidth="1"/>
    <col min="2811" max="2811" width="0.85546875" style="479" customWidth="1"/>
    <col min="2812" max="2813" width="2" style="479" customWidth="1"/>
    <col min="2814" max="2814" width="1.140625" style="479" customWidth="1"/>
    <col min="2815" max="2815" width="2" style="479" customWidth="1"/>
    <col min="2816" max="2816" width="2.140625" style="479" customWidth="1"/>
    <col min="2817" max="2817" width="0.85546875" style="479" customWidth="1"/>
    <col min="2818" max="2818" width="2" style="479" customWidth="1"/>
    <col min="2819" max="2819" width="2.28515625" style="479" customWidth="1"/>
    <col min="2820" max="3064" width="11.42578125" style="479"/>
    <col min="3065" max="3065" width="5.28515625" style="479" customWidth="1"/>
    <col min="3066" max="3066" width="2.140625" style="479" customWidth="1"/>
    <col min="3067" max="3067" width="0.85546875" style="479" customWidth="1"/>
    <col min="3068" max="3069" width="2" style="479" customWidth="1"/>
    <col min="3070" max="3070" width="1.140625" style="479" customWidth="1"/>
    <col min="3071" max="3071" width="2" style="479" customWidth="1"/>
    <col min="3072" max="3072" width="2.140625" style="479" customWidth="1"/>
    <col min="3073" max="3073" width="0.85546875" style="479" customWidth="1"/>
    <col min="3074" max="3074" width="2" style="479" customWidth="1"/>
    <col min="3075" max="3075" width="2.28515625" style="479" customWidth="1"/>
    <col min="3076" max="3320" width="11.42578125" style="479"/>
    <col min="3321" max="3321" width="5.28515625" style="479" customWidth="1"/>
    <col min="3322" max="3322" width="2.140625" style="479" customWidth="1"/>
    <col min="3323" max="3323" width="0.85546875" style="479" customWidth="1"/>
    <col min="3324" max="3325" width="2" style="479" customWidth="1"/>
    <col min="3326" max="3326" width="1.140625" style="479" customWidth="1"/>
    <col min="3327" max="3327" width="2" style="479" customWidth="1"/>
    <col min="3328" max="3328" width="2.140625" style="479" customWidth="1"/>
    <col min="3329" max="3329" width="0.85546875" style="479" customWidth="1"/>
    <col min="3330" max="3330" width="2" style="479" customWidth="1"/>
    <col min="3331" max="3331" width="2.28515625" style="479" customWidth="1"/>
    <col min="3332" max="3576" width="11.42578125" style="479"/>
    <col min="3577" max="3577" width="5.28515625" style="479" customWidth="1"/>
    <col min="3578" max="3578" width="2.140625" style="479" customWidth="1"/>
    <col min="3579" max="3579" width="0.85546875" style="479" customWidth="1"/>
    <col min="3580" max="3581" width="2" style="479" customWidth="1"/>
    <col min="3582" max="3582" width="1.140625" style="479" customWidth="1"/>
    <col min="3583" max="3583" width="2" style="479" customWidth="1"/>
    <col min="3584" max="3584" width="2.140625" style="479" customWidth="1"/>
    <col min="3585" max="3585" width="0.85546875" style="479" customWidth="1"/>
    <col min="3586" max="3586" width="2" style="479" customWidth="1"/>
    <col min="3587" max="3587" width="2.28515625" style="479" customWidth="1"/>
    <col min="3588" max="3832" width="11.42578125" style="479"/>
    <col min="3833" max="3833" width="5.28515625" style="479" customWidth="1"/>
    <col min="3834" max="3834" width="2.140625" style="479" customWidth="1"/>
    <col min="3835" max="3835" width="0.85546875" style="479" customWidth="1"/>
    <col min="3836" max="3837" width="2" style="479" customWidth="1"/>
    <col min="3838" max="3838" width="1.140625" style="479" customWidth="1"/>
    <col min="3839" max="3839" width="2" style="479" customWidth="1"/>
    <col min="3840" max="3840" width="2.140625" style="479" customWidth="1"/>
    <col min="3841" max="3841" width="0.85546875" style="479" customWidth="1"/>
    <col min="3842" max="3842" width="2" style="479" customWidth="1"/>
    <col min="3843" max="3843" width="2.28515625" style="479" customWidth="1"/>
    <col min="3844" max="4088" width="11.42578125" style="479"/>
    <col min="4089" max="4089" width="5.28515625" style="479" customWidth="1"/>
    <col min="4090" max="4090" width="2.140625" style="479" customWidth="1"/>
    <col min="4091" max="4091" width="0.85546875" style="479" customWidth="1"/>
    <col min="4092" max="4093" width="2" style="479" customWidth="1"/>
    <col min="4094" max="4094" width="1.140625" style="479" customWidth="1"/>
    <col min="4095" max="4095" width="2" style="479" customWidth="1"/>
    <col min="4096" max="4096" width="2.140625" style="479" customWidth="1"/>
    <col min="4097" max="4097" width="0.85546875" style="479" customWidth="1"/>
    <col min="4098" max="4098" width="2" style="479" customWidth="1"/>
    <col min="4099" max="4099" width="2.28515625" style="479" customWidth="1"/>
    <col min="4100" max="4344" width="11.42578125" style="479"/>
    <col min="4345" max="4345" width="5.28515625" style="479" customWidth="1"/>
    <col min="4346" max="4346" width="2.140625" style="479" customWidth="1"/>
    <col min="4347" max="4347" width="0.85546875" style="479" customWidth="1"/>
    <col min="4348" max="4349" width="2" style="479" customWidth="1"/>
    <col min="4350" max="4350" width="1.140625" style="479" customWidth="1"/>
    <col min="4351" max="4351" width="2" style="479" customWidth="1"/>
    <col min="4352" max="4352" width="2.140625" style="479" customWidth="1"/>
    <col min="4353" max="4353" width="0.85546875" style="479" customWidth="1"/>
    <col min="4354" max="4354" width="2" style="479" customWidth="1"/>
    <col min="4355" max="4355" width="2.28515625" style="479" customWidth="1"/>
    <col min="4356" max="4600" width="11.42578125" style="479"/>
    <col min="4601" max="4601" width="5.28515625" style="479" customWidth="1"/>
    <col min="4602" max="4602" width="2.140625" style="479" customWidth="1"/>
    <col min="4603" max="4603" width="0.85546875" style="479" customWidth="1"/>
    <col min="4604" max="4605" width="2" style="479" customWidth="1"/>
    <col min="4606" max="4606" width="1.140625" style="479" customWidth="1"/>
    <col min="4607" max="4607" width="2" style="479" customWidth="1"/>
    <col min="4608" max="4608" width="2.140625" style="479" customWidth="1"/>
    <col min="4609" max="4609" width="0.85546875" style="479" customWidth="1"/>
    <col min="4610" max="4610" width="2" style="479" customWidth="1"/>
    <col min="4611" max="4611" width="2.28515625" style="479" customWidth="1"/>
    <col min="4612" max="4856" width="11.42578125" style="479"/>
    <col min="4857" max="4857" width="5.28515625" style="479" customWidth="1"/>
    <col min="4858" max="4858" width="2.140625" style="479" customWidth="1"/>
    <col min="4859" max="4859" width="0.85546875" style="479" customWidth="1"/>
    <col min="4860" max="4861" width="2" style="479" customWidth="1"/>
    <col min="4862" max="4862" width="1.140625" style="479" customWidth="1"/>
    <col min="4863" max="4863" width="2" style="479" customWidth="1"/>
    <col min="4864" max="4864" width="2.140625" style="479" customWidth="1"/>
    <col min="4865" max="4865" width="0.85546875" style="479" customWidth="1"/>
    <col min="4866" max="4866" width="2" style="479" customWidth="1"/>
    <col min="4867" max="4867" width="2.28515625" style="479" customWidth="1"/>
    <col min="4868" max="5112" width="11.42578125" style="479"/>
    <col min="5113" max="5113" width="5.28515625" style="479" customWidth="1"/>
    <col min="5114" max="5114" width="2.140625" style="479" customWidth="1"/>
    <col min="5115" max="5115" width="0.85546875" style="479" customWidth="1"/>
    <col min="5116" max="5117" width="2" style="479" customWidth="1"/>
    <col min="5118" max="5118" width="1.140625" style="479" customWidth="1"/>
    <col min="5119" max="5119" width="2" style="479" customWidth="1"/>
    <col min="5120" max="5120" width="2.140625" style="479" customWidth="1"/>
    <col min="5121" max="5121" width="0.85546875" style="479" customWidth="1"/>
    <col min="5122" max="5122" width="2" style="479" customWidth="1"/>
    <col min="5123" max="5123" width="2.28515625" style="479" customWidth="1"/>
    <col min="5124" max="5368" width="11.42578125" style="479"/>
    <col min="5369" max="5369" width="5.28515625" style="479" customWidth="1"/>
    <col min="5370" max="5370" width="2.140625" style="479" customWidth="1"/>
    <col min="5371" max="5371" width="0.85546875" style="479" customWidth="1"/>
    <col min="5372" max="5373" width="2" style="479" customWidth="1"/>
    <col min="5374" max="5374" width="1.140625" style="479" customWidth="1"/>
    <col min="5375" max="5375" width="2" style="479" customWidth="1"/>
    <col min="5376" max="5376" width="2.140625" style="479" customWidth="1"/>
    <col min="5377" max="5377" width="0.85546875" style="479" customWidth="1"/>
    <col min="5378" max="5378" width="2" style="479" customWidth="1"/>
    <col min="5379" max="5379" width="2.28515625" style="479" customWidth="1"/>
    <col min="5380" max="5624" width="11.42578125" style="479"/>
    <col min="5625" max="5625" width="5.28515625" style="479" customWidth="1"/>
    <col min="5626" max="5626" width="2.140625" style="479" customWidth="1"/>
    <col min="5627" max="5627" width="0.85546875" style="479" customWidth="1"/>
    <col min="5628" max="5629" width="2" style="479" customWidth="1"/>
    <col min="5630" max="5630" width="1.140625" style="479" customWidth="1"/>
    <col min="5631" max="5631" width="2" style="479" customWidth="1"/>
    <col min="5632" max="5632" width="2.140625" style="479" customWidth="1"/>
    <col min="5633" max="5633" width="0.85546875" style="479" customWidth="1"/>
    <col min="5634" max="5634" width="2" style="479" customWidth="1"/>
    <col min="5635" max="5635" width="2.28515625" style="479" customWidth="1"/>
    <col min="5636" max="5880" width="11.42578125" style="479"/>
    <col min="5881" max="5881" width="5.28515625" style="479" customWidth="1"/>
    <col min="5882" max="5882" width="2.140625" style="479" customWidth="1"/>
    <col min="5883" max="5883" width="0.85546875" style="479" customWidth="1"/>
    <col min="5884" max="5885" width="2" style="479" customWidth="1"/>
    <col min="5886" max="5886" width="1.140625" style="479" customWidth="1"/>
    <col min="5887" max="5887" width="2" style="479" customWidth="1"/>
    <col min="5888" max="5888" width="2.140625" style="479" customWidth="1"/>
    <col min="5889" max="5889" width="0.85546875" style="479" customWidth="1"/>
    <col min="5890" max="5890" width="2" style="479" customWidth="1"/>
    <col min="5891" max="5891" width="2.28515625" style="479" customWidth="1"/>
    <col min="5892" max="6136" width="11.42578125" style="479"/>
    <col min="6137" max="6137" width="5.28515625" style="479" customWidth="1"/>
    <col min="6138" max="6138" width="2.140625" style="479" customWidth="1"/>
    <col min="6139" max="6139" width="0.85546875" style="479" customWidth="1"/>
    <col min="6140" max="6141" width="2" style="479" customWidth="1"/>
    <col min="6142" max="6142" width="1.140625" style="479" customWidth="1"/>
    <col min="6143" max="6143" width="2" style="479" customWidth="1"/>
    <col min="6144" max="6144" width="2.140625" style="479" customWidth="1"/>
    <col min="6145" max="6145" width="0.85546875" style="479" customWidth="1"/>
    <col min="6146" max="6146" width="2" style="479" customWidth="1"/>
    <col min="6147" max="6147" width="2.28515625" style="479" customWidth="1"/>
    <col min="6148" max="6392" width="11.42578125" style="479"/>
    <col min="6393" max="6393" width="5.28515625" style="479" customWidth="1"/>
    <col min="6394" max="6394" width="2.140625" style="479" customWidth="1"/>
    <col min="6395" max="6395" width="0.85546875" style="479" customWidth="1"/>
    <col min="6396" max="6397" width="2" style="479" customWidth="1"/>
    <col min="6398" max="6398" width="1.140625" style="479" customWidth="1"/>
    <col min="6399" max="6399" width="2" style="479" customWidth="1"/>
    <col min="6400" max="6400" width="2.140625" style="479" customWidth="1"/>
    <col min="6401" max="6401" width="0.85546875" style="479" customWidth="1"/>
    <col min="6402" max="6402" width="2" style="479" customWidth="1"/>
    <col min="6403" max="6403" width="2.28515625" style="479" customWidth="1"/>
    <col min="6404" max="6648" width="11.42578125" style="479"/>
    <col min="6649" max="6649" width="5.28515625" style="479" customWidth="1"/>
    <col min="6650" max="6650" width="2.140625" style="479" customWidth="1"/>
    <col min="6651" max="6651" width="0.85546875" style="479" customWidth="1"/>
    <col min="6652" max="6653" width="2" style="479" customWidth="1"/>
    <col min="6654" max="6654" width="1.140625" style="479" customWidth="1"/>
    <col min="6655" max="6655" width="2" style="479" customWidth="1"/>
    <col min="6656" max="6656" width="2.140625" style="479" customWidth="1"/>
    <col min="6657" max="6657" width="0.85546875" style="479" customWidth="1"/>
    <col min="6658" max="6658" width="2" style="479" customWidth="1"/>
    <col min="6659" max="6659" width="2.28515625" style="479" customWidth="1"/>
    <col min="6660" max="6904" width="11.42578125" style="479"/>
    <col min="6905" max="6905" width="5.28515625" style="479" customWidth="1"/>
    <col min="6906" max="6906" width="2.140625" style="479" customWidth="1"/>
    <col min="6907" max="6907" width="0.85546875" style="479" customWidth="1"/>
    <col min="6908" max="6909" width="2" style="479" customWidth="1"/>
    <col min="6910" max="6910" width="1.140625" style="479" customWidth="1"/>
    <col min="6911" max="6911" width="2" style="479" customWidth="1"/>
    <col min="6912" max="6912" width="2.140625" style="479" customWidth="1"/>
    <col min="6913" max="6913" width="0.85546875" style="479" customWidth="1"/>
    <col min="6914" max="6914" width="2" style="479" customWidth="1"/>
    <col min="6915" max="6915" width="2.28515625" style="479" customWidth="1"/>
    <col min="6916" max="7160" width="11.42578125" style="479"/>
    <col min="7161" max="7161" width="5.28515625" style="479" customWidth="1"/>
    <col min="7162" max="7162" width="2.140625" style="479" customWidth="1"/>
    <col min="7163" max="7163" width="0.85546875" style="479" customWidth="1"/>
    <col min="7164" max="7165" width="2" style="479" customWidth="1"/>
    <col min="7166" max="7166" width="1.140625" style="479" customWidth="1"/>
    <col min="7167" max="7167" width="2" style="479" customWidth="1"/>
    <col min="7168" max="7168" width="2.140625" style="479" customWidth="1"/>
    <col min="7169" max="7169" width="0.85546875" style="479" customWidth="1"/>
    <col min="7170" max="7170" width="2" style="479" customWidth="1"/>
    <col min="7171" max="7171" width="2.28515625" style="479" customWidth="1"/>
    <col min="7172" max="7416" width="11.42578125" style="479"/>
    <col min="7417" max="7417" width="5.28515625" style="479" customWidth="1"/>
    <col min="7418" max="7418" width="2.140625" style="479" customWidth="1"/>
    <col min="7419" max="7419" width="0.85546875" style="479" customWidth="1"/>
    <col min="7420" max="7421" width="2" style="479" customWidth="1"/>
    <col min="7422" max="7422" width="1.140625" style="479" customWidth="1"/>
    <col min="7423" max="7423" width="2" style="479" customWidth="1"/>
    <col min="7424" max="7424" width="2.140625" style="479" customWidth="1"/>
    <col min="7425" max="7425" width="0.85546875" style="479" customWidth="1"/>
    <col min="7426" max="7426" width="2" style="479" customWidth="1"/>
    <col min="7427" max="7427" width="2.28515625" style="479" customWidth="1"/>
    <col min="7428" max="7672" width="11.42578125" style="479"/>
    <col min="7673" max="7673" width="5.28515625" style="479" customWidth="1"/>
    <col min="7674" max="7674" width="2.140625" style="479" customWidth="1"/>
    <col min="7675" max="7675" width="0.85546875" style="479" customWidth="1"/>
    <col min="7676" max="7677" width="2" style="479" customWidth="1"/>
    <col min="7678" max="7678" width="1.140625" style="479" customWidth="1"/>
    <col min="7679" max="7679" width="2" style="479" customWidth="1"/>
    <col min="7680" max="7680" width="2.140625" style="479" customWidth="1"/>
    <col min="7681" max="7681" width="0.85546875" style="479" customWidth="1"/>
    <col min="7682" max="7682" width="2" style="479" customWidth="1"/>
    <col min="7683" max="7683" width="2.28515625" style="479" customWidth="1"/>
    <col min="7684" max="7928" width="11.42578125" style="479"/>
    <col min="7929" max="7929" width="5.28515625" style="479" customWidth="1"/>
    <col min="7930" max="7930" width="2.140625" style="479" customWidth="1"/>
    <col min="7931" max="7931" width="0.85546875" style="479" customWidth="1"/>
    <col min="7932" max="7933" width="2" style="479" customWidth="1"/>
    <col min="7934" max="7934" width="1.140625" style="479" customWidth="1"/>
    <col min="7935" max="7935" width="2" style="479" customWidth="1"/>
    <col min="7936" max="7936" width="2.140625" style="479" customWidth="1"/>
    <col min="7937" max="7937" width="0.85546875" style="479" customWidth="1"/>
    <col min="7938" max="7938" width="2" style="479" customWidth="1"/>
    <col min="7939" max="7939" width="2.28515625" style="479" customWidth="1"/>
    <col min="7940" max="8184" width="11.42578125" style="479"/>
    <col min="8185" max="8185" width="5.28515625" style="479" customWidth="1"/>
    <col min="8186" max="8186" width="2.140625" style="479" customWidth="1"/>
    <col min="8187" max="8187" width="0.85546875" style="479" customWidth="1"/>
    <col min="8188" max="8189" width="2" style="479" customWidth="1"/>
    <col min="8190" max="8190" width="1.140625" style="479" customWidth="1"/>
    <col min="8191" max="8191" width="2" style="479" customWidth="1"/>
    <col min="8192" max="8192" width="2.140625" style="479" customWidth="1"/>
    <col min="8193" max="8193" width="0.85546875" style="479" customWidth="1"/>
    <col min="8194" max="8194" width="2" style="479" customWidth="1"/>
    <col min="8195" max="8195" width="2.28515625" style="479" customWidth="1"/>
    <col min="8196" max="8440" width="11.42578125" style="479"/>
    <col min="8441" max="8441" width="5.28515625" style="479" customWidth="1"/>
    <col min="8442" max="8442" width="2.140625" style="479" customWidth="1"/>
    <col min="8443" max="8443" width="0.85546875" style="479" customWidth="1"/>
    <col min="8444" max="8445" width="2" style="479" customWidth="1"/>
    <col min="8446" max="8446" width="1.140625" style="479" customWidth="1"/>
    <col min="8447" max="8447" width="2" style="479" customWidth="1"/>
    <col min="8448" max="8448" width="2.140625" style="479" customWidth="1"/>
    <col min="8449" max="8449" width="0.85546875" style="479" customWidth="1"/>
    <col min="8450" max="8450" width="2" style="479" customWidth="1"/>
    <col min="8451" max="8451" width="2.28515625" style="479" customWidth="1"/>
    <col min="8452" max="8696" width="11.42578125" style="479"/>
    <col min="8697" max="8697" width="5.28515625" style="479" customWidth="1"/>
    <col min="8698" max="8698" width="2.140625" style="479" customWidth="1"/>
    <col min="8699" max="8699" width="0.85546875" style="479" customWidth="1"/>
    <col min="8700" max="8701" width="2" style="479" customWidth="1"/>
    <col min="8702" max="8702" width="1.140625" style="479" customWidth="1"/>
    <col min="8703" max="8703" width="2" style="479" customWidth="1"/>
    <col min="8704" max="8704" width="2.140625" style="479" customWidth="1"/>
    <col min="8705" max="8705" width="0.85546875" style="479" customWidth="1"/>
    <col min="8706" max="8706" width="2" style="479" customWidth="1"/>
    <col min="8707" max="8707" width="2.28515625" style="479" customWidth="1"/>
    <col min="8708" max="8952" width="11.42578125" style="479"/>
    <col min="8953" max="8953" width="5.28515625" style="479" customWidth="1"/>
    <col min="8954" max="8954" width="2.140625" style="479" customWidth="1"/>
    <col min="8955" max="8955" width="0.85546875" style="479" customWidth="1"/>
    <col min="8956" max="8957" width="2" style="479" customWidth="1"/>
    <col min="8958" max="8958" width="1.140625" style="479" customWidth="1"/>
    <col min="8959" max="8959" width="2" style="479" customWidth="1"/>
    <col min="8960" max="8960" width="2.140625" style="479" customWidth="1"/>
    <col min="8961" max="8961" width="0.85546875" style="479" customWidth="1"/>
    <col min="8962" max="8962" width="2" style="479" customWidth="1"/>
    <col min="8963" max="8963" width="2.28515625" style="479" customWidth="1"/>
    <col min="8964" max="9208" width="11.42578125" style="479"/>
    <col min="9209" max="9209" width="5.28515625" style="479" customWidth="1"/>
    <col min="9210" max="9210" width="2.140625" style="479" customWidth="1"/>
    <col min="9211" max="9211" width="0.85546875" style="479" customWidth="1"/>
    <col min="9212" max="9213" width="2" style="479" customWidth="1"/>
    <col min="9214" max="9214" width="1.140625" style="479" customWidth="1"/>
    <col min="9215" max="9215" width="2" style="479" customWidth="1"/>
    <col min="9216" max="9216" width="2.140625" style="479" customWidth="1"/>
    <col min="9217" max="9217" width="0.85546875" style="479" customWidth="1"/>
    <col min="9218" max="9218" width="2" style="479" customWidth="1"/>
    <col min="9219" max="9219" width="2.28515625" style="479" customWidth="1"/>
    <col min="9220" max="9464" width="11.42578125" style="479"/>
    <col min="9465" max="9465" width="5.28515625" style="479" customWidth="1"/>
    <col min="9466" max="9466" width="2.140625" style="479" customWidth="1"/>
    <col min="9467" max="9467" width="0.85546875" style="479" customWidth="1"/>
    <col min="9468" max="9469" width="2" style="479" customWidth="1"/>
    <col min="9470" max="9470" width="1.140625" style="479" customWidth="1"/>
    <col min="9471" max="9471" width="2" style="479" customWidth="1"/>
    <col min="9472" max="9472" width="2.140625" style="479" customWidth="1"/>
    <col min="9473" max="9473" width="0.85546875" style="479" customWidth="1"/>
    <col min="9474" max="9474" width="2" style="479" customWidth="1"/>
    <col min="9475" max="9475" width="2.28515625" style="479" customWidth="1"/>
    <col min="9476" max="9720" width="11.42578125" style="479"/>
    <col min="9721" max="9721" width="5.28515625" style="479" customWidth="1"/>
    <col min="9722" max="9722" width="2.140625" style="479" customWidth="1"/>
    <col min="9723" max="9723" width="0.85546875" style="479" customWidth="1"/>
    <col min="9724" max="9725" width="2" style="479" customWidth="1"/>
    <col min="9726" max="9726" width="1.140625" style="479" customWidth="1"/>
    <col min="9727" max="9727" width="2" style="479" customWidth="1"/>
    <col min="9728" max="9728" width="2.140625" style="479" customWidth="1"/>
    <col min="9729" max="9729" width="0.85546875" style="479" customWidth="1"/>
    <col min="9730" max="9730" width="2" style="479" customWidth="1"/>
    <col min="9731" max="9731" width="2.28515625" style="479" customWidth="1"/>
    <col min="9732" max="9976" width="11.42578125" style="479"/>
    <col min="9977" max="9977" width="5.28515625" style="479" customWidth="1"/>
    <col min="9978" max="9978" width="2.140625" style="479" customWidth="1"/>
    <col min="9979" max="9979" width="0.85546875" style="479" customWidth="1"/>
    <col min="9980" max="9981" width="2" style="479" customWidth="1"/>
    <col min="9982" max="9982" width="1.140625" style="479" customWidth="1"/>
    <col min="9983" max="9983" width="2" style="479" customWidth="1"/>
    <col min="9984" max="9984" width="2.140625" style="479" customWidth="1"/>
    <col min="9985" max="9985" width="0.85546875" style="479" customWidth="1"/>
    <col min="9986" max="9986" width="2" style="479" customWidth="1"/>
    <col min="9987" max="9987" width="2.28515625" style="479" customWidth="1"/>
    <col min="9988" max="10232" width="11.42578125" style="479"/>
    <col min="10233" max="10233" width="5.28515625" style="479" customWidth="1"/>
    <col min="10234" max="10234" width="2.140625" style="479" customWidth="1"/>
    <col min="10235" max="10235" width="0.85546875" style="479" customWidth="1"/>
    <col min="10236" max="10237" width="2" style="479" customWidth="1"/>
    <col min="10238" max="10238" width="1.140625" style="479" customWidth="1"/>
    <col min="10239" max="10239" width="2" style="479" customWidth="1"/>
    <col min="10240" max="10240" width="2.140625" style="479" customWidth="1"/>
    <col min="10241" max="10241" width="0.85546875" style="479" customWidth="1"/>
    <col min="10242" max="10242" width="2" style="479" customWidth="1"/>
    <col min="10243" max="10243" width="2.28515625" style="479" customWidth="1"/>
    <col min="10244" max="10488" width="11.42578125" style="479"/>
    <col min="10489" max="10489" width="5.28515625" style="479" customWidth="1"/>
    <col min="10490" max="10490" width="2.140625" style="479" customWidth="1"/>
    <col min="10491" max="10491" width="0.85546875" style="479" customWidth="1"/>
    <col min="10492" max="10493" width="2" style="479" customWidth="1"/>
    <col min="10494" max="10494" width="1.140625" style="479" customWidth="1"/>
    <col min="10495" max="10495" width="2" style="479" customWidth="1"/>
    <col min="10496" max="10496" width="2.140625" style="479" customWidth="1"/>
    <col min="10497" max="10497" width="0.85546875" style="479" customWidth="1"/>
    <col min="10498" max="10498" width="2" style="479" customWidth="1"/>
    <col min="10499" max="10499" width="2.28515625" style="479" customWidth="1"/>
    <col min="10500" max="10744" width="11.42578125" style="479"/>
    <col min="10745" max="10745" width="5.28515625" style="479" customWidth="1"/>
    <col min="10746" max="10746" width="2.140625" style="479" customWidth="1"/>
    <col min="10747" max="10747" width="0.85546875" style="479" customWidth="1"/>
    <col min="10748" max="10749" width="2" style="479" customWidth="1"/>
    <col min="10750" max="10750" width="1.140625" style="479" customWidth="1"/>
    <col min="10751" max="10751" width="2" style="479" customWidth="1"/>
    <col min="10752" max="10752" width="2.140625" style="479" customWidth="1"/>
    <col min="10753" max="10753" width="0.85546875" style="479" customWidth="1"/>
    <col min="10754" max="10754" width="2" style="479" customWidth="1"/>
    <col min="10755" max="10755" width="2.28515625" style="479" customWidth="1"/>
    <col min="10756" max="11000" width="11.42578125" style="479"/>
    <col min="11001" max="11001" width="5.28515625" style="479" customWidth="1"/>
    <col min="11002" max="11002" width="2.140625" style="479" customWidth="1"/>
    <col min="11003" max="11003" width="0.85546875" style="479" customWidth="1"/>
    <col min="11004" max="11005" width="2" style="479" customWidth="1"/>
    <col min="11006" max="11006" width="1.140625" style="479" customWidth="1"/>
    <col min="11007" max="11007" width="2" style="479" customWidth="1"/>
    <col min="11008" max="11008" width="2.140625" style="479" customWidth="1"/>
    <col min="11009" max="11009" width="0.85546875" style="479" customWidth="1"/>
    <col min="11010" max="11010" width="2" style="479" customWidth="1"/>
    <col min="11011" max="11011" width="2.28515625" style="479" customWidth="1"/>
    <col min="11012" max="11256" width="11.42578125" style="479"/>
    <col min="11257" max="11257" width="5.28515625" style="479" customWidth="1"/>
    <col min="11258" max="11258" width="2.140625" style="479" customWidth="1"/>
    <col min="11259" max="11259" width="0.85546875" style="479" customWidth="1"/>
    <col min="11260" max="11261" width="2" style="479" customWidth="1"/>
    <col min="11262" max="11262" width="1.140625" style="479" customWidth="1"/>
    <col min="11263" max="11263" width="2" style="479" customWidth="1"/>
    <col min="11264" max="11264" width="2.140625" style="479" customWidth="1"/>
    <col min="11265" max="11265" width="0.85546875" style="479" customWidth="1"/>
    <col min="11266" max="11266" width="2" style="479" customWidth="1"/>
    <col min="11267" max="11267" width="2.28515625" style="479" customWidth="1"/>
    <col min="11268" max="11512" width="11.42578125" style="479"/>
    <col min="11513" max="11513" width="5.28515625" style="479" customWidth="1"/>
    <col min="11514" max="11514" width="2.140625" style="479" customWidth="1"/>
    <col min="11515" max="11515" width="0.85546875" style="479" customWidth="1"/>
    <col min="11516" max="11517" width="2" style="479" customWidth="1"/>
    <col min="11518" max="11518" width="1.140625" style="479" customWidth="1"/>
    <col min="11519" max="11519" width="2" style="479" customWidth="1"/>
    <col min="11520" max="11520" width="2.140625" style="479" customWidth="1"/>
    <col min="11521" max="11521" width="0.85546875" style="479" customWidth="1"/>
    <col min="11522" max="11522" width="2" style="479" customWidth="1"/>
    <col min="11523" max="11523" width="2.28515625" style="479" customWidth="1"/>
    <col min="11524" max="11768" width="11.42578125" style="479"/>
    <col min="11769" max="11769" width="5.28515625" style="479" customWidth="1"/>
    <col min="11770" max="11770" width="2.140625" style="479" customWidth="1"/>
    <col min="11771" max="11771" width="0.85546875" style="479" customWidth="1"/>
    <col min="11772" max="11773" width="2" style="479" customWidth="1"/>
    <col min="11774" max="11774" width="1.140625" style="479" customWidth="1"/>
    <col min="11775" max="11775" width="2" style="479" customWidth="1"/>
    <col min="11776" max="11776" width="2.140625" style="479" customWidth="1"/>
    <col min="11777" max="11777" width="0.85546875" style="479" customWidth="1"/>
    <col min="11778" max="11778" width="2" style="479" customWidth="1"/>
    <col min="11779" max="11779" width="2.28515625" style="479" customWidth="1"/>
    <col min="11780" max="12024" width="11.42578125" style="479"/>
    <col min="12025" max="12025" width="5.28515625" style="479" customWidth="1"/>
    <col min="12026" max="12026" width="2.140625" style="479" customWidth="1"/>
    <col min="12027" max="12027" width="0.85546875" style="479" customWidth="1"/>
    <col min="12028" max="12029" width="2" style="479" customWidth="1"/>
    <col min="12030" max="12030" width="1.140625" style="479" customWidth="1"/>
    <col min="12031" max="12031" width="2" style="479" customWidth="1"/>
    <col min="12032" max="12032" width="2.140625" style="479" customWidth="1"/>
    <col min="12033" max="12033" width="0.85546875" style="479" customWidth="1"/>
    <col min="12034" max="12034" width="2" style="479" customWidth="1"/>
    <col min="12035" max="12035" width="2.28515625" style="479" customWidth="1"/>
    <col min="12036" max="12280" width="11.42578125" style="479"/>
    <col min="12281" max="12281" width="5.28515625" style="479" customWidth="1"/>
    <col min="12282" max="12282" width="2.140625" style="479" customWidth="1"/>
    <col min="12283" max="12283" width="0.85546875" style="479" customWidth="1"/>
    <col min="12284" max="12285" width="2" style="479" customWidth="1"/>
    <col min="12286" max="12286" width="1.140625" style="479" customWidth="1"/>
    <col min="12287" max="12287" width="2" style="479" customWidth="1"/>
    <col min="12288" max="12288" width="2.140625" style="479" customWidth="1"/>
    <col min="12289" max="12289" width="0.85546875" style="479" customWidth="1"/>
    <col min="12290" max="12290" width="2" style="479" customWidth="1"/>
    <col min="12291" max="12291" width="2.28515625" style="479" customWidth="1"/>
    <col min="12292" max="12536" width="11.42578125" style="479"/>
    <col min="12537" max="12537" width="5.28515625" style="479" customWidth="1"/>
    <col min="12538" max="12538" width="2.140625" style="479" customWidth="1"/>
    <col min="12539" max="12539" width="0.85546875" style="479" customWidth="1"/>
    <col min="12540" max="12541" width="2" style="479" customWidth="1"/>
    <col min="12542" max="12542" width="1.140625" style="479" customWidth="1"/>
    <col min="12543" max="12543" width="2" style="479" customWidth="1"/>
    <col min="12544" max="12544" width="2.140625" style="479" customWidth="1"/>
    <col min="12545" max="12545" width="0.85546875" style="479" customWidth="1"/>
    <col min="12546" max="12546" width="2" style="479" customWidth="1"/>
    <col min="12547" max="12547" width="2.28515625" style="479" customWidth="1"/>
    <col min="12548" max="12792" width="11.42578125" style="479"/>
    <col min="12793" max="12793" width="5.28515625" style="479" customWidth="1"/>
    <col min="12794" max="12794" width="2.140625" style="479" customWidth="1"/>
    <col min="12795" max="12795" width="0.85546875" style="479" customWidth="1"/>
    <col min="12796" max="12797" width="2" style="479" customWidth="1"/>
    <col min="12798" max="12798" width="1.140625" style="479" customWidth="1"/>
    <col min="12799" max="12799" width="2" style="479" customWidth="1"/>
    <col min="12800" max="12800" width="2.140625" style="479" customWidth="1"/>
    <col min="12801" max="12801" width="0.85546875" style="479" customWidth="1"/>
    <col min="12802" max="12802" width="2" style="479" customWidth="1"/>
    <col min="12803" max="12803" width="2.28515625" style="479" customWidth="1"/>
    <col min="12804" max="13048" width="11.42578125" style="479"/>
    <col min="13049" max="13049" width="5.28515625" style="479" customWidth="1"/>
    <col min="13050" max="13050" width="2.140625" style="479" customWidth="1"/>
    <col min="13051" max="13051" width="0.85546875" style="479" customWidth="1"/>
    <col min="13052" max="13053" width="2" style="479" customWidth="1"/>
    <col min="13054" max="13054" width="1.140625" style="479" customWidth="1"/>
    <col min="13055" max="13055" width="2" style="479" customWidth="1"/>
    <col min="13056" max="13056" width="2.140625" style="479" customWidth="1"/>
    <col min="13057" max="13057" width="0.85546875" style="479" customWidth="1"/>
    <col min="13058" max="13058" width="2" style="479" customWidth="1"/>
    <col min="13059" max="13059" width="2.28515625" style="479" customWidth="1"/>
    <col min="13060" max="13304" width="11.42578125" style="479"/>
    <col min="13305" max="13305" width="5.28515625" style="479" customWidth="1"/>
    <col min="13306" max="13306" width="2.140625" style="479" customWidth="1"/>
    <col min="13307" max="13307" width="0.85546875" style="479" customWidth="1"/>
    <col min="13308" max="13309" width="2" style="479" customWidth="1"/>
    <col min="13310" max="13310" width="1.140625" style="479" customWidth="1"/>
    <col min="13311" max="13311" width="2" style="479" customWidth="1"/>
    <col min="13312" max="13312" width="2.140625" style="479" customWidth="1"/>
    <col min="13313" max="13313" width="0.85546875" style="479" customWidth="1"/>
    <col min="13314" max="13314" width="2" style="479" customWidth="1"/>
    <col min="13315" max="13315" width="2.28515625" style="479" customWidth="1"/>
    <col min="13316" max="13560" width="11.42578125" style="479"/>
    <col min="13561" max="13561" width="5.28515625" style="479" customWidth="1"/>
    <col min="13562" max="13562" width="2.140625" style="479" customWidth="1"/>
    <col min="13563" max="13563" width="0.85546875" style="479" customWidth="1"/>
    <col min="13564" max="13565" width="2" style="479" customWidth="1"/>
    <col min="13566" max="13566" width="1.140625" style="479" customWidth="1"/>
    <col min="13567" max="13567" width="2" style="479" customWidth="1"/>
    <col min="13568" max="13568" width="2.140625" style="479" customWidth="1"/>
    <col min="13569" max="13569" width="0.85546875" style="479" customWidth="1"/>
    <col min="13570" max="13570" width="2" style="479" customWidth="1"/>
    <col min="13571" max="13571" width="2.28515625" style="479" customWidth="1"/>
    <col min="13572" max="13816" width="11.42578125" style="479"/>
    <col min="13817" max="13817" width="5.28515625" style="479" customWidth="1"/>
    <col min="13818" max="13818" width="2.140625" style="479" customWidth="1"/>
    <col min="13819" max="13819" width="0.85546875" style="479" customWidth="1"/>
    <col min="13820" max="13821" width="2" style="479" customWidth="1"/>
    <col min="13822" max="13822" width="1.140625" style="479" customWidth="1"/>
    <col min="13823" max="13823" width="2" style="479" customWidth="1"/>
    <col min="13824" max="13824" width="2.140625" style="479" customWidth="1"/>
    <col min="13825" max="13825" width="0.85546875" style="479" customWidth="1"/>
    <col min="13826" max="13826" width="2" style="479" customWidth="1"/>
    <col min="13827" max="13827" width="2.28515625" style="479" customWidth="1"/>
    <col min="13828" max="14072" width="11.42578125" style="479"/>
    <col min="14073" max="14073" width="5.28515625" style="479" customWidth="1"/>
    <col min="14074" max="14074" width="2.140625" style="479" customWidth="1"/>
    <col min="14075" max="14075" width="0.85546875" style="479" customWidth="1"/>
    <col min="14076" max="14077" width="2" style="479" customWidth="1"/>
    <col min="14078" max="14078" width="1.140625" style="479" customWidth="1"/>
    <col min="14079" max="14079" width="2" style="479" customWidth="1"/>
    <col min="14080" max="14080" width="2.140625" style="479" customWidth="1"/>
    <col min="14081" max="14081" width="0.85546875" style="479" customWidth="1"/>
    <col min="14082" max="14082" width="2" style="479" customWidth="1"/>
    <col min="14083" max="14083" width="2.28515625" style="479" customWidth="1"/>
    <col min="14084" max="14328" width="11.42578125" style="479"/>
    <col min="14329" max="14329" width="5.28515625" style="479" customWidth="1"/>
    <col min="14330" max="14330" width="2.140625" style="479" customWidth="1"/>
    <col min="14331" max="14331" width="0.85546875" style="479" customWidth="1"/>
    <col min="14332" max="14333" width="2" style="479" customWidth="1"/>
    <col min="14334" max="14334" width="1.140625" style="479" customWidth="1"/>
    <col min="14335" max="14335" width="2" style="479" customWidth="1"/>
    <col min="14336" max="14336" width="2.140625" style="479" customWidth="1"/>
    <col min="14337" max="14337" width="0.85546875" style="479" customWidth="1"/>
    <col min="14338" max="14338" width="2" style="479" customWidth="1"/>
    <col min="14339" max="14339" width="2.28515625" style="479" customWidth="1"/>
    <col min="14340" max="14584" width="11.42578125" style="479"/>
    <col min="14585" max="14585" width="5.28515625" style="479" customWidth="1"/>
    <col min="14586" max="14586" width="2.140625" style="479" customWidth="1"/>
    <col min="14587" max="14587" width="0.85546875" style="479" customWidth="1"/>
    <col min="14588" max="14589" width="2" style="479" customWidth="1"/>
    <col min="14590" max="14590" width="1.140625" style="479" customWidth="1"/>
    <col min="14591" max="14591" width="2" style="479" customWidth="1"/>
    <col min="14592" max="14592" width="2.140625" style="479" customWidth="1"/>
    <col min="14593" max="14593" width="0.85546875" style="479" customWidth="1"/>
    <col min="14594" max="14594" width="2" style="479" customWidth="1"/>
    <col min="14595" max="14595" width="2.28515625" style="479" customWidth="1"/>
    <col min="14596" max="14840" width="11.42578125" style="479"/>
    <col min="14841" max="14841" width="5.28515625" style="479" customWidth="1"/>
    <col min="14842" max="14842" width="2.140625" style="479" customWidth="1"/>
    <col min="14843" max="14843" width="0.85546875" style="479" customWidth="1"/>
    <col min="14844" max="14845" width="2" style="479" customWidth="1"/>
    <col min="14846" max="14846" width="1.140625" style="479" customWidth="1"/>
    <col min="14847" max="14847" width="2" style="479" customWidth="1"/>
    <col min="14848" max="14848" width="2.140625" style="479" customWidth="1"/>
    <col min="14849" max="14849" width="0.85546875" style="479" customWidth="1"/>
    <col min="14850" max="14850" width="2" style="479" customWidth="1"/>
    <col min="14851" max="14851" width="2.28515625" style="479" customWidth="1"/>
    <col min="14852" max="15096" width="11.42578125" style="479"/>
    <col min="15097" max="15097" width="5.28515625" style="479" customWidth="1"/>
    <col min="15098" max="15098" width="2.140625" style="479" customWidth="1"/>
    <col min="15099" max="15099" width="0.85546875" style="479" customWidth="1"/>
    <col min="15100" max="15101" width="2" style="479" customWidth="1"/>
    <col min="15102" max="15102" width="1.140625" style="479" customWidth="1"/>
    <col min="15103" max="15103" width="2" style="479" customWidth="1"/>
    <col min="15104" max="15104" width="2.140625" style="479" customWidth="1"/>
    <col min="15105" max="15105" width="0.85546875" style="479" customWidth="1"/>
    <col min="15106" max="15106" width="2" style="479" customWidth="1"/>
    <col min="15107" max="15107" width="2.28515625" style="479" customWidth="1"/>
    <col min="15108" max="15352" width="11.42578125" style="479"/>
    <col min="15353" max="15353" width="5.28515625" style="479" customWidth="1"/>
    <col min="15354" max="15354" width="2.140625" style="479" customWidth="1"/>
    <col min="15355" max="15355" width="0.85546875" style="479" customWidth="1"/>
    <col min="15356" max="15357" width="2" style="479" customWidth="1"/>
    <col min="15358" max="15358" width="1.140625" style="479" customWidth="1"/>
    <col min="15359" max="15359" width="2" style="479" customWidth="1"/>
    <col min="15360" max="15360" width="2.140625" style="479" customWidth="1"/>
    <col min="15361" max="15361" width="0.85546875" style="479" customWidth="1"/>
    <col min="15362" max="15362" width="2" style="479" customWidth="1"/>
    <col min="15363" max="15363" width="2.28515625" style="479" customWidth="1"/>
    <col min="15364" max="15608" width="11.42578125" style="479"/>
    <col min="15609" max="15609" width="5.28515625" style="479" customWidth="1"/>
    <col min="15610" max="15610" width="2.140625" style="479" customWidth="1"/>
    <col min="15611" max="15611" width="0.85546875" style="479" customWidth="1"/>
    <col min="15612" max="15613" width="2" style="479" customWidth="1"/>
    <col min="15614" max="15614" width="1.140625" style="479" customWidth="1"/>
    <col min="15615" max="15615" width="2" style="479" customWidth="1"/>
    <col min="15616" max="15616" width="2.140625" style="479" customWidth="1"/>
    <col min="15617" max="15617" width="0.85546875" style="479" customWidth="1"/>
    <col min="15618" max="15618" width="2" style="479" customWidth="1"/>
    <col min="15619" max="15619" width="2.28515625" style="479" customWidth="1"/>
    <col min="15620" max="15864" width="11.42578125" style="479"/>
    <col min="15865" max="15865" width="5.28515625" style="479" customWidth="1"/>
    <col min="15866" max="15866" width="2.140625" style="479" customWidth="1"/>
    <col min="15867" max="15867" width="0.85546875" style="479" customWidth="1"/>
    <col min="15868" max="15869" width="2" style="479" customWidth="1"/>
    <col min="15870" max="15870" width="1.140625" style="479" customWidth="1"/>
    <col min="15871" max="15871" width="2" style="479" customWidth="1"/>
    <col min="15872" max="15872" width="2.140625" style="479" customWidth="1"/>
    <col min="15873" max="15873" width="0.85546875" style="479" customWidth="1"/>
    <col min="15874" max="15874" width="2" style="479" customWidth="1"/>
    <col min="15875" max="15875" width="2.28515625" style="479" customWidth="1"/>
    <col min="15876" max="16120" width="11.42578125" style="479"/>
    <col min="16121" max="16121" width="5.28515625" style="479" customWidth="1"/>
    <col min="16122" max="16122" width="2.140625" style="479" customWidth="1"/>
    <col min="16123" max="16123" width="0.85546875" style="479" customWidth="1"/>
    <col min="16124" max="16125" width="2" style="479" customWidth="1"/>
    <col min="16126" max="16126" width="1.140625" style="479" customWidth="1"/>
    <col min="16127" max="16127" width="2" style="479" customWidth="1"/>
    <col min="16128" max="16128" width="2.140625" style="479" customWidth="1"/>
    <col min="16129" max="16129" width="0.85546875" style="479" customWidth="1"/>
    <col min="16130" max="16130" width="2" style="479" customWidth="1"/>
    <col min="16131" max="16131" width="2.28515625" style="479" customWidth="1"/>
    <col min="16132" max="16384" width="11.42578125" style="479"/>
  </cols>
  <sheetData>
    <row r="7" spans="2:10" ht="27.75" customHeight="1">
      <c r="H7" s="512"/>
      <c r="I7" s="512"/>
    </row>
    <row r="8" spans="2:10" ht="18" customHeight="1">
      <c r="C8" s="985" t="s">
        <v>19</v>
      </c>
      <c r="D8" s="986"/>
      <c r="F8" s="987" t="s">
        <v>20</v>
      </c>
      <c r="G8" s="988"/>
      <c r="H8" s="988"/>
      <c r="I8" s="988"/>
      <c r="J8" s="989"/>
    </row>
    <row r="9" spans="2:10" s="515" customFormat="1" ht="25.5">
      <c r="B9" s="516" t="s">
        <v>91</v>
      </c>
      <c r="C9" s="517" t="s">
        <v>22</v>
      </c>
      <c r="D9" s="518" t="s">
        <v>23</v>
      </c>
      <c r="E9" s="519" t="s">
        <v>24</v>
      </c>
      <c r="F9" s="520" t="s">
        <v>75</v>
      </c>
      <c r="G9" s="521" t="s">
        <v>26</v>
      </c>
      <c r="H9" s="522" t="s">
        <v>27</v>
      </c>
      <c r="I9" s="539" t="s">
        <v>29</v>
      </c>
      <c r="J9" s="540" t="s">
        <v>92</v>
      </c>
    </row>
    <row r="10" spans="2:10" ht="15" customHeight="1">
      <c r="B10" s="523" t="str">
        <f>+RESUMEN!A103</f>
        <v>TRANSPORTE Y VIVIENDA</v>
      </c>
      <c r="C10" s="524">
        <f>+VLOOKUP(B10,RESUMEN!$A$94:$B$105,2,FALSE)</f>
        <v>123647369771</v>
      </c>
      <c r="D10" s="525">
        <f t="shared" ref="D10:D20" si="0">C10/C$21</f>
        <v>0.28530069777913408</v>
      </c>
      <c r="E10" s="526">
        <f>+VLOOKUP(B10,RESUMEN!$A$94:$C$105,3,FALSE)</f>
        <v>19418815176</v>
      </c>
      <c r="F10" s="524">
        <f>+VLOOKUP(B10,RESUMEN!$A$94:$D$105,4,FALSE)</f>
        <v>30780750735</v>
      </c>
      <c r="G10" s="527">
        <f t="shared" ref="G10:G20" si="1">F10/F$21</f>
        <v>0.27907516118053222</v>
      </c>
      <c r="H10" s="528">
        <f>+VLOOKUP(B10,RESUMEN!$A$94:$E$105,5,FALSE)</f>
        <v>16244621022</v>
      </c>
      <c r="I10" s="528">
        <f>+VLOOKUP(B10,RESUMEN!$A$94:$F$105,6,FALSE)</f>
        <v>14536129713</v>
      </c>
      <c r="J10" s="541">
        <f>+VLOOKUP(B10,RESUMEN!$A$94:$G$105,7,FALSE)</f>
        <v>73447803860</v>
      </c>
    </row>
    <row r="11" spans="2:10" ht="15" customHeight="1">
      <c r="B11" s="529" t="str">
        <f>+RESUMEN!A97</f>
        <v>EDUCACIÓN Y CULTURA</v>
      </c>
      <c r="C11" s="496">
        <f>+VLOOKUP(B11,RESUMEN!$A$94:$B$105,2,FALSE)</f>
        <v>71586506511</v>
      </c>
      <c r="D11" s="530">
        <f t="shared" si="0"/>
        <v>0.16517682743259576</v>
      </c>
      <c r="E11" s="498">
        <f>+VLOOKUP(B11,RESUMEN!$A$94:$C$105,3,FALSE)</f>
        <v>28364096944</v>
      </c>
      <c r="F11" s="496">
        <f>+VLOOKUP(B11,RESUMEN!$A$94:$D$105,4,FALSE)</f>
        <v>9427149374.3333359</v>
      </c>
      <c r="G11" s="531">
        <f t="shared" si="1"/>
        <v>8.5471704500160853E-2</v>
      </c>
      <c r="H11" s="532">
        <f>+VLOOKUP(B11,RESUMEN!$A$94:$E$105,5,FALSE)</f>
        <v>4911971977</v>
      </c>
      <c r="I11" s="532">
        <f>+VLOOKUP(B11,RESUMEN!$A$94:$F$105,6,FALSE)</f>
        <v>4515177397.3333359</v>
      </c>
      <c r="J11" s="542">
        <f>+VLOOKUP(B11,RESUMEN!$A$94:$G$105,7,FALSE)</f>
        <v>33795260192.666664</v>
      </c>
    </row>
    <row r="12" spans="2:10" ht="15" customHeight="1">
      <c r="B12" s="529" t="str">
        <f>+RESUMEN!A101</f>
        <v>SALUD</v>
      </c>
      <c r="C12" s="496">
        <f>+VLOOKUP(B12,RESUMEN!$A$94:$B$105,2,FALSE)</f>
        <v>65234922912</v>
      </c>
      <c r="D12" s="530">
        <f t="shared" si="0"/>
        <v>0.15052135003624428</v>
      </c>
      <c r="E12" s="498">
        <f>+VLOOKUP(B12,RESUMEN!$A$94:$C$105,3,FALSE)</f>
        <v>21080743556</v>
      </c>
      <c r="F12" s="496">
        <f>+VLOOKUP(B12,RESUMEN!$A$94:$D$105,4,FALSE)</f>
        <v>10187690191.333334</v>
      </c>
      <c r="G12" s="531">
        <f t="shared" si="1"/>
        <v>9.2367184500501021E-2</v>
      </c>
      <c r="H12" s="532">
        <f>+VLOOKUP(B12,RESUMEN!$A$94:$E$105,5,FALSE)</f>
        <v>3632832180</v>
      </c>
      <c r="I12" s="532">
        <f>+VLOOKUP(B12,RESUMEN!$A$94:$F$105,6,FALSE)</f>
        <v>6554858011.333334</v>
      </c>
      <c r="J12" s="542">
        <f>+VLOOKUP(B12,RESUMEN!$A$94:$G$105,7,FALSE)</f>
        <v>33966489164.666664</v>
      </c>
    </row>
    <row r="13" spans="2:10" ht="15" customHeight="1">
      <c r="B13" s="529" t="str">
        <f>+RESUMEN!A100</f>
        <v>MULTISECTORIAL</v>
      </c>
      <c r="C13" s="496">
        <f>+VLOOKUP(B13,RESUMEN!$A$94:$B$105,2,FALSE)</f>
        <v>67017678963</v>
      </c>
      <c r="D13" s="530">
        <f t="shared" si="0"/>
        <v>0.15463483458720775</v>
      </c>
      <c r="E13" s="498">
        <f>+VLOOKUP(B13,RESUMEN!$A$94:$C$105,3,FALSE)</f>
        <v>14051405233</v>
      </c>
      <c r="F13" s="496">
        <f>+VLOOKUP(B13,RESUMEN!$A$94:$D$105,4,FALSE)</f>
        <v>24300783138</v>
      </c>
      <c r="G13" s="531">
        <f t="shared" si="1"/>
        <v>0.22032422241537994</v>
      </c>
      <c r="H13" s="532">
        <f>+VLOOKUP(B13,RESUMEN!$A$94:$E$105,5,FALSE)</f>
        <v>6140209058</v>
      </c>
      <c r="I13" s="532">
        <f>+VLOOKUP(B13,RESUMEN!$A$94:$F$105,6,FALSE)</f>
        <v>18160574080</v>
      </c>
      <c r="J13" s="542">
        <f>+VLOOKUP(B13,RESUMEN!$A$94:$G$105,7,FALSE)</f>
        <v>28665490592</v>
      </c>
    </row>
    <row r="14" spans="2:10" ht="15" customHeight="1">
      <c r="B14" s="529" t="str">
        <f>+RESUMEN!A94</f>
        <v>AGUA POTABLE Y ALCANTARILLADO</v>
      </c>
      <c r="C14" s="496">
        <f>+VLOOKUP(B14,RESUMEN!$A$94:$B$105,2,FALSE)</f>
        <v>16679732677</v>
      </c>
      <c r="D14" s="530">
        <f t="shared" si="0"/>
        <v>3.8486377674922682E-2</v>
      </c>
      <c r="E14" s="498">
        <f>+VLOOKUP(B14,RESUMEN!$A$94:$C$105,3,FALSE)</f>
        <v>4164097306</v>
      </c>
      <c r="F14" s="496">
        <f>+VLOOKUP(B14,RESUMEN!$A$94:$D$105,4,FALSE)</f>
        <v>7049643745</v>
      </c>
      <c r="G14" s="531">
        <f t="shared" si="1"/>
        <v>6.3915935038067417E-2</v>
      </c>
      <c r="H14" s="532">
        <f>+VLOOKUP(B14,RESUMEN!$A$94:$E$105,5,FALSE)</f>
        <v>2823470607</v>
      </c>
      <c r="I14" s="532">
        <f>+VLOOKUP(B14,RESUMEN!$A$94:$F$105,6,FALSE)</f>
        <v>4226173138</v>
      </c>
      <c r="J14" s="542">
        <f>+VLOOKUP(B14,RESUMEN!$A$94:$G$105,7,FALSE)</f>
        <v>5465991626</v>
      </c>
    </row>
    <row r="15" spans="2:10" ht="15" customHeight="1">
      <c r="B15" s="529" t="str">
        <f>+RESUMEN!A95</f>
        <v>DEFENSA Y SEGURIDAD</v>
      </c>
      <c r="C15" s="496">
        <f>+VLOOKUP(B15,RESUMEN!$A$94:$B$105,2,FALSE)</f>
        <v>29740327175</v>
      </c>
      <c r="D15" s="530">
        <f t="shared" si="0"/>
        <v>6.8622050844443311E-2</v>
      </c>
      <c r="E15" s="498">
        <f>+VLOOKUP(B15,RESUMEN!$A$94:$C$105,3,FALSE)</f>
        <v>3687716616</v>
      </c>
      <c r="F15" s="496">
        <f>+VLOOKUP(B15,RESUMEN!$A$94:$D$105,4,FALSE)</f>
        <v>8427296399.6666603</v>
      </c>
      <c r="G15" s="531">
        <f t="shared" si="1"/>
        <v>7.6406489279641415E-2</v>
      </c>
      <c r="H15" s="532">
        <f>+VLOOKUP(B15,RESUMEN!$A$94:$E$105,5,FALSE)</f>
        <v>2813350390</v>
      </c>
      <c r="I15" s="532">
        <f>+VLOOKUP(B15,RESUMEN!$A$94:$F$105,6,FALSE)</f>
        <v>5613946009.6666603</v>
      </c>
      <c r="J15" s="542">
        <f>+VLOOKUP(B15,RESUMEN!$A$94:$G$105,7,FALSE)</f>
        <v>17625314159.33334</v>
      </c>
    </row>
    <row r="16" spans="2:10" ht="15" customHeight="1">
      <c r="B16" s="529" t="str">
        <f>+RESUMEN!A96</f>
        <v>DEPORTE</v>
      </c>
      <c r="C16" s="496">
        <f>+VLOOKUP(B16,RESUMEN!$A$94:$B$105,2,FALSE)</f>
        <v>15083626576</v>
      </c>
      <c r="D16" s="530">
        <f t="shared" si="0"/>
        <v>3.4803564322821487E-2</v>
      </c>
      <c r="E16" s="498">
        <f>+VLOOKUP(B16,RESUMEN!$A$94:$C$105,3,FALSE)</f>
        <v>6261806612</v>
      </c>
      <c r="F16" s="496">
        <f>+VLOOKUP(B16,RESUMEN!$A$94:$D$105,4,FALSE)</f>
        <v>4129034896</v>
      </c>
      <c r="G16" s="531">
        <f t="shared" si="1"/>
        <v>3.7436094039479638E-2</v>
      </c>
      <c r="H16" s="532">
        <f>+VLOOKUP(B16,RESUMEN!$A$94:$E$105,5,FALSE)</f>
        <v>1645267241</v>
      </c>
      <c r="I16" s="532">
        <f>+VLOOKUP(B16,RESUMEN!$A$94:$F$105,6,FALSE)</f>
        <v>2483767655</v>
      </c>
      <c r="J16" s="542">
        <f>+VLOOKUP(B16,RESUMEN!$A$94:$G$105,7,FALSE)</f>
        <v>4692785068</v>
      </c>
    </row>
    <row r="17" spans="2:10" ht="15" customHeight="1">
      <c r="B17" s="529" t="str">
        <f>+RESUMEN!A102</f>
        <v>SILVOAGROPECUARIO</v>
      </c>
      <c r="C17" s="496">
        <f>+VLOOKUP(B17,RESUMEN!$A$94:$B$105,2,FALSE)</f>
        <v>17071040798</v>
      </c>
      <c r="D17" s="530">
        <f t="shared" si="0"/>
        <v>3.9389271769432778E-2</v>
      </c>
      <c r="E17" s="498">
        <f>+VLOOKUP(B17,RESUMEN!$A$94:$C$105,3,FALSE)</f>
        <v>8234005661</v>
      </c>
      <c r="F17" s="496">
        <f>+VLOOKUP(B17,RESUMEN!$A$94:$D$105,4,FALSE)</f>
        <v>4777530101</v>
      </c>
      <c r="G17" s="531">
        <f t="shared" si="1"/>
        <v>4.3315707094348725E-2</v>
      </c>
      <c r="H17" s="532">
        <f>+VLOOKUP(B17,RESUMEN!$A$94:$E$105,5,FALSE)</f>
        <v>447241000</v>
      </c>
      <c r="I17" s="532">
        <f>+VLOOKUP(B17,RESUMEN!$A$94:$F$105,6,FALSE)</f>
        <v>4330289101</v>
      </c>
      <c r="J17" s="542">
        <f>+VLOOKUP(B17,RESUMEN!$A$94:$G$105,7,FALSE)</f>
        <v>4059505036</v>
      </c>
    </row>
    <row r="18" spans="2:10" ht="15" customHeight="1">
      <c r="B18" s="529" t="str">
        <f>+RESUMEN!A99</f>
        <v>INDUSTRIA, COMERCIO, FINANZAS Y TURISMO</v>
      </c>
      <c r="C18" s="496">
        <f>+VLOOKUP(B18,RESUMEN!$A$94:$B$105,2,FALSE)</f>
        <v>12334805111</v>
      </c>
      <c r="D18" s="530">
        <f t="shared" si="0"/>
        <v>2.8461005775177427E-2</v>
      </c>
      <c r="E18" s="498">
        <f>+VLOOKUP(B18,RESUMEN!$A$94:$C$105,3,FALSE)</f>
        <v>3008461241</v>
      </c>
      <c r="F18" s="496">
        <f>+VLOOKUP(B18,RESUMEN!$A$94:$D$105,4,FALSE)</f>
        <v>4231974987</v>
      </c>
      <c r="G18" s="531">
        <f t="shared" si="1"/>
        <v>3.8369405339619495E-2</v>
      </c>
      <c r="H18" s="532">
        <f>+VLOOKUP(B18,RESUMEN!$A$94:$E$105,5,FALSE)</f>
        <v>202596523</v>
      </c>
      <c r="I18" s="532">
        <f>+VLOOKUP(B18,RESUMEN!$A$94:$F$105,6,FALSE)</f>
        <v>4029378464</v>
      </c>
      <c r="J18" s="542">
        <f>+VLOOKUP(B18,RESUMEN!$A$94:$G$105,7,FALSE)</f>
        <v>5094368883</v>
      </c>
    </row>
    <row r="19" spans="2:10" ht="15" customHeight="1">
      <c r="B19" s="529" t="str">
        <f>+RESUMEN!A98</f>
        <v>ENERGIA</v>
      </c>
      <c r="C19" s="496">
        <f>+VLOOKUP(B19,RESUMEN!$A$94:$B$105,2,FALSE)</f>
        <v>6984185105</v>
      </c>
      <c r="D19" s="530">
        <f t="shared" si="0"/>
        <v>1.6115125518363218E-2</v>
      </c>
      <c r="E19" s="498">
        <f>+VLOOKUP(B19,RESUMEN!$A$94:$C$105,3,FALSE)</f>
        <v>121504000</v>
      </c>
      <c r="F19" s="496">
        <f>+VLOOKUP(B19,RESUMEN!$A$94:$D$105,4,FALSE)</f>
        <v>6061316100</v>
      </c>
      <c r="G19" s="531">
        <f t="shared" si="1"/>
        <v>5.4955214774869747E-2</v>
      </c>
      <c r="H19" s="532">
        <f>+VLOOKUP(B19,RESUMEN!$A$94:$E$105,5,FALSE)</f>
        <v>1154940020</v>
      </c>
      <c r="I19" s="532">
        <f>+VLOOKUP(B19,RESUMEN!$A$94:$F$105,6,FALSE)</f>
        <v>4906376080</v>
      </c>
      <c r="J19" s="542">
        <f>+VLOOKUP(B19,RESUMEN!$A$94:$G$105,7,FALSE)</f>
        <v>801365005</v>
      </c>
    </row>
    <row r="20" spans="2:10" ht="15" customHeight="1">
      <c r="B20" s="529" t="str">
        <f>+RESUMEN!A104</f>
        <v>RECURSOS NATURALES Y MEDIO AMBIENTE</v>
      </c>
      <c r="C20" s="496">
        <f>+VLOOKUP(B20,RESUMEN!$A$94:$B$105,2,FALSE)</f>
        <v>8012960231</v>
      </c>
      <c r="D20" s="530">
        <f t="shared" si="0"/>
        <v>1.8488894259657187E-2</v>
      </c>
      <c r="E20" s="498">
        <f>+VLOOKUP(B20,RESUMEN!$A$94:$C$105,3,FALSE)</f>
        <v>889336623</v>
      </c>
      <c r="F20" s="496">
        <f>+VLOOKUP(B20,RESUMEN!$A$94:$D$105,4,FALSE)</f>
        <v>922388722</v>
      </c>
      <c r="G20" s="531">
        <f t="shared" si="1"/>
        <v>8.3628818373995741E-3</v>
      </c>
      <c r="H20" s="532">
        <f>+VLOOKUP(B20,RESUMEN!$A$94:$E$105,5,FALSE)</f>
        <v>73686251</v>
      </c>
      <c r="I20" s="532">
        <f>+VLOOKUP(B20,RESUMEN!$A$94:$F$105,6,FALSE)</f>
        <v>848702471</v>
      </c>
      <c r="J20" s="542">
        <f>+VLOOKUP(B20,RESUMEN!$A$94:$G$105,7,FALSE)</f>
        <v>6201234886</v>
      </c>
    </row>
    <row r="21" spans="2:10" s="511" customFormat="1" ht="15" customHeight="1">
      <c r="B21" s="533" t="s">
        <v>38</v>
      </c>
      <c r="C21" s="534">
        <f t="shared" ref="C21:J21" si="2">SUM(C10:C20)</f>
        <v>433393155830</v>
      </c>
      <c r="D21" s="535">
        <f t="shared" si="2"/>
        <v>0.99999999999999989</v>
      </c>
      <c r="E21" s="536">
        <f t="shared" si="2"/>
        <v>109281988968</v>
      </c>
      <c r="F21" s="534">
        <f t="shared" si="2"/>
        <v>110295558389.33333</v>
      </c>
      <c r="G21" s="537">
        <f t="shared" si="2"/>
        <v>1</v>
      </c>
      <c r="H21" s="538">
        <f t="shared" si="2"/>
        <v>40090186269</v>
      </c>
      <c r="I21" s="543">
        <f t="shared" si="2"/>
        <v>70205372120.333328</v>
      </c>
      <c r="J21" s="544">
        <f t="shared" si="2"/>
        <v>213815608472.66666</v>
      </c>
    </row>
  </sheetData>
  <mergeCells count="2">
    <mergeCell ref="C8:D8"/>
    <mergeCell ref="F8:J8"/>
  </mergeCells>
  <printOptions horizontalCentered="1" verticalCentered="1"/>
  <pageMargins left="0.23622047244094491" right="0.23622047244094491" top="0.74803149606299213" bottom="0.74803149606299213" header="0" footer="0"/>
  <pageSetup paperSize="5" scale="8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7:WUQ16"/>
  <sheetViews>
    <sheetView view="pageBreakPreview" topLeftCell="A13" zoomScaleNormal="100" zoomScaleSheetLayoutView="100" workbookViewId="0">
      <selection activeCell="B19" sqref="B19"/>
    </sheetView>
  </sheetViews>
  <sheetFormatPr baseColWidth="10" defaultColWidth="11.42578125" defaultRowHeight="12.75"/>
  <cols>
    <col min="1" max="1" width="2.7109375" style="479" customWidth="1"/>
    <col min="2" max="2" width="11.5703125" style="479" customWidth="1"/>
    <col min="3" max="3" width="15.42578125" style="479" customWidth="1"/>
    <col min="4" max="4" width="7.85546875" style="479" customWidth="1"/>
    <col min="5" max="5" width="15.85546875" style="479" customWidth="1"/>
    <col min="6" max="6" width="14.85546875" style="479" customWidth="1"/>
    <col min="7" max="7" width="14.7109375" style="479" customWidth="1"/>
    <col min="8" max="8" width="14.28515625" style="479" customWidth="1"/>
    <col min="9" max="9" width="15.42578125" style="479" customWidth="1"/>
    <col min="10" max="10" width="14.7109375" style="479" customWidth="1"/>
    <col min="11" max="11" width="15.42578125" style="479" customWidth="1"/>
    <col min="12" max="12" width="2.7109375" style="479" customWidth="1"/>
    <col min="13" max="16" width="11.42578125" style="479" customWidth="1"/>
    <col min="17" max="229" width="11.42578125" style="479"/>
    <col min="230" max="230" width="2.42578125" style="479" customWidth="1"/>
    <col min="231" max="231" width="2.140625" style="479" customWidth="1"/>
    <col min="232" max="232" width="0.85546875" style="479" customWidth="1"/>
    <col min="233" max="234" width="2" style="479" customWidth="1"/>
    <col min="235" max="235" width="1.28515625" style="479" customWidth="1"/>
    <col min="236" max="236" width="2" style="479" customWidth="1"/>
    <col min="237" max="237" width="2.140625" style="479" customWidth="1"/>
    <col min="238" max="238" width="1.140625" style="479" customWidth="1"/>
    <col min="239" max="239" width="11.42578125" style="479" hidden="1" customWidth="1"/>
    <col min="240" max="240" width="2" style="479" customWidth="1"/>
    <col min="241" max="241" width="2.140625" style="479" customWidth="1"/>
    <col min="242" max="242" width="2" style="479" customWidth="1"/>
    <col min="243" max="243" width="2.28515625" style="479" customWidth="1"/>
    <col min="244" max="244" width="11.42578125" style="479"/>
    <col min="245" max="245" width="2" style="479" customWidth="1"/>
    <col min="246" max="485" width="11.42578125" style="479"/>
    <col min="486" max="486" width="2.42578125" style="479" customWidth="1"/>
    <col min="487" max="487" width="2.140625" style="479" customWidth="1"/>
    <col min="488" max="488" width="0.85546875" style="479" customWidth="1"/>
    <col min="489" max="490" width="2" style="479" customWidth="1"/>
    <col min="491" max="491" width="1.28515625" style="479" customWidth="1"/>
    <col min="492" max="492" width="2" style="479" customWidth="1"/>
    <col min="493" max="493" width="2.140625" style="479" customWidth="1"/>
    <col min="494" max="494" width="1.140625" style="479" customWidth="1"/>
    <col min="495" max="495" width="11.42578125" style="479" hidden="1" customWidth="1"/>
    <col min="496" max="496" width="2" style="479" customWidth="1"/>
    <col min="497" max="497" width="2.140625" style="479" customWidth="1"/>
    <col min="498" max="498" width="2" style="479" customWidth="1"/>
    <col min="499" max="499" width="2.28515625" style="479" customWidth="1"/>
    <col min="500" max="500" width="11.42578125" style="479"/>
    <col min="501" max="501" width="2" style="479" customWidth="1"/>
    <col min="502" max="741" width="11.42578125" style="479"/>
    <col min="742" max="742" width="2.42578125" style="479" customWidth="1"/>
    <col min="743" max="743" width="2.140625" style="479" customWidth="1"/>
    <col min="744" max="744" width="0.85546875" style="479" customWidth="1"/>
    <col min="745" max="746" width="2" style="479" customWidth="1"/>
    <col min="747" max="747" width="1.28515625" style="479" customWidth="1"/>
    <col min="748" max="748" width="2" style="479" customWidth="1"/>
    <col min="749" max="749" width="2.140625" style="479" customWidth="1"/>
    <col min="750" max="750" width="1.140625" style="479" customWidth="1"/>
    <col min="751" max="751" width="11.42578125" style="479" hidden="1" customWidth="1"/>
    <col min="752" max="752" width="2" style="479" customWidth="1"/>
    <col min="753" max="753" width="2.140625" style="479" customWidth="1"/>
    <col min="754" max="754" width="2" style="479" customWidth="1"/>
    <col min="755" max="755" width="2.28515625" style="479" customWidth="1"/>
    <col min="756" max="756" width="11.42578125" style="479"/>
    <col min="757" max="757" width="2" style="479" customWidth="1"/>
    <col min="758" max="997" width="11.42578125" style="479"/>
    <col min="998" max="998" width="2.42578125" style="479" customWidth="1"/>
    <col min="999" max="999" width="2.140625" style="479" customWidth="1"/>
    <col min="1000" max="1000" width="0.85546875" style="479" customWidth="1"/>
    <col min="1001" max="1002" width="2" style="479" customWidth="1"/>
    <col min="1003" max="1003" width="1.28515625" style="479" customWidth="1"/>
    <col min="1004" max="1004" width="2" style="479" customWidth="1"/>
    <col min="1005" max="1005" width="2.140625" style="479" customWidth="1"/>
    <col min="1006" max="1006" width="1.140625" style="479" customWidth="1"/>
    <col min="1007" max="1007" width="11.42578125" style="479" hidden="1" customWidth="1"/>
    <col min="1008" max="1008" width="2" style="479" customWidth="1"/>
    <col min="1009" max="1009" width="2.140625" style="479" customWidth="1"/>
    <col min="1010" max="1010" width="2" style="479" customWidth="1"/>
    <col min="1011" max="1011" width="2.28515625" style="479" customWidth="1"/>
    <col min="1012" max="1012" width="11.42578125" style="479"/>
    <col min="1013" max="1013" width="2" style="479" customWidth="1"/>
    <col min="1014" max="1253" width="11.42578125" style="479"/>
    <col min="1254" max="1254" width="2.42578125" style="479" customWidth="1"/>
    <col min="1255" max="1255" width="2.140625" style="479" customWidth="1"/>
    <col min="1256" max="1256" width="0.85546875" style="479" customWidth="1"/>
    <col min="1257" max="1258" width="2" style="479" customWidth="1"/>
    <col min="1259" max="1259" width="1.28515625" style="479" customWidth="1"/>
    <col min="1260" max="1260" width="2" style="479" customWidth="1"/>
    <col min="1261" max="1261" width="2.140625" style="479" customWidth="1"/>
    <col min="1262" max="1262" width="1.140625" style="479" customWidth="1"/>
    <col min="1263" max="1263" width="11.42578125" style="479" hidden="1" customWidth="1"/>
    <col min="1264" max="1264" width="2" style="479" customWidth="1"/>
    <col min="1265" max="1265" width="2.140625" style="479" customWidth="1"/>
    <col min="1266" max="1266" width="2" style="479" customWidth="1"/>
    <col min="1267" max="1267" width="2.28515625" style="479" customWidth="1"/>
    <col min="1268" max="1268" width="11.42578125" style="479"/>
    <col min="1269" max="1269" width="2" style="479" customWidth="1"/>
    <col min="1270" max="1509" width="11.42578125" style="479"/>
    <col min="1510" max="1510" width="2.42578125" style="479" customWidth="1"/>
    <col min="1511" max="1511" width="2.140625" style="479" customWidth="1"/>
    <col min="1512" max="1512" width="0.85546875" style="479" customWidth="1"/>
    <col min="1513" max="1514" width="2" style="479" customWidth="1"/>
    <col min="1515" max="1515" width="1.28515625" style="479" customWidth="1"/>
    <col min="1516" max="1516" width="2" style="479" customWidth="1"/>
    <col min="1517" max="1517" width="2.140625" style="479" customWidth="1"/>
    <col min="1518" max="1518" width="1.140625" style="479" customWidth="1"/>
    <col min="1519" max="1519" width="11.42578125" style="479" hidden="1" customWidth="1"/>
    <col min="1520" max="1520" width="2" style="479" customWidth="1"/>
    <col min="1521" max="1521" width="2.140625" style="479" customWidth="1"/>
    <col min="1522" max="1522" width="2" style="479" customWidth="1"/>
    <col min="1523" max="1523" width="2.28515625" style="479" customWidth="1"/>
    <col min="1524" max="1524" width="11.42578125" style="479"/>
    <col min="1525" max="1525" width="2" style="479" customWidth="1"/>
    <col min="1526" max="1765" width="11.42578125" style="479"/>
    <col min="1766" max="1766" width="2.42578125" style="479" customWidth="1"/>
    <col min="1767" max="1767" width="2.140625" style="479" customWidth="1"/>
    <col min="1768" max="1768" width="0.85546875" style="479" customWidth="1"/>
    <col min="1769" max="1770" width="2" style="479" customWidth="1"/>
    <col min="1771" max="1771" width="1.28515625" style="479" customWidth="1"/>
    <col min="1772" max="1772" width="2" style="479" customWidth="1"/>
    <col min="1773" max="1773" width="2.140625" style="479" customWidth="1"/>
    <col min="1774" max="1774" width="1.140625" style="479" customWidth="1"/>
    <col min="1775" max="1775" width="11.42578125" style="479" hidden="1" customWidth="1"/>
    <col min="1776" max="1776" width="2" style="479" customWidth="1"/>
    <col min="1777" max="1777" width="2.140625" style="479" customWidth="1"/>
    <col min="1778" max="1778" width="2" style="479" customWidth="1"/>
    <col min="1779" max="1779" width="2.28515625" style="479" customWidth="1"/>
    <col min="1780" max="1780" width="11.42578125" style="479"/>
    <col min="1781" max="1781" width="2" style="479" customWidth="1"/>
    <col min="1782" max="2021" width="11.42578125" style="479"/>
    <col min="2022" max="2022" width="2.42578125" style="479" customWidth="1"/>
    <col min="2023" max="2023" width="2.140625" style="479" customWidth="1"/>
    <col min="2024" max="2024" width="0.85546875" style="479" customWidth="1"/>
    <col min="2025" max="2026" width="2" style="479" customWidth="1"/>
    <col min="2027" max="2027" width="1.28515625" style="479" customWidth="1"/>
    <col min="2028" max="2028" width="2" style="479" customWidth="1"/>
    <col min="2029" max="2029" width="2.140625" style="479" customWidth="1"/>
    <col min="2030" max="2030" width="1.140625" style="479" customWidth="1"/>
    <col min="2031" max="2031" width="11.42578125" style="479" hidden="1" customWidth="1"/>
    <col min="2032" max="2032" width="2" style="479" customWidth="1"/>
    <col min="2033" max="2033" width="2.140625" style="479" customWidth="1"/>
    <col min="2034" max="2034" width="2" style="479" customWidth="1"/>
    <col min="2035" max="2035" width="2.28515625" style="479" customWidth="1"/>
    <col min="2036" max="2036" width="11.42578125" style="479"/>
    <col min="2037" max="2037" width="2" style="479" customWidth="1"/>
    <col min="2038" max="2277" width="11.42578125" style="479"/>
    <col min="2278" max="2278" width="2.42578125" style="479" customWidth="1"/>
    <col min="2279" max="2279" width="2.140625" style="479" customWidth="1"/>
    <col min="2280" max="2280" width="0.85546875" style="479" customWidth="1"/>
    <col min="2281" max="2282" width="2" style="479" customWidth="1"/>
    <col min="2283" max="2283" width="1.28515625" style="479" customWidth="1"/>
    <col min="2284" max="2284" width="2" style="479" customWidth="1"/>
    <col min="2285" max="2285" width="2.140625" style="479" customWidth="1"/>
    <col min="2286" max="2286" width="1.140625" style="479" customWidth="1"/>
    <col min="2287" max="2287" width="11.42578125" style="479" hidden="1" customWidth="1"/>
    <col min="2288" max="2288" width="2" style="479" customWidth="1"/>
    <col min="2289" max="2289" width="2.140625" style="479" customWidth="1"/>
    <col min="2290" max="2290" width="2" style="479" customWidth="1"/>
    <col min="2291" max="2291" width="2.28515625" style="479" customWidth="1"/>
    <col min="2292" max="2292" width="11.42578125" style="479"/>
    <col min="2293" max="2293" width="2" style="479" customWidth="1"/>
    <col min="2294" max="2533" width="11.42578125" style="479"/>
    <col min="2534" max="2534" width="2.42578125" style="479" customWidth="1"/>
    <col min="2535" max="2535" width="2.140625" style="479" customWidth="1"/>
    <col min="2536" max="2536" width="0.85546875" style="479" customWidth="1"/>
    <col min="2537" max="2538" width="2" style="479" customWidth="1"/>
    <col min="2539" max="2539" width="1.28515625" style="479" customWidth="1"/>
    <col min="2540" max="2540" width="2" style="479" customWidth="1"/>
    <col min="2541" max="2541" width="2.140625" style="479" customWidth="1"/>
    <col min="2542" max="2542" width="1.140625" style="479" customWidth="1"/>
    <col min="2543" max="2543" width="11.42578125" style="479" hidden="1" customWidth="1"/>
    <col min="2544" max="2544" width="2" style="479" customWidth="1"/>
    <col min="2545" max="2545" width="2.140625" style="479" customWidth="1"/>
    <col min="2546" max="2546" width="2" style="479" customWidth="1"/>
    <col min="2547" max="2547" width="2.28515625" style="479" customWidth="1"/>
    <col min="2548" max="2548" width="11.42578125" style="479"/>
    <col min="2549" max="2549" width="2" style="479" customWidth="1"/>
    <col min="2550" max="2789" width="11.42578125" style="479"/>
    <col min="2790" max="2790" width="2.42578125" style="479" customWidth="1"/>
    <col min="2791" max="2791" width="2.140625" style="479" customWidth="1"/>
    <col min="2792" max="2792" width="0.85546875" style="479" customWidth="1"/>
    <col min="2793" max="2794" width="2" style="479" customWidth="1"/>
    <col min="2795" max="2795" width="1.28515625" style="479" customWidth="1"/>
    <col min="2796" max="2796" width="2" style="479" customWidth="1"/>
    <col min="2797" max="2797" width="2.140625" style="479" customWidth="1"/>
    <col min="2798" max="2798" width="1.140625" style="479" customWidth="1"/>
    <col min="2799" max="2799" width="11.42578125" style="479" hidden="1" customWidth="1"/>
    <col min="2800" max="2800" width="2" style="479" customWidth="1"/>
    <col min="2801" max="2801" width="2.140625" style="479" customWidth="1"/>
    <col min="2802" max="2802" width="2" style="479" customWidth="1"/>
    <col min="2803" max="2803" width="2.28515625" style="479" customWidth="1"/>
    <col min="2804" max="2804" width="11.42578125" style="479"/>
    <col min="2805" max="2805" width="2" style="479" customWidth="1"/>
    <col min="2806" max="3045" width="11.42578125" style="479"/>
    <col min="3046" max="3046" width="2.42578125" style="479" customWidth="1"/>
    <col min="3047" max="3047" width="2.140625" style="479" customWidth="1"/>
    <col min="3048" max="3048" width="0.85546875" style="479" customWidth="1"/>
    <col min="3049" max="3050" width="2" style="479" customWidth="1"/>
    <col min="3051" max="3051" width="1.28515625" style="479" customWidth="1"/>
    <col min="3052" max="3052" width="2" style="479" customWidth="1"/>
    <col min="3053" max="3053" width="2.140625" style="479" customWidth="1"/>
    <col min="3054" max="3054" width="1.140625" style="479" customWidth="1"/>
    <col min="3055" max="3055" width="11.42578125" style="479" hidden="1" customWidth="1"/>
    <col min="3056" max="3056" width="2" style="479" customWidth="1"/>
    <col min="3057" max="3057" width="2.140625" style="479" customWidth="1"/>
    <col min="3058" max="3058" width="2" style="479" customWidth="1"/>
    <col min="3059" max="3059" width="2.28515625" style="479" customWidth="1"/>
    <col min="3060" max="3060" width="11.42578125" style="479"/>
    <col min="3061" max="3061" width="2" style="479" customWidth="1"/>
    <col min="3062" max="3301" width="11.42578125" style="479"/>
    <col min="3302" max="3302" width="2.42578125" style="479" customWidth="1"/>
    <col min="3303" max="3303" width="2.140625" style="479" customWidth="1"/>
    <col min="3304" max="3304" width="0.85546875" style="479" customWidth="1"/>
    <col min="3305" max="3306" width="2" style="479" customWidth="1"/>
    <col min="3307" max="3307" width="1.28515625" style="479" customWidth="1"/>
    <col min="3308" max="3308" width="2" style="479" customWidth="1"/>
    <col min="3309" max="3309" width="2.140625" style="479" customWidth="1"/>
    <col min="3310" max="3310" width="1.140625" style="479" customWidth="1"/>
    <col min="3311" max="3311" width="11.42578125" style="479" hidden="1" customWidth="1"/>
    <col min="3312" max="3312" width="2" style="479" customWidth="1"/>
    <col min="3313" max="3313" width="2.140625" style="479" customWidth="1"/>
    <col min="3314" max="3314" width="2" style="479" customWidth="1"/>
    <col min="3315" max="3315" width="2.28515625" style="479" customWidth="1"/>
    <col min="3316" max="3316" width="11.42578125" style="479"/>
    <col min="3317" max="3317" width="2" style="479" customWidth="1"/>
    <col min="3318" max="3557" width="11.42578125" style="479"/>
    <col min="3558" max="3558" width="2.42578125" style="479" customWidth="1"/>
    <col min="3559" max="3559" width="2.140625" style="479" customWidth="1"/>
    <col min="3560" max="3560" width="0.85546875" style="479" customWidth="1"/>
    <col min="3561" max="3562" width="2" style="479" customWidth="1"/>
    <col min="3563" max="3563" width="1.28515625" style="479" customWidth="1"/>
    <col min="3564" max="3564" width="2" style="479" customWidth="1"/>
    <col min="3565" max="3565" width="2.140625" style="479" customWidth="1"/>
    <col min="3566" max="3566" width="1.140625" style="479" customWidth="1"/>
    <col min="3567" max="3567" width="11.42578125" style="479" hidden="1" customWidth="1"/>
    <col min="3568" max="3568" width="2" style="479" customWidth="1"/>
    <col min="3569" max="3569" width="2.140625" style="479" customWidth="1"/>
    <col min="3570" max="3570" width="2" style="479" customWidth="1"/>
    <col min="3571" max="3571" width="2.28515625" style="479" customWidth="1"/>
    <col min="3572" max="3572" width="11.42578125" style="479"/>
    <col min="3573" max="3573" width="2" style="479" customWidth="1"/>
    <col min="3574" max="3813" width="11.42578125" style="479"/>
    <col min="3814" max="3814" width="2.42578125" style="479" customWidth="1"/>
    <col min="3815" max="3815" width="2.140625" style="479" customWidth="1"/>
    <col min="3816" max="3816" width="0.85546875" style="479" customWidth="1"/>
    <col min="3817" max="3818" width="2" style="479" customWidth="1"/>
    <col min="3819" max="3819" width="1.28515625" style="479" customWidth="1"/>
    <col min="3820" max="3820" width="2" style="479" customWidth="1"/>
    <col min="3821" max="3821" width="2.140625" style="479" customWidth="1"/>
    <col min="3822" max="3822" width="1.140625" style="479" customWidth="1"/>
    <col min="3823" max="3823" width="11.42578125" style="479" hidden="1" customWidth="1"/>
    <col min="3824" max="3824" width="2" style="479" customWidth="1"/>
    <col min="3825" max="3825" width="2.140625" style="479" customWidth="1"/>
    <col min="3826" max="3826" width="2" style="479" customWidth="1"/>
    <col min="3827" max="3827" width="2.28515625" style="479" customWidth="1"/>
    <col min="3828" max="3828" width="11.42578125" style="479"/>
    <col min="3829" max="3829" width="2" style="479" customWidth="1"/>
    <col min="3830" max="4069" width="11.42578125" style="479"/>
    <col min="4070" max="4070" width="2.42578125" style="479" customWidth="1"/>
    <col min="4071" max="4071" width="2.140625" style="479" customWidth="1"/>
    <col min="4072" max="4072" width="0.85546875" style="479" customWidth="1"/>
    <col min="4073" max="4074" width="2" style="479" customWidth="1"/>
    <col min="4075" max="4075" width="1.28515625" style="479" customWidth="1"/>
    <col min="4076" max="4076" width="2" style="479" customWidth="1"/>
    <col min="4077" max="4077" width="2.140625" style="479" customWidth="1"/>
    <col min="4078" max="4078" width="1.140625" style="479" customWidth="1"/>
    <col min="4079" max="4079" width="11.42578125" style="479" hidden="1" customWidth="1"/>
    <col min="4080" max="4080" width="2" style="479" customWidth="1"/>
    <col min="4081" max="4081" width="2.140625" style="479" customWidth="1"/>
    <col min="4082" max="4082" width="2" style="479" customWidth="1"/>
    <col min="4083" max="4083" width="2.28515625" style="479" customWidth="1"/>
    <col min="4084" max="4084" width="11.42578125" style="479"/>
    <col min="4085" max="4085" width="2" style="479" customWidth="1"/>
    <col min="4086" max="4325" width="11.42578125" style="479"/>
    <col min="4326" max="4326" width="2.42578125" style="479" customWidth="1"/>
    <col min="4327" max="4327" width="2.140625" style="479" customWidth="1"/>
    <col min="4328" max="4328" width="0.85546875" style="479" customWidth="1"/>
    <col min="4329" max="4330" width="2" style="479" customWidth="1"/>
    <col min="4331" max="4331" width="1.28515625" style="479" customWidth="1"/>
    <col min="4332" max="4332" width="2" style="479" customWidth="1"/>
    <col min="4333" max="4333" width="2.140625" style="479" customWidth="1"/>
    <col min="4334" max="4334" width="1.140625" style="479" customWidth="1"/>
    <col min="4335" max="4335" width="11.42578125" style="479" hidden="1" customWidth="1"/>
    <col min="4336" max="4336" width="2" style="479" customWidth="1"/>
    <col min="4337" max="4337" width="2.140625" style="479" customWidth="1"/>
    <col min="4338" max="4338" width="2" style="479" customWidth="1"/>
    <col min="4339" max="4339" width="2.28515625" style="479" customWidth="1"/>
    <col min="4340" max="4340" width="11.42578125" style="479"/>
    <col min="4341" max="4341" width="2" style="479" customWidth="1"/>
    <col min="4342" max="4581" width="11.42578125" style="479"/>
    <col min="4582" max="4582" width="2.42578125" style="479" customWidth="1"/>
    <col min="4583" max="4583" width="2.140625" style="479" customWidth="1"/>
    <col min="4584" max="4584" width="0.85546875" style="479" customWidth="1"/>
    <col min="4585" max="4586" width="2" style="479" customWidth="1"/>
    <col min="4587" max="4587" width="1.28515625" style="479" customWidth="1"/>
    <col min="4588" max="4588" width="2" style="479" customWidth="1"/>
    <col min="4589" max="4589" width="2.140625" style="479" customWidth="1"/>
    <col min="4590" max="4590" width="1.140625" style="479" customWidth="1"/>
    <col min="4591" max="4591" width="11.42578125" style="479" hidden="1" customWidth="1"/>
    <col min="4592" max="4592" width="2" style="479" customWidth="1"/>
    <col min="4593" max="4593" width="2.140625" style="479" customWidth="1"/>
    <col min="4594" max="4594" width="2" style="479" customWidth="1"/>
    <col min="4595" max="4595" width="2.28515625" style="479" customWidth="1"/>
    <col min="4596" max="4596" width="11.42578125" style="479"/>
    <col min="4597" max="4597" width="2" style="479" customWidth="1"/>
    <col min="4598" max="4837" width="11.42578125" style="479"/>
    <col min="4838" max="4838" width="2.42578125" style="479" customWidth="1"/>
    <col min="4839" max="4839" width="2.140625" style="479" customWidth="1"/>
    <col min="4840" max="4840" width="0.85546875" style="479" customWidth="1"/>
    <col min="4841" max="4842" width="2" style="479" customWidth="1"/>
    <col min="4843" max="4843" width="1.28515625" style="479" customWidth="1"/>
    <col min="4844" max="4844" width="2" style="479" customWidth="1"/>
    <col min="4845" max="4845" width="2.140625" style="479" customWidth="1"/>
    <col min="4846" max="4846" width="1.140625" style="479" customWidth="1"/>
    <col min="4847" max="4847" width="11.42578125" style="479" hidden="1" customWidth="1"/>
    <col min="4848" max="4848" width="2" style="479" customWidth="1"/>
    <col min="4849" max="4849" width="2.140625" style="479" customWidth="1"/>
    <col min="4850" max="4850" width="2" style="479" customWidth="1"/>
    <col min="4851" max="4851" width="2.28515625" style="479" customWidth="1"/>
    <col min="4852" max="4852" width="11.42578125" style="479"/>
    <col min="4853" max="4853" width="2" style="479" customWidth="1"/>
    <col min="4854" max="5093" width="11.42578125" style="479"/>
    <col min="5094" max="5094" width="2.42578125" style="479" customWidth="1"/>
    <col min="5095" max="5095" width="2.140625" style="479" customWidth="1"/>
    <col min="5096" max="5096" width="0.85546875" style="479" customWidth="1"/>
    <col min="5097" max="5098" width="2" style="479" customWidth="1"/>
    <col min="5099" max="5099" width="1.28515625" style="479" customWidth="1"/>
    <col min="5100" max="5100" width="2" style="479" customWidth="1"/>
    <col min="5101" max="5101" width="2.140625" style="479" customWidth="1"/>
    <col min="5102" max="5102" width="1.140625" style="479" customWidth="1"/>
    <col min="5103" max="5103" width="11.42578125" style="479" hidden="1" customWidth="1"/>
    <col min="5104" max="5104" width="2" style="479" customWidth="1"/>
    <col min="5105" max="5105" width="2.140625" style="479" customWidth="1"/>
    <col min="5106" max="5106" width="2" style="479" customWidth="1"/>
    <col min="5107" max="5107" width="2.28515625" style="479" customWidth="1"/>
    <col min="5108" max="5108" width="11.42578125" style="479"/>
    <col min="5109" max="5109" width="2" style="479" customWidth="1"/>
    <col min="5110" max="5349" width="11.42578125" style="479"/>
    <col min="5350" max="5350" width="2.42578125" style="479" customWidth="1"/>
    <col min="5351" max="5351" width="2.140625" style="479" customWidth="1"/>
    <col min="5352" max="5352" width="0.85546875" style="479" customWidth="1"/>
    <col min="5353" max="5354" width="2" style="479" customWidth="1"/>
    <col min="5355" max="5355" width="1.28515625" style="479" customWidth="1"/>
    <col min="5356" max="5356" width="2" style="479" customWidth="1"/>
    <col min="5357" max="5357" width="2.140625" style="479" customWidth="1"/>
    <col min="5358" max="5358" width="1.140625" style="479" customWidth="1"/>
    <col min="5359" max="5359" width="11.42578125" style="479" hidden="1" customWidth="1"/>
    <col min="5360" max="5360" width="2" style="479" customWidth="1"/>
    <col min="5361" max="5361" width="2.140625" style="479" customWidth="1"/>
    <col min="5362" max="5362" width="2" style="479" customWidth="1"/>
    <col min="5363" max="5363" width="2.28515625" style="479" customWidth="1"/>
    <col min="5364" max="5364" width="11.42578125" style="479"/>
    <col min="5365" max="5365" width="2" style="479" customWidth="1"/>
    <col min="5366" max="5605" width="11.42578125" style="479"/>
    <col min="5606" max="5606" width="2.42578125" style="479" customWidth="1"/>
    <col min="5607" max="5607" width="2.140625" style="479" customWidth="1"/>
    <col min="5608" max="5608" width="0.85546875" style="479" customWidth="1"/>
    <col min="5609" max="5610" width="2" style="479" customWidth="1"/>
    <col min="5611" max="5611" width="1.28515625" style="479" customWidth="1"/>
    <col min="5612" max="5612" width="2" style="479" customWidth="1"/>
    <col min="5613" max="5613" width="2.140625" style="479" customWidth="1"/>
    <col min="5614" max="5614" width="1.140625" style="479" customWidth="1"/>
    <col min="5615" max="5615" width="11.42578125" style="479" hidden="1" customWidth="1"/>
    <col min="5616" max="5616" width="2" style="479" customWidth="1"/>
    <col min="5617" max="5617" width="2.140625" style="479" customWidth="1"/>
    <col min="5618" max="5618" width="2" style="479" customWidth="1"/>
    <col min="5619" max="5619" width="2.28515625" style="479" customWidth="1"/>
    <col min="5620" max="5620" width="11.42578125" style="479"/>
    <col min="5621" max="5621" width="2" style="479" customWidth="1"/>
    <col min="5622" max="5861" width="11.42578125" style="479"/>
    <col min="5862" max="5862" width="2.42578125" style="479" customWidth="1"/>
    <col min="5863" max="5863" width="2.140625" style="479" customWidth="1"/>
    <col min="5864" max="5864" width="0.85546875" style="479" customWidth="1"/>
    <col min="5865" max="5866" width="2" style="479" customWidth="1"/>
    <col min="5867" max="5867" width="1.28515625" style="479" customWidth="1"/>
    <col min="5868" max="5868" width="2" style="479" customWidth="1"/>
    <col min="5869" max="5869" width="2.140625" style="479" customWidth="1"/>
    <col min="5870" max="5870" width="1.140625" style="479" customWidth="1"/>
    <col min="5871" max="5871" width="11.42578125" style="479" hidden="1" customWidth="1"/>
    <col min="5872" max="5872" width="2" style="479" customWidth="1"/>
    <col min="5873" max="5873" width="2.140625" style="479" customWidth="1"/>
    <col min="5874" max="5874" width="2" style="479" customWidth="1"/>
    <col min="5875" max="5875" width="2.28515625" style="479" customWidth="1"/>
    <col min="5876" max="5876" width="11.42578125" style="479"/>
    <col min="5877" max="5877" width="2" style="479" customWidth="1"/>
    <col min="5878" max="6117" width="11.42578125" style="479"/>
    <col min="6118" max="6118" width="2.42578125" style="479" customWidth="1"/>
    <col min="6119" max="6119" width="2.140625" style="479" customWidth="1"/>
    <col min="6120" max="6120" width="0.85546875" style="479" customWidth="1"/>
    <col min="6121" max="6122" width="2" style="479" customWidth="1"/>
    <col min="6123" max="6123" width="1.28515625" style="479" customWidth="1"/>
    <col min="6124" max="6124" width="2" style="479" customWidth="1"/>
    <col min="6125" max="6125" width="2.140625" style="479" customWidth="1"/>
    <col min="6126" max="6126" width="1.140625" style="479" customWidth="1"/>
    <col min="6127" max="6127" width="11.42578125" style="479" hidden="1" customWidth="1"/>
    <col min="6128" max="6128" width="2" style="479" customWidth="1"/>
    <col min="6129" max="6129" width="2.140625" style="479" customWidth="1"/>
    <col min="6130" max="6130" width="2" style="479" customWidth="1"/>
    <col min="6131" max="6131" width="2.28515625" style="479" customWidth="1"/>
    <col min="6132" max="6132" width="11.42578125" style="479"/>
    <col min="6133" max="6133" width="2" style="479" customWidth="1"/>
    <col min="6134" max="6373" width="11.42578125" style="479"/>
    <col min="6374" max="6374" width="2.42578125" style="479" customWidth="1"/>
    <col min="6375" max="6375" width="2.140625" style="479" customWidth="1"/>
    <col min="6376" max="6376" width="0.85546875" style="479" customWidth="1"/>
    <col min="6377" max="6378" width="2" style="479" customWidth="1"/>
    <col min="6379" max="6379" width="1.28515625" style="479" customWidth="1"/>
    <col min="6380" max="6380" width="2" style="479" customWidth="1"/>
    <col min="6381" max="6381" width="2.140625" style="479" customWidth="1"/>
    <col min="6382" max="6382" width="1.140625" style="479" customWidth="1"/>
    <col min="6383" max="6383" width="11.42578125" style="479" hidden="1" customWidth="1"/>
    <col min="6384" max="6384" width="2" style="479" customWidth="1"/>
    <col min="6385" max="6385" width="2.140625" style="479" customWidth="1"/>
    <col min="6386" max="6386" width="2" style="479" customWidth="1"/>
    <col min="6387" max="6387" width="2.28515625" style="479" customWidth="1"/>
    <col min="6388" max="6388" width="11.42578125" style="479"/>
    <col min="6389" max="6389" width="2" style="479" customWidth="1"/>
    <col min="6390" max="6629" width="11.42578125" style="479"/>
    <col min="6630" max="6630" width="2.42578125" style="479" customWidth="1"/>
    <col min="6631" max="6631" width="2.140625" style="479" customWidth="1"/>
    <col min="6632" max="6632" width="0.85546875" style="479" customWidth="1"/>
    <col min="6633" max="6634" width="2" style="479" customWidth="1"/>
    <col min="6635" max="6635" width="1.28515625" style="479" customWidth="1"/>
    <col min="6636" max="6636" width="2" style="479" customWidth="1"/>
    <col min="6637" max="6637" width="2.140625" style="479" customWidth="1"/>
    <col min="6638" max="6638" width="1.140625" style="479" customWidth="1"/>
    <col min="6639" max="6639" width="11.42578125" style="479" hidden="1" customWidth="1"/>
    <col min="6640" max="6640" width="2" style="479" customWidth="1"/>
    <col min="6641" max="6641" width="2.140625" style="479" customWidth="1"/>
    <col min="6642" max="6642" width="2" style="479" customWidth="1"/>
    <col min="6643" max="6643" width="2.28515625" style="479" customWidth="1"/>
    <col min="6644" max="6644" width="11.42578125" style="479"/>
    <col min="6645" max="6645" width="2" style="479" customWidth="1"/>
    <col min="6646" max="6885" width="11.42578125" style="479"/>
    <col min="6886" max="6886" width="2.42578125" style="479" customWidth="1"/>
    <col min="6887" max="6887" width="2.140625" style="479" customWidth="1"/>
    <col min="6888" max="6888" width="0.85546875" style="479" customWidth="1"/>
    <col min="6889" max="6890" width="2" style="479" customWidth="1"/>
    <col min="6891" max="6891" width="1.28515625" style="479" customWidth="1"/>
    <col min="6892" max="6892" width="2" style="479" customWidth="1"/>
    <col min="6893" max="6893" width="2.140625" style="479" customWidth="1"/>
    <col min="6894" max="6894" width="1.140625" style="479" customWidth="1"/>
    <col min="6895" max="6895" width="11.42578125" style="479" hidden="1" customWidth="1"/>
    <col min="6896" max="6896" width="2" style="479" customWidth="1"/>
    <col min="6897" max="6897" width="2.140625" style="479" customWidth="1"/>
    <col min="6898" max="6898" width="2" style="479" customWidth="1"/>
    <col min="6899" max="6899" width="2.28515625" style="479" customWidth="1"/>
    <col min="6900" max="6900" width="11.42578125" style="479"/>
    <col min="6901" max="6901" width="2" style="479" customWidth="1"/>
    <col min="6902" max="7141" width="11.42578125" style="479"/>
    <col min="7142" max="7142" width="2.42578125" style="479" customWidth="1"/>
    <col min="7143" max="7143" width="2.140625" style="479" customWidth="1"/>
    <col min="7144" max="7144" width="0.85546875" style="479" customWidth="1"/>
    <col min="7145" max="7146" width="2" style="479" customWidth="1"/>
    <col min="7147" max="7147" width="1.28515625" style="479" customWidth="1"/>
    <col min="7148" max="7148" width="2" style="479" customWidth="1"/>
    <col min="7149" max="7149" width="2.140625" style="479" customWidth="1"/>
    <col min="7150" max="7150" width="1.140625" style="479" customWidth="1"/>
    <col min="7151" max="7151" width="11.42578125" style="479" hidden="1" customWidth="1"/>
    <col min="7152" max="7152" width="2" style="479" customWidth="1"/>
    <col min="7153" max="7153" width="2.140625" style="479" customWidth="1"/>
    <col min="7154" max="7154" width="2" style="479" customWidth="1"/>
    <col min="7155" max="7155" width="2.28515625" style="479" customWidth="1"/>
    <col min="7156" max="7156" width="11.42578125" style="479"/>
    <col min="7157" max="7157" width="2" style="479" customWidth="1"/>
    <col min="7158" max="7397" width="11.42578125" style="479"/>
    <col min="7398" max="7398" width="2.42578125" style="479" customWidth="1"/>
    <col min="7399" max="7399" width="2.140625" style="479" customWidth="1"/>
    <col min="7400" max="7400" width="0.85546875" style="479" customWidth="1"/>
    <col min="7401" max="7402" width="2" style="479" customWidth="1"/>
    <col min="7403" max="7403" width="1.28515625" style="479" customWidth="1"/>
    <col min="7404" max="7404" width="2" style="479" customWidth="1"/>
    <col min="7405" max="7405" width="2.140625" style="479" customWidth="1"/>
    <col min="7406" max="7406" width="1.140625" style="479" customWidth="1"/>
    <col min="7407" max="7407" width="11.42578125" style="479" hidden="1" customWidth="1"/>
    <col min="7408" max="7408" width="2" style="479" customWidth="1"/>
    <col min="7409" max="7409" width="2.140625" style="479" customWidth="1"/>
    <col min="7410" max="7410" width="2" style="479" customWidth="1"/>
    <col min="7411" max="7411" width="2.28515625" style="479" customWidth="1"/>
    <col min="7412" max="7412" width="11.42578125" style="479"/>
    <col min="7413" max="7413" width="2" style="479" customWidth="1"/>
    <col min="7414" max="7653" width="11.42578125" style="479"/>
    <col min="7654" max="7654" width="2.42578125" style="479" customWidth="1"/>
    <col min="7655" max="7655" width="2.140625" style="479" customWidth="1"/>
    <col min="7656" max="7656" width="0.85546875" style="479" customWidth="1"/>
    <col min="7657" max="7658" width="2" style="479" customWidth="1"/>
    <col min="7659" max="7659" width="1.28515625" style="479" customWidth="1"/>
    <col min="7660" max="7660" width="2" style="479" customWidth="1"/>
    <col min="7661" max="7661" width="2.140625" style="479" customWidth="1"/>
    <col min="7662" max="7662" width="1.140625" style="479" customWidth="1"/>
    <col min="7663" max="7663" width="11.42578125" style="479" hidden="1" customWidth="1"/>
    <col min="7664" max="7664" width="2" style="479" customWidth="1"/>
    <col min="7665" max="7665" width="2.140625" style="479" customWidth="1"/>
    <col min="7666" max="7666" width="2" style="479" customWidth="1"/>
    <col min="7667" max="7667" width="2.28515625" style="479" customWidth="1"/>
    <col min="7668" max="7668" width="11.42578125" style="479"/>
    <col min="7669" max="7669" width="2" style="479" customWidth="1"/>
    <col min="7670" max="7909" width="11.42578125" style="479"/>
    <col min="7910" max="7910" width="2.42578125" style="479" customWidth="1"/>
    <col min="7911" max="7911" width="2.140625" style="479" customWidth="1"/>
    <col min="7912" max="7912" width="0.85546875" style="479" customWidth="1"/>
    <col min="7913" max="7914" width="2" style="479" customWidth="1"/>
    <col min="7915" max="7915" width="1.28515625" style="479" customWidth="1"/>
    <col min="7916" max="7916" width="2" style="479" customWidth="1"/>
    <col min="7917" max="7917" width="2.140625" style="479" customWidth="1"/>
    <col min="7918" max="7918" width="1.140625" style="479" customWidth="1"/>
    <col min="7919" max="7919" width="11.42578125" style="479" hidden="1" customWidth="1"/>
    <col min="7920" max="7920" width="2" style="479" customWidth="1"/>
    <col min="7921" max="7921" width="2.140625" style="479" customWidth="1"/>
    <col min="7922" max="7922" width="2" style="479" customWidth="1"/>
    <col min="7923" max="7923" width="2.28515625" style="479" customWidth="1"/>
    <col min="7924" max="7924" width="11.42578125" style="479"/>
    <col min="7925" max="7925" width="2" style="479" customWidth="1"/>
    <col min="7926" max="8165" width="11.42578125" style="479"/>
    <col min="8166" max="8166" width="2.42578125" style="479" customWidth="1"/>
    <col min="8167" max="8167" width="2.140625" style="479" customWidth="1"/>
    <col min="8168" max="8168" width="0.85546875" style="479" customWidth="1"/>
    <col min="8169" max="8170" width="2" style="479" customWidth="1"/>
    <col min="8171" max="8171" width="1.28515625" style="479" customWidth="1"/>
    <col min="8172" max="8172" width="2" style="479" customWidth="1"/>
    <col min="8173" max="8173" width="2.140625" style="479" customWidth="1"/>
    <col min="8174" max="8174" width="1.140625" style="479" customWidth="1"/>
    <col min="8175" max="8175" width="11.42578125" style="479" hidden="1" customWidth="1"/>
    <col min="8176" max="8176" width="2" style="479" customWidth="1"/>
    <col min="8177" max="8177" width="2.140625" style="479" customWidth="1"/>
    <col min="8178" max="8178" width="2" style="479" customWidth="1"/>
    <col min="8179" max="8179" width="2.28515625" style="479" customWidth="1"/>
    <col min="8180" max="8180" width="11.42578125" style="479"/>
    <col min="8181" max="8181" width="2" style="479" customWidth="1"/>
    <col min="8182" max="8421" width="11.42578125" style="479"/>
    <col min="8422" max="8422" width="2.42578125" style="479" customWidth="1"/>
    <col min="8423" max="8423" width="2.140625" style="479" customWidth="1"/>
    <col min="8424" max="8424" width="0.85546875" style="479" customWidth="1"/>
    <col min="8425" max="8426" width="2" style="479" customWidth="1"/>
    <col min="8427" max="8427" width="1.28515625" style="479" customWidth="1"/>
    <col min="8428" max="8428" width="2" style="479" customWidth="1"/>
    <col min="8429" max="8429" width="2.140625" style="479" customWidth="1"/>
    <col min="8430" max="8430" width="1.140625" style="479" customWidth="1"/>
    <col min="8431" max="8431" width="11.42578125" style="479" hidden="1" customWidth="1"/>
    <col min="8432" max="8432" width="2" style="479" customWidth="1"/>
    <col min="8433" max="8433" width="2.140625" style="479" customWidth="1"/>
    <col min="8434" max="8434" width="2" style="479" customWidth="1"/>
    <col min="8435" max="8435" width="2.28515625" style="479" customWidth="1"/>
    <col min="8436" max="8436" width="11.42578125" style="479"/>
    <col min="8437" max="8437" width="2" style="479" customWidth="1"/>
    <col min="8438" max="8677" width="11.42578125" style="479"/>
    <col min="8678" max="8678" width="2.42578125" style="479" customWidth="1"/>
    <col min="8679" max="8679" width="2.140625" style="479" customWidth="1"/>
    <col min="8680" max="8680" width="0.85546875" style="479" customWidth="1"/>
    <col min="8681" max="8682" width="2" style="479" customWidth="1"/>
    <col min="8683" max="8683" width="1.28515625" style="479" customWidth="1"/>
    <col min="8684" max="8684" width="2" style="479" customWidth="1"/>
    <col min="8685" max="8685" width="2.140625" style="479" customWidth="1"/>
    <col min="8686" max="8686" width="1.140625" style="479" customWidth="1"/>
    <col min="8687" max="8687" width="11.42578125" style="479" hidden="1" customWidth="1"/>
    <col min="8688" max="8688" width="2" style="479" customWidth="1"/>
    <col min="8689" max="8689" width="2.140625" style="479" customWidth="1"/>
    <col min="8690" max="8690" width="2" style="479" customWidth="1"/>
    <col min="8691" max="8691" width="2.28515625" style="479" customWidth="1"/>
    <col min="8692" max="8692" width="11.42578125" style="479"/>
    <col min="8693" max="8693" width="2" style="479" customWidth="1"/>
    <col min="8694" max="8933" width="11.42578125" style="479"/>
    <col min="8934" max="8934" width="2.42578125" style="479" customWidth="1"/>
    <col min="8935" max="8935" width="2.140625" style="479" customWidth="1"/>
    <col min="8936" max="8936" width="0.85546875" style="479" customWidth="1"/>
    <col min="8937" max="8938" width="2" style="479" customWidth="1"/>
    <col min="8939" max="8939" width="1.28515625" style="479" customWidth="1"/>
    <col min="8940" max="8940" width="2" style="479" customWidth="1"/>
    <col min="8941" max="8941" width="2.140625" style="479" customWidth="1"/>
    <col min="8942" max="8942" width="1.140625" style="479" customWidth="1"/>
    <col min="8943" max="8943" width="11.42578125" style="479" hidden="1" customWidth="1"/>
    <col min="8944" max="8944" width="2" style="479" customWidth="1"/>
    <col min="8945" max="8945" width="2.140625" style="479" customWidth="1"/>
    <col min="8946" max="8946" width="2" style="479" customWidth="1"/>
    <col min="8947" max="8947" width="2.28515625" style="479" customWidth="1"/>
    <col min="8948" max="8948" width="11.42578125" style="479"/>
    <col min="8949" max="8949" width="2" style="479" customWidth="1"/>
    <col min="8950" max="9189" width="11.42578125" style="479"/>
    <col min="9190" max="9190" width="2.42578125" style="479" customWidth="1"/>
    <col min="9191" max="9191" width="2.140625" style="479" customWidth="1"/>
    <col min="9192" max="9192" width="0.85546875" style="479" customWidth="1"/>
    <col min="9193" max="9194" width="2" style="479" customWidth="1"/>
    <col min="9195" max="9195" width="1.28515625" style="479" customWidth="1"/>
    <col min="9196" max="9196" width="2" style="479" customWidth="1"/>
    <col min="9197" max="9197" width="2.140625" style="479" customWidth="1"/>
    <col min="9198" max="9198" width="1.140625" style="479" customWidth="1"/>
    <col min="9199" max="9199" width="11.42578125" style="479" hidden="1" customWidth="1"/>
    <col min="9200" max="9200" width="2" style="479" customWidth="1"/>
    <col min="9201" max="9201" width="2.140625" style="479" customWidth="1"/>
    <col min="9202" max="9202" width="2" style="479" customWidth="1"/>
    <col min="9203" max="9203" width="2.28515625" style="479" customWidth="1"/>
    <col min="9204" max="9204" width="11.42578125" style="479"/>
    <col min="9205" max="9205" width="2" style="479" customWidth="1"/>
    <col min="9206" max="9445" width="11.42578125" style="479"/>
    <col min="9446" max="9446" width="2.42578125" style="479" customWidth="1"/>
    <col min="9447" max="9447" width="2.140625" style="479" customWidth="1"/>
    <col min="9448" max="9448" width="0.85546875" style="479" customWidth="1"/>
    <col min="9449" max="9450" width="2" style="479" customWidth="1"/>
    <col min="9451" max="9451" width="1.28515625" style="479" customWidth="1"/>
    <col min="9452" max="9452" width="2" style="479" customWidth="1"/>
    <col min="9453" max="9453" width="2.140625" style="479" customWidth="1"/>
    <col min="9454" max="9454" width="1.140625" style="479" customWidth="1"/>
    <col min="9455" max="9455" width="11.42578125" style="479" hidden="1" customWidth="1"/>
    <col min="9456" max="9456" width="2" style="479" customWidth="1"/>
    <col min="9457" max="9457" width="2.140625" style="479" customWidth="1"/>
    <col min="9458" max="9458" width="2" style="479" customWidth="1"/>
    <col min="9459" max="9459" width="2.28515625" style="479" customWidth="1"/>
    <col min="9460" max="9460" width="11.42578125" style="479"/>
    <col min="9461" max="9461" width="2" style="479" customWidth="1"/>
    <col min="9462" max="9701" width="11.42578125" style="479"/>
    <col min="9702" max="9702" width="2.42578125" style="479" customWidth="1"/>
    <col min="9703" max="9703" width="2.140625" style="479" customWidth="1"/>
    <col min="9704" max="9704" width="0.85546875" style="479" customWidth="1"/>
    <col min="9705" max="9706" width="2" style="479" customWidth="1"/>
    <col min="9707" max="9707" width="1.28515625" style="479" customWidth="1"/>
    <col min="9708" max="9708" width="2" style="479" customWidth="1"/>
    <col min="9709" max="9709" width="2.140625" style="479" customWidth="1"/>
    <col min="9710" max="9710" width="1.140625" style="479" customWidth="1"/>
    <col min="9711" max="9711" width="11.42578125" style="479" hidden="1" customWidth="1"/>
    <col min="9712" max="9712" width="2" style="479" customWidth="1"/>
    <col min="9713" max="9713" width="2.140625" style="479" customWidth="1"/>
    <col min="9714" max="9714" width="2" style="479" customWidth="1"/>
    <col min="9715" max="9715" width="2.28515625" style="479" customWidth="1"/>
    <col min="9716" max="9716" width="11.42578125" style="479"/>
    <col min="9717" max="9717" width="2" style="479" customWidth="1"/>
    <col min="9718" max="9957" width="11.42578125" style="479"/>
    <col min="9958" max="9958" width="2.42578125" style="479" customWidth="1"/>
    <col min="9959" max="9959" width="2.140625" style="479" customWidth="1"/>
    <col min="9960" max="9960" width="0.85546875" style="479" customWidth="1"/>
    <col min="9961" max="9962" width="2" style="479" customWidth="1"/>
    <col min="9963" max="9963" width="1.28515625" style="479" customWidth="1"/>
    <col min="9964" max="9964" width="2" style="479" customWidth="1"/>
    <col min="9965" max="9965" width="2.140625" style="479" customWidth="1"/>
    <col min="9966" max="9966" width="1.140625" style="479" customWidth="1"/>
    <col min="9967" max="9967" width="11.42578125" style="479" hidden="1" customWidth="1"/>
    <col min="9968" max="9968" width="2" style="479" customWidth="1"/>
    <col min="9969" max="9969" width="2.140625" style="479" customWidth="1"/>
    <col min="9970" max="9970" width="2" style="479" customWidth="1"/>
    <col min="9971" max="9971" width="2.28515625" style="479" customWidth="1"/>
    <col min="9972" max="9972" width="11.42578125" style="479"/>
    <col min="9973" max="9973" width="2" style="479" customWidth="1"/>
    <col min="9974" max="10213" width="11.42578125" style="479"/>
    <col min="10214" max="10214" width="2.42578125" style="479" customWidth="1"/>
    <col min="10215" max="10215" width="2.140625" style="479" customWidth="1"/>
    <col min="10216" max="10216" width="0.85546875" style="479" customWidth="1"/>
    <col min="10217" max="10218" width="2" style="479" customWidth="1"/>
    <col min="10219" max="10219" width="1.28515625" style="479" customWidth="1"/>
    <col min="10220" max="10220" width="2" style="479" customWidth="1"/>
    <col min="10221" max="10221" width="2.140625" style="479" customWidth="1"/>
    <col min="10222" max="10222" width="1.140625" style="479" customWidth="1"/>
    <col min="10223" max="10223" width="11.42578125" style="479" hidden="1" customWidth="1"/>
    <col min="10224" max="10224" width="2" style="479" customWidth="1"/>
    <col min="10225" max="10225" width="2.140625" style="479" customWidth="1"/>
    <col min="10226" max="10226" width="2" style="479" customWidth="1"/>
    <col min="10227" max="10227" width="2.28515625" style="479" customWidth="1"/>
    <col min="10228" max="10228" width="11.42578125" style="479"/>
    <col min="10229" max="10229" width="2" style="479" customWidth="1"/>
    <col min="10230" max="10469" width="11.42578125" style="479"/>
    <col min="10470" max="10470" width="2.42578125" style="479" customWidth="1"/>
    <col min="10471" max="10471" width="2.140625" style="479" customWidth="1"/>
    <col min="10472" max="10472" width="0.85546875" style="479" customWidth="1"/>
    <col min="10473" max="10474" width="2" style="479" customWidth="1"/>
    <col min="10475" max="10475" width="1.28515625" style="479" customWidth="1"/>
    <col min="10476" max="10476" width="2" style="479" customWidth="1"/>
    <col min="10477" max="10477" width="2.140625" style="479" customWidth="1"/>
    <col min="10478" max="10478" width="1.140625" style="479" customWidth="1"/>
    <col min="10479" max="10479" width="11.42578125" style="479" hidden="1" customWidth="1"/>
    <col min="10480" max="10480" width="2" style="479" customWidth="1"/>
    <col min="10481" max="10481" width="2.140625" style="479" customWidth="1"/>
    <col min="10482" max="10482" width="2" style="479" customWidth="1"/>
    <col min="10483" max="10483" width="2.28515625" style="479" customWidth="1"/>
    <col min="10484" max="10484" width="11.42578125" style="479"/>
    <col min="10485" max="10485" width="2" style="479" customWidth="1"/>
    <col min="10486" max="10725" width="11.42578125" style="479"/>
    <col min="10726" max="10726" width="2.42578125" style="479" customWidth="1"/>
    <col min="10727" max="10727" width="2.140625" style="479" customWidth="1"/>
    <col min="10728" max="10728" width="0.85546875" style="479" customWidth="1"/>
    <col min="10729" max="10730" width="2" style="479" customWidth="1"/>
    <col min="10731" max="10731" width="1.28515625" style="479" customWidth="1"/>
    <col min="10732" max="10732" width="2" style="479" customWidth="1"/>
    <col min="10733" max="10733" width="2.140625" style="479" customWidth="1"/>
    <col min="10734" max="10734" width="1.140625" style="479" customWidth="1"/>
    <col min="10735" max="10735" width="11.42578125" style="479" hidden="1" customWidth="1"/>
    <col min="10736" max="10736" width="2" style="479" customWidth="1"/>
    <col min="10737" max="10737" width="2.140625" style="479" customWidth="1"/>
    <col min="10738" max="10738" width="2" style="479" customWidth="1"/>
    <col min="10739" max="10739" width="2.28515625" style="479" customWidth="1"/>
    <col min="10740" max="10740" width="11.42578125" style="479"/>
    <col min="10741" max="10741" width="2" style="479" customWidth="1"/>
    <col min="10742" max="10981" width="11.42578125" style="479"/>
    <col min="10982" max="10982" width="2.42578125" style="479" customWidth="1"/>
    <col min="10983" max="10983" width="2.140625" style="479" customWidth="1"/>
    <col min="10984" max="10984" width="0.85546875" style="479" customWidth="1"/>
    <col min="10985" max="10986" width="2" style="479" customWidth="1"/>
    <col min="10987" max="10987" width="1.28515625" style="479" customWidth="1"/>
    <col min="10988" max="10988" width="2" style="479" customWidth="1"/>
    <col min="10989" max="10989" width="2.140625" style="479" customWidth="1"/>
    <col min="10990" max="10990" width="1.140625" style="479" customWidth="1"/>
    <col min="10991" max="10991" width="11.42578125" style="479" hidden="1" customWidth="1"/>
    <col min="10992" max="10992" width="2" style="479" customWidth="1"/>
    <col min="10993" max="10993" width="2.140625" style="479" customWidth="1"/>
    <col min="10994" max="10994" width="2" style="479" customWidth="1"/>
    <col min="10995" max="10995" width="2.28515625" style="479" customWidth="1"/>
    <col min="10996" max="10996" width="11.42578125" style="479"/>
    <col min="10997" max="10997" width="2" style="479" customWidth="1"/>
    <col min="10998" max="11237" width="11.42578125" style="479"/>
    <col min="11238" max="11238" width="2.42578125" style="479" customWidth="1"/>
    <col min="11239" max="11239" width="2.140625" style="479" customWidth="1"/>
    <col min="11240" max="11240" width="0.85546875" style="479" customWidth="1"/>
    <col min="11241" max="11242" width="2" style="479" customWidth="1"/>
    <col min="11243" max="11243" width="1.28515625" style="479" customWidth="1"/>
    <col min="11244" max="11244" width="2" style="479" customWidth="1"/>
    <col min="11245" max="11245" width="2.140625" style="479" customWidth="1"/>
    <col min="11246" max="11246" width="1.140625" style="479" customWidth="1"/>
    <col min="11247" max="11247" width="11.42578125" style="479" hidden="1" customWidth="1"/>
    <col min="11248" max="11248" width="2" style="479" customWidth="1"/>
    <col min="11249" max="11249" width="2.140625" style="479" customWidth="1"/>
    <col min="11250" max="11250" width="2" style="479" customWidth="1"/>
    <col min="11251" max="11251" width="2.28515625" style="479" customWidth="1"/>
    <col min="11252" max="11252" width="11.42578125" style="479"/>
    <col min="11253" max="11253" width="2" style="479" customWidth="1"/>
    <col min="11254" max="11493" width="11.42578125" style="479"/>
    <col min="11494" max="11494" width="2.42578125" style="479" customWidth="1"/>
    <col min="11495" max="11495" width="2.140625" style="479" customWidth="1"/>
    <col min="11496" max="11496" width="0.85546875" style="479" customWidth="1"/>
    <col min="11497" max="11498" width="2" style="479" customWidth="1"/>
    <col min="11499" max="11499" width="1.28515625" style="479" customWidth="1"/>
    <col min="11500" max="11500" width="2" style="479" customWidth="1"/>
    <col min="11501" max="11501" width="2.140625" style="479" customWidth="1"/>
    <col min="11502" max="11502" width="1.140625" style="479" customWidth="1"/>
    <col min="11503" max="11503" width="11.42578125" style="479" hidden="1" customWidth="1"/>
    <col min="11504" max="11504" width="2" style="479" customWidth="1"/>
    <col min="11505" max="11505" width="2.140625" style="479" customWidth="1"/>
    <col min="11506" max="11506" width="2" style="479" customWidth="1"/>
    <col min="11507" max="11507" width="2.28515625" style="479" customWidth="1"/>
    <col min="11508" max="11508" width="11.42578125" style="479"/>
    <col min="11509" max="11509" width="2" style="479" customWidth="1"/>
    <col min="11510" max="11749" width="11.42578125" style="479"/>
    <col min="11750" max="11750" width="2.42578125" style="479" customWidth="1"/>
    <col min="11751" max="11751" width="2.140625" style="479" customWidth="1"/>
    <col min="11752" max="11752" width="0.85546875" style="479" customWidth="1"/>
    <col min="11753" max="11754" width="2" style="479" customWidth="1"/>
    <col min="11755" max="11755" width="1.28515625" style="479" customWidth="1"/>
    <col min="11756" max="11756" width="2" style="479" customWidth="1"/>
    <col min="11757" max="11757" width="2.140625" style="479" customWidth="1"/>
    <col min="11758" max="11758" width="1.140625" style="479" customWidth="1"/>
    <col min="11759" max="11759" width="11.42578125" style="479" hidden="1" customWidth="1"/>
    <col min="11760" max="11760" width="2" style="479" customWidth="1"/>
    <col min="11761" max="11761" width="2.140625" style="479" customWidth="1"/>
    <col min="11762" max="11762" width="2" style="479" customWidth="1"/>
    <col min="11763" max="11763" width="2.28515625" style="479" customWidth="1"/>
    <col min="11764" max="11764" width="11.42578125" style="479"/>
    <col min="11765" max="11765" width="2" style="479" customWidth="1"/>
    <col min="11766" max="12005" width="11.42578125" style="479"/>
    <col min="12006" max="12006" width="2.42578125" style="479" customWidth="1"/>
    <col min="12007" max="12007" width="2.140625" style="479" customWidth="1"/>
    <col min="12008" max="12008" width="0.85546875" style="479" customWidth="1"/>
    <col min="12009" max="12010" width="2" style="479" customWidth="1"/>
    <col min="12011" max="12011" width="1.28515625" style="479" customWidth="1"/>
    <col min="12012" max="12012" width="2" style="479" customWidth="1"/>
    <col min="12013" max="12013" width="2.140625" style="479" customWidth="1"/>
    <col min="12014" max="12014" width="1.140625" style="479" customWidth="1"/>
    <col min="12015" max="12015" width="11.42578125" style="479" hidden="1" customWidth="1"/>
    <col min="12016" max="12016" width="2" style="479" customWidth="1"/>
    <col min="12017" max="12017" width="2.140625" style="479" customWidth="1"/>
    <col min="12018" max="12018" width="2" style="479" customWidth="1"/>
    <col min="12019" max="12019" width="2.28515625" style="479" customWidth="1"/>
    <col min="12020" max="12020" width="11.42578125" style="479"/>
    <col min="12021" max="12021" width="2" style="479" customWidth="1"/>
    <col min="12022" max="12261" width="11.42578125" style="479"/>
    <col min="12262" max="12262" width="2.42578125" style="479" customWidth="1"/>
    <col min="12263" max="12263" width="2.140625" style="479" customWidth="1"/>
    <col min="12264" max="12264" width="0.85546875" style="479" customWidth="1"/>
    <col min="12265" max="12266" width="2" style="479" customWidth="1"/>
    <col min="12267" max="12267" width="1.28515625" style="479" customWidth="1"/>
    <col min="12268" max="12268" width="2" style="479" customWidth="1"/>
    <col min="12269" max="12269" width="2.140625" style="479" customWidth="1"/>
    <col min="12270" max="12270" width="1.140625" style="479" customWidth="1"/>
    <col min="12271" max="12271" width="11.42578125" style="479" hidden="1" customWidth="1"/>
    <col min="12272" max="12272" width="2" style="479" customWidth="1"/>
    <col min="12273" max="12273" width="2.140625" style="479" customWidth="1"/>
    <col min="12274" max="12274" width="2" style="479" customWidth="1"/>
    <col min="12275" max="12275" width="2.28515625" style="479" customWidth="1"/>
    <col min="12276" max="12276" width="11.42578125" style="479"/>
    <col min="12277" max="12277" width="2" style="479" customWidth="1"/>
    <col min="12278" max="12517" width="11.42578125" style="479"/>
    <col min="12518" max="12518" width="2.42578125" style="479" customWidth="1"/>
    <col min="12519" max="12519" width="2.140625" style="479" customWidth="1"/>
    <col min="12520" max="12520" width="0.85546875" style="479" customWidth="1"/>
    <col min="12521" max="12522" width="2" style="479" customWidth="1"/>
    <col min="12523" max="12523" width="1.28515625" style="479" customWidth="1"/>
    <col min="12524" max="12524" width="2" style="479" customWidth="1"/>
    <col min="12525" max="12525" width="2.140625" style="479" customWidth="1"/>
    <col min="12526" max="12526" width="1.140625" style="479" customWidth="1"/>
    <col min="12527" max="12527" width="11.42578125" style="479" hidden="1" customWidth="1"/>
    <col min="12528" max="12528" width="2" style="479" customWidth="1"/>
    <col min="12529" max="12529" width="2.140625" style="479" customWidth="1"/>
    <col min="12530" max="12530" width="2" style="479" customWidth="1"/>
    <col min="12531" max="12531" width="2.28515625" style="479" customWidth="1"/>
    <col min="12532" max="12532" width="11.42578125" style="479"/>
    <col min="12533" max="12533" width="2" style="479" customWidth="1"/>
    <col min="12534" max="12773" width="11.42578125" style="479"/>
    <col min="12774" max="12774" width="2.42578125" style="479" customWidth="1"/>
    <col min="12775" max="12775" width="2.140625" style="479" customWidth="1"/>
    <col min="12776" max="12776" width="0.85546875" style="479" customWidth="1"/>
    <col min="12777" max="12778" width="2" style="479" customWidth="1"/>
    <col min="12779" max="12779" width="1.28515625" style="479" customWidth="1"/>
    <col min="12780" max="12780" width="2" style="479" customWidth="1"/>
    <col min="12781" max="12781" width="2.140625" style="479" customWidth="1"/>
    <col min="12782" max="12782" width="1.140625" style="479" customWidth="1"/>
    <col min="12783" max="12783" width="11.42578125" style="479" hidden="1" customWidth="1"/>
    <col min="12784" max="12784" width="2" style="479" customWidth="1"/>
    <col min="12785" max="12785" width="2.140625" style="479" customWidth="1"/>
    <col min="12786" max="12786" width="2" style="479" customWidth="1"/>
    <col min="12787" max="12787" width="2.28515625" style="479" customWidth="1"/>
    <col min="12788" max="12788" width="11.42578125" style="479"/>
    <col min="12789" max="12789" width="2" style="479" customWidth="1"/>
    <col min="12790" max="13029" width="11.42578125" style="479"/>
    <col min="13030" max="13030" width="2.42578125" style="479" customWidth="1"/>
    <col min="13031" max="13031" width="2.140625" style="479" customWidth="1"/>
    <col min="13032" max="13032" width="0.85546875" style="479" customWidth="1"/>
    <col min="13033" max="13034" width="2" style="479" customWidth="1"/>
    <col min="13035" max="13035" width="1.28515625" style="479" customWidth="1"/>
    <col min="13036" max="13036" width="2" style="479" customWidth="1"/>
    <col min="13037" max="13037" width="2.140625" style="479" customWidth="1"/>
    <col min="13038" max="13038" width="1.140625" style="479" customWidth="1"/>
    <col min="13039" max="13039" width="11.42578125" style="479" hidden="1" customWidth="1"/>
    <col min="13040" max="13040" width="2" style="479" customWidth="1"/>
    <col min="13041" max="13041" width="2.140625" style="479" customWidth="1"/>
    <col min="13042" max="13042" width="2" style="479" customWidth="1"/>
    <col min="13043" max="13043" width="2.28515625" style="479" customWidth="1"/>
    <col min="13044" max="13044" width="11.42578125" style="479"/>
    <col min="13045" max="13045" width="2" style="479" customWidth="1"/>
    <col min="13046" max="13285" width="11.42578125" style="479"/>
    <col min="13286" max="13286" width="2.42578125" style="479" customWidth="1"/>
    <col min="13287" max="13287" width="2.140625" style="479" customWidth="1"/>
    <col min="13288" max="13288" width="0.85546875" style="479" customWidth="1"/>
    <col min="13289" max="13290" width="2" style="479" customWidth="1"/>
    <col min="13291" max="13291" width="1.28515625" style="479" customWidth="1"/>
    <col min="13292" max="13292" width="2" style="479" customWidth="1"/>
    <col min="13293" max="13293" width="2.140625" style="479" customWidth="1"/>
    <col min="13294" max="13294" width="1.140625" style="479" customWidth="1"/>
    <col min="13295" max="13295" width="11.42578125" style="479" hidden="1" customWidth="1"/>
    <col min="13296" max="13296" width="2" style="479" customWidth="1"/>
    <col min="13297" max="13297" width="2.140625" style="479" customWidth="1"/>
    <col min="13298" max="13298" width="2" style="479" customWidth="1"/>
    <col min="13299" max="13299" width="2.28515625" style="479" customWidth="1"/>
    <col min="13300" max="13300" width="11.42578125" style="479"/>
    <col min="13301" max="13301" width="2" style="479" customWidth="1"/>
    <col min="13302" max="13541" width="11.42578125" style="479"/>
    <col min="13542" max="13542" width="2.42578125" style="479" customWidth="1"/>
    <col min="13543" max="13543" width="2.140625" style="479" customWidth="1"/>
    <col min="13544" max="13544" width="0.85546875" style="479" customWidth="1"/>
    <col min="13545" max="13546" width="2" style="479" customWidth="1"/>
    <col min="13547" max="13547" width="1.28515625" style="479" customWidth="1"/>
    <col min="13548" max="13548" width="2" style="479" customWidth="1"/>
    <col min="13549" max="13549" width="2.140625" style="479" customWidth="1"/>
    <col min="13550" max="13550" width="1.140625" style="479" customWidth="1"/>
    <col min="13551" max="13551" width="11.42578125" style="479" hidden="1" customWidth="1"/>
    <col min="13552" max="13552" width="2" style="479" customWidth="1"/>
    <col min="13553" max="13553" width="2.140625" style="479" customWidth="1"/>
    <col min="13554" max="13554" width="2" style="479" customWidth="1"/>
    <col min="13555" max="13555" width="2.28515625" style="479" customWidth="1"/>
    <col min="13556" max="13556" width="11.42578125" style="479"/>
    <col min="13557" max="13557" width="2" style="479" customWidth="1"/>
    <col min="13558" max="13797" width="11.42578125" style="479"/>
    <col min="13798" max="13798" width="2.42578125" style="479" customWidth="1"/>
    <col min="13799" max="13799" width="2.140625" style="479" customWidth="1"/>
    <col min="13800" max="13800" width="0.85546875" style="479" customWidth="1"/>
    <col min="13801" max="13802" width="2" style="479" customWidth="1"/>
    <col min="13803" max="13803" width="1.28515625" style="479" customWidth="1"/>
    <col min="13804" max="13804" width="2" style="479" customWidth="1"/>
    <col min="13805" max="13805" width="2.140625" style="479" customWidth="1"/>
    <col min="13806" max="13806" width="1.140625" style="479" customWidth="1"/>
    <col min="13807" max="13807" width="11.42578125" style="479" hidden="1" customWidth="1"/>
    <col min="13808" max="13808" width="2" style="479" customWidth="1"/>
    <col min="13809" max="13809" width="2.140625" style="479" customWidth="1"/>
    <col min="13810" max="13810" width="2" style="479" customWidth="1"/>
    <col min="13811" max="13811" width="2.28515625" style="479" customWidth="1"/>
    <col min="13812" max="13812" width="11.42578125" style="479"/>
    <col min="13813" max="13813" width="2" style="479" customWidth="1"/>
    <col min="13814" max="14053" width="11.42578125" style="479"/>
    <col min="14054" max="14054" width="2.42578125" style="479" customWidth="1"/>
    <col min="14055" max="14055" width="2.140625" style="479" customWidth="1"/>
    <col min="14056" max="14056" width="0.85546875" style="479" customWidth="1"/>
    <col min="14057" max="14058" width="2" style="479" customWidth="1"/>
    <col min="14059" max="14059" width="1.28515625" style="479" customWidth="1"/>
    <col min="14060" max="14060" width="2" style="479" customWidth="1"/>
    <col min="14061" max="14061" width="2.140625" style="479" customWidth="1"/>
    <col min="14062" max="14062" width="1.140625" style="479" customWidth="1"/>
    <col min="14063" max="14063" width="11.42578125" style="479" hidden="1" customWidth="1"/>
    <col min="14064" max="14064" width="2" style="479" customWidth="1"/>
    <col min="14065" max="14065" width="2.140625" style="479" customWidth="1"/>
    <col min="14066" max="14066" width="2" style="479" customWidth="1"/>
    <col min="14067" max="14067" width="2.28515625" style="479" customWidth="1"/>
    <col min="14068" max="14068" width="11.42578125" style="479"/>
    <col min="14069" max="14069" width="2" style="479" customWidth="1"/>
    <col min="14070" max="14309" width="11.42578125" style="479"/>
    <col min="14310" max="14310" width="2.42578125" style="479" customWidth="1"/>
    <col min="14311" max="14311" width="2.140625" style="479" customWidth="1"/>
    <col min="14312" max="14312" width="0.85546875" style="479" customWidth="1"/>
    <col min="14313" max="14314" width="2" style="479" customWidth="1"/>
    <col min="14315" max="14315" width="1.28515625" style="479" customWidth="1"/>
    <col min="14316" max="14316" width="2" style="479" customWidth="1"/>
    <col min="14317" max="14317" width="2.140625" style="479" customWidth="1"/>
    <col min="14318" max="14318" width="1.140625" style="479" customWidth="1"/>
    <col min="14319" max="14319" width="11.42578125" style="479" hidden="1" customWidth="1"/>
    <col min="14320" max="14320" width="2" style="479" customWidth="1"/>
    <col min="14321" max="14321" width="2.140625" style="479" customWidth="1"/>
    <col min="14322" max="14322" width="2" style="479" customWidth="1"/>
    <col min="14323" max="14323" width="2.28515625" style="479" customWidth="1"/>
    <col min="14324" max="14324" width="11.42578125" style="479"/>
    <col min="14325" max="14325" width="2" style="479" customWidth="1"/>
    <col min="14326" max="14565" width="11.42578125" style="479"/>
    <col min="14566" max="14566" width="2.42578125" style="479" customWidth="1"/>
    <col min="14567" max="14567" width="2.140625" style="479" customWidth="1"/>
    <col min="14568" max="14568" width="0.85546875" style="479" customWidth="1"/>
    <col min="14569" max="14570" width="2" style="479" customWidth="1"/>
    <col min="14571" max="14571" width="1.28515625" style="479" customWidth="1"/>
    <col min="14572" max="14572" width="2" style="479" customWidth="1"/>
    <col min="14573" max="14573" width="2.140625" style="479" customWidth="1"/>
    <col min="14574" max="14574" width="1.140625" style="479" customWidth="1"/>
    <col min="14575" max="14575" width="11.42578125" style="479" hidden="1" customWidth="1"/>
    <col min="14576" max="14576" width="2" style="479" customWidth="1"/>
    <col min="14577" max="14577" width="2.140625" style="479" customWidth="1"/>
    <col min="14578" max="14578" width="2" style="479" customWidth="1"/>
    <col min="14579" max="14579" width="2.28515625" style="479" customWidth="1"/>
    <col min="14580" max="14580" width="11.42578125" style="479"/>
    <col min="14581" max="14581" width="2" style="479" customWidth="1"/>
    <col min="14582" max="14821" width="11.42578125" style="479"/>
    <col min="14822" max="14822" width="2.42578125" style="479" customWidth="1"/>
    <col min="14823" max="14823" width="2.140625" style="479" customWidth="1"/>
    <col min="14824" max="14824" width="0.85546875" style="479" customWidth="1"/>
    <col min="14825" max="14826" width="2" style="479" customWidth="1"/>
    <col min="14827" max="14827" width="1.28515625" style="479" customWidth="1"/>
    <col min="14828" max="14828" width="2" style="479" customWidth="1"/>
    <col min="14829" max="14829" width="2.140625" style="479" customWidth="1"/>
    <col min="14830" max="14830" width="1.140625" style="479" customWidth="1"/>
    <col min="14831" max="14831" width="11.42578125" style="479" hidden="1" customWidth="1"/>
    <col min="14832" max="14832" width="2" style="479" customWidth="1"/>
    <col min="14833" max="14833" width="2.140625" style="479" customWidth="1"/>
    <col min="14834" max="14834" width="2" style="479" customWidth="1"/>
    <col min="14835" max="14835" width="2.28515625" style="479" customWidth="1"/>
    <col min="14836" max="14836" width="11.42578125" style="479"/>
    <col min="14837" max="14837" width="2" style="479" customWidth="1"/>
    <col min="14838" max="15077" width="11.42578125" style="479"/>
    <col min="15078" max="15078" width="2.42578125" style="479" customWidth="1"/>
    <col min="15079" max="15079" width="2.140625" style="479" customWidth="1"/>
    <col min="15080" max="15080" width="0.85546875" style="479" customWidth="1"/>
    <col min="15081" max="15082" width="2" style="479" customWidth="1"/>
    <col min="15083" max="15083" width="1.28515625" style="479" customWidth="1"/>
    <col min="15084" max="15084" width="2" style="479" customWidth="1"/>
    <col min="15085" max="15085" width="2.140625" style="479" customWidth="1"/>
    <col min="15086" max="15086" width="1.140625" style="479" customWidth="1"/>
    <col min="15087" max="15087" width="11.42578125" style="479" hidden="1" customWidth="1"/>
    <col min="15088" max="15088" width="2" style="479" customWidth="1"/>
    <col min="15089" max="15089" width="2.140625" style="479" customWidth="1"/>
    <col min="15090" max="15090" width="2" style="479" customWidth="1"/>
    <col min="15091" max="15091" width="2.28515625" style="479" customWidth="1"/>
    <col min="15092" max="15092" width="11.42578125" style="479"/>
    <col min="15093" max="15093" width="2" style="479" customWidth="1"/>
    <col min="15094" max="15333" width="11.42578125" style="479"/>
    <col min="15334" max="15334" width="2.42578125" style="479" customWidth="1"/>
    <col min="15335" max="15335" width="2.140625" style="479" customWidth="1"/>
    <col min="15336" max="15336" width="0.85546875" style="479" customWidth="1"/>
    <col min="15337" max="15338" width="2" style="479" customWidth="1"/>
    <col min="15339" max="15339" width="1.28515625" style="479" customWidth="1"/>
    <col min="15340" max="15340" width="2" style="479" customWidth="1"/>
    <col min="15341" max="15341" width="2.140625" style="479" customWidth="1"/>
    <col min="15342" max="15342" width="1.140625" style="479" customWidth="1"/>
    <col min="15343" max="15343" width="11.42578125" style="479" hidden="1" customWidth="1"/>
    <col min="15344" max="15344" width="2" style="479" customWidth="1"/>
    <col min="15345" max="15345" width="2.140625" style="479" customWidth="1"/>
    <col min="15346" max="15346" width="2" style="479" customWidth="1"/>
    <col min="15347" max="15347" width="2.28515625" style="479" customWidth="1"/>
    <col min="15348" max="15348" width="11.42578125" style="479"/>
    <col min="15349" max="15349" width="2" style="479" customWidth="1"/>
    <col min="15350" max="15589" width="11.42578125" style="479"/>
    <col min="15590" max="15590" width="2.42578125" style="479" customWidth="1"/>
    <col min="15591" max="15591" width="2.140625" style="479" customWidth="1"/>
    <col min="15592" max="15592" width="0.85546875" style="479" customWidth="1"/>
    <col min="15593" max="15594" width="2" style="479" customWidth="1"/>
    <col min="15595" max="15595" width="1.28515625" style="479" customWidth="1"/>
    <col min="15596" max="15596" width="2" style="479" customWidth="1"/>
    <col min="15597" max="15597" width="2.140625" style="479" customWidth="1"/>
    <col min="15598" max="15598" width="1.140625" style="479" customWidth="1"/>
    <col min="15599" max="15599" width="11.42578125" style="479" hidden="1" customWidth="1"/>
    <col min="15600" max="15600" width="2" style="479" customWidth="1"/>
    <col min="15601" max="15601" width="2.140625" style="479" customWidth="1"/>
    <col min="15602" max="15602" width="2" style="479" customWidth="1"/>
    <col min="15603" max="15603" width="2.28515625" style="479" customWidth="1"/>
    <col min="15604" max="15604" width="11.42578125" style="479"/>
    <col min="15605" max="15605" width="2" style="479" customWidth="1"/>
    <col min="15606" max="15845" width="11.42578125" style="479"/>
    <col min="15846" max="15846" width="2.42578125" style="479" customWidth="1"/>
    <col min="15847" max="15847" width="2.140625" style="479" customWidth="1"/>
    <col min="15848" max="15848" width="0.85546875" style="479" customWidth="1"/>
    <col min="15849" max="15850" width="2" style="479" customWidth="1"/>
    <col min="15851" max="15851" width="1.28515625" style="479" customWidth="1"/>
    <col min="15852" max="15852" width="2" style="479" customWidth="1"/>
    <col min="15853" max="15853" width="2.140625" style="479" customWidth="1"/>
    <col min="15854" max="15854" width="1.140625" style="479" customWidth="1"/>
    <col min="15855" max="15855" width="11.42578125" style="479" hidden="1" customWidth="1"/>
    <col min="15856" max="15856" width="2" style="479" customWidth="1"/>
    <col min="15857" max="15857" width="2.140625" style="479" customWidth="1"/>
    <col min="15858" max="15858" width="2" style="479" customWidth="1"/>
    <col min="15859" max="15859" width="2.28515625" style="479" customWidth="1"/>
    <col min="15860" max="15860" width="11.42578125" style="479"/>
    <col min="15861" max="15861" width="2" style="479" customWidth="1"/>
    <col min="15862" max="16101" width="11.42578125" style="479"/>
    <col min="16102" max="16102" width="2.42578125" style="479" customWidth="1"/>
    <col min="16103" max="16103" width="2.140625" style="479" customWidth="1"/>
    <col min="16104" max="16104" width="0.85546875" style="479" customWidth="1"/>
    <col min="16105" max="16106" width="2" style="479" customWidth="1"/>
    <col min="16107" max="16107" width="1.28515625" style="479" customWidth="1"/>
    <col min="16108" max="16108" width="2" style="479" customWidth="1"/>
    <col min="16109" max="16109" width="2.140625" style="479" customWidth="1"/>
    <col min="16110" max="16110" width="1.140625" style="479" customWidth="1"/>
    <col min="16111" max="16111" width="11.42578125" style="479" hidden="1" customWidth="1"/>
    <col min="16112" max="16112" width="2" style="479" customWidth="1"/>
    <col min="16113" max="16113" width="2.140625" style="479" customWidth="1"/>
    <col min="16114" max="16114" width="2" style="479" customWidth="1"/>
    <col min="16115" max="16115" width="2.28515625" style="479" customWidth="1"/>
    <col min="16116" max="16116" width="11.42578125" style="479"/>
    <col min="16117" max="16117" width="2" style="479" customWidth="1"/>
    <col min="16118" max="16384" width="11.42578125" style="479"/>
  </cols>
  <sheetData>
    <row r="7" spans="2:14">
      <c r="D7" s="480"/>
    </row>
    <row r="8" spans="2:14">
      <c r="D8" s="480"/>
    </row>
    <row r="9" spans="2:14" ht="18">
      <c r="C9" s="985" t="s">
        <v>19</v>
      </c>
      <c r="D9" s="986"/>
      <c r="F9" s="990" t="s">
        <v>20</v>
      </c>
      <c r="G9" s="991"/>
      <c r="H9" s="991"/>
      <c r="I9" s="991"/>
      <c r="J9" s="991"/>
      <c r="K9" s="992"/>
    </row>
    <row r="10" spans="2:14" ht="39" customHeight="1">
      <c r="B10" s="481" t="s">
        <v>93</v>
      </c>
      <c r="C10" s="482" t="s">
        <v>22</v>
      </c>
      <c r="D10" s="483" t="s">
        <v>23</v>
      </c>
      <c r="E10" s="484" t="s">
        <v>94</v>
      </c>
      <c r="F10" s="485" t="s">
        <v>74</v>
      </c>
      <c r="G10" s="486" t="s">
        <v>95</v>
      </c>
      <c r="H10" s="487" t="s">
        <v>26</v>
      </c>
      <c r="I10" s="507" t="s">
        <v>96</v>
      </c>
      <c r="J10" s="507" t="s">
        <v>29</v>
      </c>
      <c r="K10" s="508" t="s">
        <v>97</v>
      </c>
    </row>
    <row r="11" spans="2:14" ht="14.1" customHeight="1">
      <c r="B11" s="488">
        <f>RESUMEN!A35</f>
        <v>22</v>
      </c>
      <c r="C11" s="489">
        <f>RESUMEN!B35</f>
        <v>1101002000</v>
      </c>
      <c r="D11" s="490">
        <f>C11/C$16</f>
        <v>2.5404231358740511E-3</v>
      </c>
      <c r="E11" s="491">
        <f>RESUMEN!C35</f>
        <v>60000000</v>
      </c>
      <c r="F11" s="492">
        <v>350000000</v>
      </c>
      <c r="G11" s="493">
        <f>+VLOOKUP(B11,RESUMEN!$A$34:$G$39,4,FALSE)</f>
        <v>650002000</v>
      </c>
      <c r="H11" s="494">
        <f>G11/G$16</f>
        <v>5.8932744844135227E-3</v>
      </c>
      <c r="I11" s="509">
        <f>+VLOOKUP(B11,RESUMEN!$A$34:$G$39,5,FALSE)</f>
        <v>50000000</v>
      </c>
      <c r="J11" s="510">
        <f>+VLOOKUP(B11,RESUMEN!$A$34:$G$39,6,FALSE)</f>
        <v>600002000</v>
      </c>
      <c r="K11" s="493">
        <f>+VLOOKUP(B11,RESUMEN!$A$34:$G$39,7,FALSE)</f>
        <v>391000000</v>
      </c>
      <c r="M11" s="511"/>
      <c r="N11" s="512"/>
    </row>
    <row r="12" spans="2:14" ht="14.1" customHeight="1">
      <c r="B12" s="495">
        <f>RESUMEN!A36</f>
        <v>24</v>
      </c>
      <c r="C12" s="496">
        <f>RESUMEN!B36</f>
        <v>9385693105</v>
      </c>
      <c r="D12" s="497">
        <f>C12/C$16</f>
        <v>2.1656302086786001E-2</v>
      </c>
      <c r="E12" s="498">
        <f>RESUMEN!C36</f>
        <v>0</v>
      </c>
      <c r="F12" s="499">
        <f>10258012000-663128000</f>
        <v>9594884000</v>
      </c>
      <c r="G12" s="493">
        <f>+VLOOKUP(B12,RESUMEN!$A$34:$G$39,4,FALSE)</f>
        <v>8639199000</v>
      </c>
      <c r="H12" s="500">
        <f>G12/G$16</f>
        <v>7.8327714426218414E-2</v>
      </c>
      <c r="I12" s="509">
        <f>+VLOOKUP(B12,RESUMEN!$A$34:$G$39,5,FALSE)</f>
        <v>850581345</v>
      </c>
      <c r="J12" s="510">
        <f>+VLOOKUP(B12,RESUMEN!$A$34:$G$39,6,FALSE)</f>
        <v>7788617655</v>
      </c>
      <c r="K12" s="493">
        <f>+VLOOKUP(B12,RESUMEN!$A$34:$G$39,7,FALSE)</f>
        <v>746494105</v>
      </c>
    </row>
    <row r="13" spans="2:14" ht="14.1" customHeight="1">
      <c r="B13" s="495">
        <f>RESUMEN!A37</f>
        <v>29</v>
      </c>
      <c r="C13" s="496">
        <f>RESUMEN!B37</f>
        <v>24757297839</v>
      </c>
      <c r="D13" s="497">
        <f>C13/C$16</f>
        <v>5.712433965780285E-2</v>
      </c>
      <c r="E13" s="498">
        <f>RESUMEN!C37</f>
        <v>4444555730</v>
      </c>
      <c r="F13" s="499">
        <v>6089899000</v>
      </c>
      <c r="G13" s="493">
        <f>+VLOOKUP(B13,RESUMEN!$A$34:$G$39,4,FALSE)</f>
        <v>7961233634</v>
      </c>
      <c r="H13" s="500">
        <f>G13/G$16</f>
        <v>7.2180908735214586E-2</v>
      </c>
      <c r="I13" s="509">
        <f>+VLOOKUP(B13,RESUMEN!$A$34:$G$39,5,FALSE)</f>
        <v>2318057049</v>
      </c>
      <c r="J13" s="510">
        <f>+VLOOKUP(B13,RESUMEN!$A$34:$G$39,6,FALSE)</f>
        <v>5643176585</v>
      </c>
      <c r="K13" s="493">
        <f>+VLOOKUP(B13,RESUMEN!$A$34:$G$39,7,FALSE)</f>
        <v>12351508475</v>
      </c>
    </row>
    <row r="14" spans="2:14" ht="14.1" customHeight="1">
      <c r="B14" s="495">
        <f>RESUMEN!A38</f>
        <v>31</v>
      </c>
      <c r="C14" s="496">
        <f>RESUMEN!B38</f>
        <v>339292049112</v>
      </c>
      <c r="D14" s="497">
        <f>C14/C$16</f>
        <v>0.78287357460044549</v>
      </c>
      <c r="E14" s="498">
        <f>RESUMEN!C38</f>
        <v>92132484642</v>
      </c>
      <c r="F14" s="499">
        <v>40998230000</v>
      </c>
      <c r="G14" s="493">
        <f>+VLOOKUP(B14,RESUMEN!$A$34:$G$39,4,FALSE)</f>
        <v>62969088006.333328</v>
      </c>
      <c r="H14" s="500">
        <f>G14/G$16</f>
        <v>0.57091227358456409</v>
      </c>
      <c r="I14" s="509">
        <f>+VLOOKUP(B14,RESUMEN!$A$34:$G$39,5,FALSE)</f>
        <v>31900357267</v>
      </c>
      <c r="J14" s="510">
        <f>+VLOOKUP(B14,RESUMEN!$A$34:$G$39,6,FALSE)</f>
        <v>31068730739.333328</v>
      </c>
      <c r="K14" s="493">
        <f>+VLOOKUP(B14,RESUMEN!$A$34:$G$39,7,FALSE)</f>
        <v>184190476463.66666</v>
      </c>
    </row>
    <row r="15" spans="2:14" ht="14.1" customHeight="1">
      <c r="B15" s="495">
        <f>RESUMEN!A39</f>
        <v>33</v>
      </c>
      <c r="C15" s="496">
        <f>RESUMEN!B39</f>
        <v>58857113774</v>
      </c>
      <c r="D15" s="497">
        <f>C15/C$16</f>
        <v>0.13580536051909162</v>
      </c>
      <c r="E15" s="498">
        <f>RESUMEN!C39</f>
        <v>12644948596</v>
      </c>
      <c r="F15" s="499">
        <f>17450609000-634674000</f>
        <v>16815935000</v>
      </c>
      <c r="G15" s="493">
        <f>+VLOOKUP(B15,RESUMEN!$A$34:$G$39,4,FALSE)</f>
        <v>30076035749</v>
      </c>
      <c r="H15" s="500">
        <f>G15/G$16</f>
        <v>0.27268582876958941</v>
      </c>
      <c r="I15" s="509">
        <f>+VLOOKUP(B15,RESUMEN!$A$34:$G$39,5,FALSE)</f>
        <v>4971190608</v>
      </c>
      <c r="J15" s="510">
        <f>+VLOOKUP(B15,RESUMEN!$A$34:$G$39,6,FALSE)</f>
        <v>25104845141</v>
      </c>
      <c r="K15" s="493">
        <f>+VLOOKUP(B15,RESUMEN!$A$34:$G$39,7,FALSE)</f>
        <v>16136129429</v>
      </c>
    </row>
    <row r="16" spans="2:14">
      <c r="B16" s="501" t="s">
        <v>38</v>
      </c>
      <c r="C16" s="502">
        <f t="shared" ref="C16:K16" si="0">SUM(C11:C15)</f>
        <v>433393155830</v>
      </c>
      <c r="D16" s="503">
        <f t="shared" si="0"/>
        <v>1</v>
      </c>
      <c r="E16" s="504">
        <f t="shared" si="0"/>
        <v>109281988968</v>
      </c>
      <c r="F16" s="502">
        <f t="shared" si="0"/>
        <v>73848948000</v>
      </c>
      <c r="G16" s="505">
        <f t="shared" si="0"/>
        <v>110295558389.33333</v>
      </c>
      <c r="H16" s="506">
        <f t="shared" si="0"/>
        <v>1</v>
      </c>
      <c r="I16" s="513">
        <f t="shared" si="0"/>
        <v>40090186269</v>
      </c>
      <c r="J16" s="505">
        <f t="shared" si="0"/>
        <v>70205372120.333328</v>
      </c>
      <c r="K16" s="514">
        <f t="shared" si="0"/>
        <v>213815608472.66666</v>
      </c>
    </row>
  </sheetData>
  <mergeCells count="2">
    <mergeCell ref="C9:D9"/>
    <mergeCell ref="F9:K9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926"/>
  <sheetViews>
    <sheetView view="pageBreakPreview" zoomScale="50" zoomScaleNormal="50" zoomScaleSheetLayoutView="50" workbookViewId="0">
      <pane ySplit="2" topLeftCell="A788" activePane="bottomLeft" state="frozen"/>
      <selection pane="bottomLeft" activeCell="Q718" sqref="Q718"/>
    </sheetView>
  </sheetViews>
  <sheetFormatPr baseColWidth="10" defaultColWidth="11" defaultRowHeight="15" outlineLevelRow="2"/>
  <cols>
    <col min="1" max="1" width="11.42578125"/>
    <col min="2" max="2" width="11.140625" style="223" customWidth="1"/>
    <col min="3" max="3" width="9.42578125" style="223" customWidth="1"/>
    <col min="4" max="4" width="39.140625" style="30" customWidth="1"/>
    <col min="5" max="5" width="17.85546875" style="223" hidden="1" customWidth="1"/>
    <col min="6" max="6" width="32.7109375" style="223" hidden="1" customWidth="1"/>
    <col min="7" max="7" width="16" style="223" hidden="1" customWidth="1"/>
    <col min="8" max="8" width="28.42578125" style="224" hidden="1" customWidth="1"/>
    <col min="9" max="9" width="14.28515625" style="223" hidden="1" customWidth="1"/>
    <col min="10" max="10" width="11.85546875" style="223" hidden="1" customWidth="1"/>
    <col min="11" max="11" width="17.7109375" hidden="1" customWidth="1"/>
    <col min="12" max="12" width="16.42578125" style="225" hidden="1" customWidth="1"/>
    <col min="13" max="13" width="22.42578125" style="225" hidden="1" customWidth="1"/>
    <col min="14" max="16" width="31.140625" style="30" hidden="1" customWidth="1"/>
    <col min="17" max="17" width="140.28515625" customWidth="1"/>
    <col min="18" max="18" width="26.140625" style="226" customWidth="1"/>
    <col min="19" max="19" width="2.7109375" style="227" customWidth="1"/>
    <col min="20" max="23" width="26.140625" style="226" customWidth="1"/>
    <col min="24" max="24" width="2.7109375" style="227" customWidth="1"/>
    <col min="25" max="26" width="27.28515625" style="228" customWidth="1"/>
    <col min="27" max="27" width="2.7109375" style="229" customWidth="1"/>
    <col min="28" max="28" width="26.5703125" style="230" customWidth="1"/>
    <col min="29" max="29" width="25.28515625" style="230" customWidth="1"/>
    <col min="30" max="30" width="27.85546875" style="230" customWidth="1"/>
    <col min="31" max="32" width="25.28515625" style="230" customWidth="1"/>
    <col min="33" max="34" width="24.7109375" style="230" customWidth="1"/>
    <col min="35" max="35" width="24.28515625" style="230" customWidth="1"/>
    <col min="36" max="37" width="26.140625" style="230" customWidth="1"/>
    <col min="38" max="39" width="26.140625" style="231" customWidth="1"/>
    <col min="40" max="42" width="26.140625" style="230" customWidth="1"/>
    <col min="43" max="43" width="2.7109375" style="229" customWidth="1"/>
    <col min="44" max="44" width="27.28515625" style="230" customWidth="1"/>
    <col min="45" max="45" width="14.7109375" style="232" customWidth="1"/>
    <col min="46" max="46" width="14.28515625" style="232" customWidth="1"/>
    <col min="47" max="47" width="55" customWidth="1"/>
    <col min="48" max="48" width="2.7109375" customWidth="1"/>
    <col min="49" max="49" width="17.28515625" customWidth="1"/>
  </cols>
  <sheetData>
    <row r="1" spans="1:48" s="20" customFormat="1" ht="56.25" customHeight="1">
      <c r="B1" s="233"/>
      <c r="C1" s="233"/>
      <c r="D1" s="233"/>
      <c r="E1" s="850"/>
      <c r="F1" s="850"/>
      <c r="G1" s="850"/>
      <c r="H1" s="906"/>
      <c r="I1" s="850"/>
      <c r="J1" s="233"/>
      <c r="K1" s="233"/>
      <c r="L1" s="253"/>
      <c r="M1" s="903"/>
      <c r="N1" s="903"/>
      <c r="O1" s="903"/>
      <c r="P1" s="903"/>
      <c r="Q1" s="233"/>
      <c r="R1" s="907"/>
      <c r="S1" s="265"/>
      <c r="T1" s="993" t="s">
        <v>98</v>
      </c>
      <c r="U1" s="994"/>
      <c r="V1" s="994"/>
      <c r="W1" s="995"/>
      <c r="X1" s="265"/>
      <c r="Y1" s="266"/>
      <c r="Z1" s="266"/>
      <c r="AA1" s="267"/>
      <c r="AB1" s="996" t="s">
        <v>99</v>
      </c>
      <c r="AC1" s="997"/>
      <c r="AD1" s="997"/>
      <c r="AE1" s="910"/>
      <c r="AF1" s="910"/>
      <c r="AG1" s="910"/>
      <c r="AH1" s="910"/>
      <c r="AI1" s="910"/>
      <c r="AJ1" s="910"/>
      <c r="AK1" s="910"/>
      <c r="AL1" s="910"/>
      <c r="AM1" s="910"/>
      <c r="AN1" s="910"/>
      <c r="AO1" s="910"/>
      <c r="AP1" s="910"/>
      <c r="AQ1" s="306"/>
      <c r="AR1" s="307"/>
      <c r="AS1" s="233"/>
      <c r="AT1" s="903"/>
      <c r="AU1" s="233"/>
    </row>
    <row r="2" spans="1:48" s="214" customFormat="1" ht="167.25" customHeight="1">
      <c r="A2" s="234" t="s">
        <v>100</v>
      </c>
      <c r="B2" s="235" t="s">
        <v>101</v>
      </c>
      <c r="C2" s="236" t="s">
        <v>102</v>
      </c>
      <c r="D2" s="237" t="s">
        <v>91</v>
      </c>
      <c r="E2" s="905" t="s">
        <v>103</v>
      </c>
      <c r="F2" s="904" t="s">
        <v>104</v>
      </c>
      <c r="G2" s="904" t="s">
        <v>21</v>
      </c>
      <c r="H2" s="904" t="s">
        <v>105</v>
      </c>
      <c r="I2" s="904" t="s">
        <v>106</v>
      </c>
      <c r="J2" s="235" t="s">
        <v>107</v>
      </c>
      <c r="K2" s="237" t="s">
        <v>108</v>
      </c>
      <c r="L2" s="235" t="s">
        <v>109</v>
      </c>
      <c r="M2" s="905" t="s">
        <v>1607</v>
      </c>
      <c r="N2" s="904" t="s">
        <v>110</v>
      </c>
      <c r="O2" s="905" t="s">
        <v>111</v>
      </c>
      <c r="P2" s="904" t="s">
        <v>112</v>
      </c>
      <c r="Q2" s="237" t="s">
        <v>113</v>
      </c>
      <c r="R2" s="908" t="s">
        <v>114</v>
      </c>
      <c r="S2" s="267">
        <v>5</v>
      </c>
      <c r="T2" s="909" t="s">
        <v>115</v>
      </c>
      <c r="U2" s="909" t="s">
        <v>116</v>
      </c>
      <c r="V2" s="909" t="s">
        <v>117</v>
      </c>
      <c r="W2" s="908" t="s">
        <v>118</v>
      </c>
      <c r="X2" s="267">
        <v>1</v>
      </c>
      <c r="Y2" s="268" t="s">
        <v>22</v>
      </c>
      <c r="Z2" s="292" t="s">
        <v>24</v>
      </c>
      <c r="AA2" s="293">
        <v>2</v>
      </c>
      <c r="AB2" s="292" t="s">
        <v>75</v>
      </c>
      <c r="AC2" s="292" t="s">
        <v>1617</v>
      </c>
      <c r="AD2" s="292" t="s">
        <v>119</v>
      </c>
      <c r="AE2" s="911" t="s">
        <v>120</v>
      </c>
      <c r="AF2" s="911" t="s">
        <v>121</v>
      </c>
      <c r="AG2" s="911" t="s">
        <v>12</v>
      </c>
      <c r="AH2" s="911" t="s">
        <v>11</v>
      </c>
      <c r="AI2" s="911" t="s">
        <v>10</v>
      </c>
      <c r="AJ2" s="911" t="s">
        <v>9</v>
      </c>
      <c r="AK2" s="911" t="s">
        <v>8</v>
      </c>
      <c r="AL2" s="911" t="s">
        <v>7</v>
      </c>
      <c r="AM2" s="911" t="s">
        <v>6</v>
      </c>
      <c r="AN2" s="911" t="s">
        <v>5</v>
      </c>
      <c r="AO2" s="911" t="s">
        <v>4</v>
      </c>
      <c r="AP2" s="911" t="s">
        <v>3</v>
      </c>
      <c r="AQ2" s="293">
        <v>3</v>
      </c>
      <c r="AR2" s="292" t="s">
        <v>122</v>
      </c>
      <c r="AS2" s="235" t="s">
        <v>123</v>
      </c>
      <c r="AT2" s="905" t="s">
        <v>1619</v>
      </c>
      <c r="AU2" s="292" t="s">
        <v>124</v>
      </c>
      <c r="AV2" s="308">
        <v>4</v>
      </c>
    </row>
    <row r="3" spans="1:48" s="215" customFormat="1" ht="23.25" customHeight="1">
      <c r="A3" s="215" t="s">
        <v>125</v>
      </c>
      <c r="B3" s="238"/>
      <c r="C3" s="239"/>
      <c r="D3" s="240"/>
      <c r="E3" s="238"/>
      <c r="F3" s="240"/>
      <c r="G3" s="240"/>
      <c r="H3" s="241"/>
      <c r="I3" s="240"/>
      <c r="J3" s="238"/>
      <c r="K3" s="240"/>
      <c r="L3" s="241"/>
      <c r="M3" s="241"/>
      <c r="N3" s="240"/>
      <c r="O3" s="240"/>
      <c r="P3" s="240"/>
      <c r="Q3" s="240"/>
      <c r="R3" s="269"/>
      <c r="S3" s="269"/>
      <c r="T3" s="269"/>
      <c r="U3" s="269"/>
      <c r="V3" s="269"/>
      <c r="W3" s="269"/>
      <c r="X3" s="269"/>
      <c r="Y3" s="270"/>
      <c r="Z3" s="270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38"/>
      <c r="AT3" s="238"/>
      <c r="AU3" s="294"/>
    </row>
    <row r="4" spans="1:48" ht="26.25" customHeight="1">
      <c r="A4" s="215" t="s">
        <v>125</v>
      </c>
      <c r="B4" s="242"/>
      <c r="C4" s="242"/>
      <c r="D4" s="243"/>
      <c r="E4" s="242"/>
      <c r="F4" s="242"/>
      <c r="G4" s="242"/>
      <c r="H4" s="244"/>
      <c r="I4" s="242"/>
      <c r="J4" s="242"/>
      <c r="K4" s="242"/>
      <c r="L4" s="244"/>
      <c r="M4" s="244"/>
      <c r="N4" s="242"/>
      <c r="O4" s="242"/>
      <c r="P4" s="242"/>
      <c r="Q4" s="254" t="s">
        <v>126</v>
      </c>
      <c r="R4" s="271"/>
      <c r="S4" s="271"/>
      <c r="T4" s="271"/>
      <c r="U4" s="271"/>
      <c r="V4" s="271"/>
      <c r="W4" s="271"/>
      <c r="X4" s="271"/>
      <c r="Y4" s="272"/>
      <c r="Z4" s="272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309"/>
      <c r="AT4" s="309"/>
      <c r="AU4" s="310"/>
    </row>
    <row r="5" spans="1:48" s="216" customFormat="1" ht="15" customHeight="1">
      <c r="A5" s="215" t="s">
        <v>125</v>
      </c>
      <c r="B5" s="242"/>
      <c r="C5" s="242"/>
      <c r="D5" s="243"/>
      <c r="E5" s="242"/>
      <c r="F5" s="242"/>
      <c r="G5" s="242"/>
      <c r="H5" s="244"/>
      <c r="I5" s="242"/>
      <c r="J5" s="242"/>
      <c r="K5" s="242"/>
      <c r="L5" s="244"/>
      <c r="M5" s="244"/>
      <c r="N5" s="242"/>
      <c r="O5" s="242"/>
      <c r="P5" s="242"/>
      <c r="Q5" s="255"/>
      <c r="R5" s="271"/>
      <c r="S5" s="271"/>
      <c r="T5" s="271"/>
      <c r="U5" s="271"/>
      <c r="V5" s="271"/>
      <c r="W5" s="271"/>
      <c r="X5" s="271"/>
      <c r="Y5" s="272"/>
      <c r="Z5" s="272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309"/>
      <c r="AT5" s="309"/>
      <c r="AU5" s="311"/>
    </row>
    <row r="6" spans="1:48" s="217" customFormat="1" ht="25.5" customHeight="1">
      <c r="A6" s="215" t="s">
        <v>125</v>
      </c>
      <c r="B6" s="242"/>
      <c r="C6" s="242"/>
      <c r="D6" s="243"/>
      <c r="E6" s="242"/>
      <c r="F6" s="242"/>
      <c r="G6" s="242"/>
      <c r="H6" s="244"/>
      <c r="I6" s="242"/>
      <c r="J6" s="242"/>
      <c r="K6" s="242"/>
      <c r="L6" s="244"/>
      <c r="M6" s="244"/>
      <c r="N6" s="242"/>
      <c r="O6" s="242"/>
      <c r="P6" s="242"/>
      <c r="Q6" s="99" t="s">
        <v>127</v>
      </c>
      <c r="R6" s="271"/>
      <c r="S6" s="271"/>
      <c r="T6" s="271"/>
      <c r="U6" s="271"/>
      <c r="V6" s="271"/>
      <c r="W6" s="271"/>
      <c r="X6" s="271"/>
      <c r="Y6" s="272"/>
      <c r="Z6" s="272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309"/>
      <c r="AT6" s="309"/>
      <c r="AU6" s="312"/>
    </row>
    <row r="7" spans="1:48" s="218" customFormat="1" ht="25.5" customHeight="1" outlineLevel="2">
      <c r="A7" s="215" t="s">
        <v>125</v>
      </c>
      <c r="B7" s="151">
        <v>31</v>
      </c>
      <c r="C7" s="151" t="s">
        <v>128</v>
      </c>
      <c r="D7" s="245" t="s">
        <v>129</v>
      </c>
      <c r="E7" s="151" t="s">
        <v>130</v>
      </c>
      <c r="F7" s="151" t="s">
        <v>131</v>
      </c>
      <c r="G7" s="151" t="s">
        <v>32</v>
      </c>
      <c r="H7" s="151" t="s">
        <v>32</v>
      </c>
      <c r="I7" s="256">
        <v>1</v>
      </c>
      <c r="J7" s="151" t="s">
        <v>81</v>
      </c>
      <c r="K7" s="176" t="s">
        <v>132</v>
      </c>
      <c r="L7" s="245">
        <v>30043744</v>
      </c>
      <c r="M7" s="855"/>
      <c r="N7" s="245" t="s">
        <v>133</v>
      </c>
      <c r="O7" s="245" t="s">
        <v>134</v>
      </c>
      <c r="P7" s="245"/>
      <c r="Q7" s="176" t="s">
        <v>135</v>
      </c>
      <c r="R7" s="273" t="s">
        <v>136</v>
      </c>
      <c r="S7" s="274"/>
      <c r="T7" s="273">
        <v>6857278000</v>
      </c>
      <c r="U7" s="273"/>
      <c r="V7" s="273"/>
      <c r="W7" s="273"/>
      <c r="X7" s="274"/>
      <c r="Y7" s="275">
        <v>7805646000</v>
      </c>
      <c r="Z7" s="275">
        <v>5858094246</v>
      </c>
      <c r="AA7" s="296"/>
      <c r="AB7" s="297">
        <f>1710647752-186853563-197681651</f>
        <v>1326112538</v>
      </c>
      <c r="AC7" s="297">
        <f>SUBTOTAL(9,AE7:AP7)</f>
        <v>712617316</v>
      </c>
      <c r="AD7" s="297">
        <f t="shared" ref="AD7:AD20" si="0">+AB7-AC7</f>
        <v>613495222</v>
      </c>
      <c r="AE7" s="297">
        <v>0</v>
      </c>
      <c r="AF7" s="297">
        <v>0</v>
      </c>
      <c r="AG7" s="297">
        <v>0</v>
      </c>
      <c r="AH7" s="297">
        <v>0</v>
      </c>
      <c r="AI7" s="297">
        <v>0</v>
      </c>
      <c r="AJ7" s="297">
        <v>0</v>
      </c>
      <c r="AK7" s="297">
        <v>332864655</v>
      </c>
      <c r="AL7" s="297">
        <v>0</v>
      </c>
      <c r="AM7" s="297">
        <v>0</v>
      </c>
      <c r="AN7" s="297">
        <v>180086508</v>
      </c>
      <c r="AO7" s="297">
        <v>0</v>
      </c>
      <c r="AP7" s="297">
        <v>199666153</v>
      </c>
      <c r="AQ7" s="296"/>
      <c r="AR7" s="297">
        <f t="shared" ref="AR7:AR21" si="1">+Y7-Z7-AC7-AD7</f>
        <v>621439216</v>
      </c>
      <c r="AS7" s="313" t="s">
        <v>137</v>
      </c>
      <c r="AT7" s="313" t="s">
        <v>137</v>
      </c>
      <c r="AU7" s="176" t="s">
        <v>138</v>
      </c>
    </row>
    <row r="8" spans="1:48" s="218" customFormat="1" ht="25.5" customHeight="1" outlineLevel="2">
      <c r="A8" s="215" t="s">
        <v>125</v>
      </c>
      <c r="B8" s="151">
        <v>31</v>
      </c>
      <c r="C8" s="151" t="s">
        <v>128</v>
      </c>
      <c r="D8" s="245" t="s">
        <v>139</v>
      </c>
      <c r="E8" s="151" t="s">
        <v>130</v>
      </c>
      <c r="F8" s="151" t="s">
        <v>140</v>
      </c>
      <c r="G8" s="151" t="s">
        <v>32</v>
      </c>
      <c r="H8" s="151" t="s">
        <v>32</v>
      </c>
      <c r="I8" s="256">
        <v>1</v>
      </c>
      <c r="J8" s="151" t="s">
        <v>80</v>
      </c>
      <c r="K8" s="176" t="s">
        <v>132</v>
      </c>
      <c r="L8" s="245">
        <v>30070862</v>
      </c>
      <c r="M8" s="855"/>
      <c r="N8" s="245" t="e">
        <v>#N/A</v>
      </c>
      <c r="O8" s="245" t="s">
        <v>141</v>
      </c>
      <c r="P8" s="245"/>
      <c r="Q8" s="176" t="s">
        <v>142</v>
      </c>
      <c r="R8" s="273" t="s">
        <v>143</v>
      </c>
      <c r="S8" s="274"/>
      <c r="T8" s="273"/>
      <c r="U8" s="273"/>
      <c r="V8" s="273"/>
      <c r="W8" s="273"/>
      <c r="X8" s="274"/>
      <c r="Y8" s="275">
        <v>7370081000</v>
      </c>
      <c r="Z8" s="275">
        <v>0</v>
      </c>
      <c r="AA8" s="296"/>
      <c r="AB8" s="297">
        <f>1300000000-15226198-34856914-22060857-5565145+174854814</f>
        <v>1397145700</v>
      </c>
      <c r="AC8" s="297">
        <f t="shared" ref="AC8:AC44" si="2">SUBTOTAL(9,AE8:AP8)</f>
        <v>556758918</v>
      </c>
      <c r="AD8" s="297">
        <f t="shared" si="0"/>
        <v>840386782</v>
      </c>
      <c r="AE8" s="297">
        <v>0</v>
      </c>
      <c r="AF8" s="297">
        <v>0</v>
      </c>
      <c r="AG8" s="297">
        <v>0</v>
      </c>
      <c r="AH8" s="297">
        <v>0</v>
      </c>
      <c r="AI8" s="297">
        <v>0</v>
      </c>
      <c r="AJ8" s="297">
        <v>188084339</v>
      </c>
      <c r="AK8" s="297">
        <v>202156837</v>
      </c>
      <c r="AL8" s="297">
        <v>166517742</v>
      </c>
      <c r="AM8" s="297">
        <v>0</v>
      </c>
      <c r="AN8" s="297">
        <v>0</v>
      </c>
      <c r="AO8" s="297">
        <v>0</v>
      </c>
      <c r="AP8" s="297">
        <v>0</v>
      </c>
      <c r="AQ8" s="296"/>
      <c r="AR8" s="297">
        <f t="shared" si="1"/>
        <v>5972935300</v>
      </c>
      <c r="AS8" s="313" t="s">
        <v>137</v>
      </c>
      <c r="AT8" s="313" t="s">
        <v>137</v>
      </c>
      <c r="AU8" s="176" t="s">
        <v>138</v>
      </c>
    </row>
    <row r="9" spans="1:48" s="218" customFormat="1" ht="25.5" customHeight="1" outlineLevel="2">
      <c r="A9" s="215" t="s">
        <v>125</v>
      </c>
      <c r="B9" s="151">
        <v>31</v>
      </c>
      <c r="C9" s="151" t="s">
        <v>128</v>
      </c>
      <c r="D9" s="245" t="s">
        <v>144</v>
      </c>
      <c r="E9" s="151" t="s">
        <v>130</v>
      </c>
      <c r="F9" s="151" t="s">
        <v>140</v>
      </c>
      <c r="G9" s="151" t="s">
        <v>32</v>
      </c>
      <c r="H9" s="151" t="s">
        <v>32</v>
      </c>
      <c r="I9" s="256">
        <v>1</v>
      </c>
      <c r="J9" s="151" t="s">
        <v>80</v>
      </c>
      <c r="K9" s="176" t="s">
        <v>132</v>
      </c>
      <c r="L9" s="245">
        <v>30165522</v>
      </c>
      <c r="M9" s="855"/>
      <c r="N9" s="245" t="s">
        <v>145</v>
      </c>
      <c r="O9" s="245" t="s">
        <v>146</v>
      </c>
      <c r="P9" s="245"/>
      <c r="Q9" s="176" t="s">
        <v>147</v>
      </c>
      <c r="R9" s="273"/>
      <c r="S9" s="274"/>
      <c r="T9" s="273"/>
      <c r="U9" s="273"/>
      <c r="V9" s="273"/>
      <c r="W9" s="273"/>
      <c r="X9" s="274"/>
      <c r="Y9" s="275">
        <v>820000000</v>
      </c>
      <c r="Z9" s="275">
        <v>346084133</v>
      </c>
      <c r="AA9" s="296"/>
      <c r="AB9" s="297">
        <f>35786802+438129065</f>
        <v>473915867</v>
      </c>
      <c r="AC9" s="297">
        <f t="shared" si="2"/>
        <v>273385780</v>
      </c>
      <c r="AD9" s="297">
        <f t="shared" si="0"/>
        <v>200530087</v>
      </c>
      <c r="AE9" s="297">
        <v>0</v>
      </c>
      <c r="AF9" s="297">
        <v>0</v>
      </c>
      <c r="AG9" s="297">
        <v>0</v>
      </c>
      <c r="AH9" s="297">
        <v>0</v>
      </c>
      <c r="AI9" s="297">
        <v>0</v>
      </c>
      <c r="AJ9" s="297">
        <v>69573418</v>
      </c>
      <c r="AK9" s="297">
        <v>0</v>
      </c>
      <c r="AL9" s="297">
        <v>50255490</v>
      </c>
      <c r="AM9" s="297">
        <v>1111111</v>
      </c>
      <c r="AN9" s="297">
        <v>82363638</v>
      </c>
      <c r="AO9" s="297">
        <v>46903950</v>
      </c>
      <c r="AP9" s="297">
        <v>23178173</v>
      </c>
      <c r="AQ9" s="296"/>
      <c r="AR9" s="297">
        <f t="shared" si="1"/>
        <v>0</v>
      </c>
      <c r="AS9" s="313" t="s">
        <v>148</v>
      </c>
      <c r="AT9" s="313" t="s">
        <v>1464</v>
      </c>
      <c r="AU9" s="176" t="s">
        <v>138</v>
      </c>
    </row>
    <row r="10" spans="1:48" s="218" customFormat="1" ht="25.5" customHeight="1" outlineLevel="2">
      <c r="A10" s="215" t="s">
        <v>125</v>
      </c>
      <c r="B10" s="151">
        <v>31</v>
      </c>
      <c r="C10" s="151" t="s">
        <v>128</v>
      </c>
      <c r="D10" s="245" t="s">
        <v>149</v>
      </c>
      <c r="E10" s="151" t="s">
        <v>130</v>
      </c>
      <c r="F10" s="151" t="s">
        <v>140</v>
      </c>
      <c r="G10" s="151" t="s">
        <v>32</v>
      </c>
      <c r="H10" s="151" t="s">
        <v>32</v>
      </c>
      <c r="I10" s="256">
        <v>1</v>
      </c>
      <c r="J10" s="151" t="s">
        <v>80</v>
      </c>
      <c r="K10" s="176" t="s">
        <v>132</v>
      </c>
      <c r="L10" s="245">
        <v>30135711</v>
      </c>
      <c r="M10" s="855"/>
      <c r="N10" s="245" t="s">
        <v>145</v>
      </c>
      <c r="O10" s="245" t="s">
        <v>150</v>
      </c>
      <c r="P10" s="245"/>
      <c r="Q10" s="176" t="s">
        <v>151</v>
      </c>
      <c r="R10" s="273"/>
      <c r="S10" s="274"/>
      <c r="T10" s="273"/>
      <c r="U10" s="273"/>
      <c r="V10" s="273"/>
      <c r="W10" s="273"/>
      <c r="X10" s="274"/>
      <c r="Y10" s="275">
        <v>151972000</v>
      </c>
      <c r="Z10" s="275">
        <v>129911143</v>
      </c>
      <c r="AA10" s="296"/>
      <c r="AB10" s="297">
        <v>22060857</v>
      </c>
      <c r="AC10" s="297">
        <f t="shared" si="2"/>
        <v>6990</v>
      </c>
      <c r="AD10" s="297">
        <f t="shared" si="0"/>
        <v>22053867</v>
      </c>
      <c r="AE10" s="297"/>
      <c r="AF10" s="297"/>
      <c r="AG10" s="297"/>
      <c r="AH10" s="297"/>
      <c r="AI10" s="297"/>
      <c r="AJ10" s="297">
        <v>0</v>
      </c>
      <c r="AK10" s="297">
        <v>0</v>
      </c>
      <c r="AL10" s="297">
        <v>0</v>
      </c>
      <c r="AM10" s="297">
        <v>0</v>
      </c>
      <c r="AN10" s="297">
        <v>6990</v>
      </c>
      <c r="AO10" s="297">
        <v>0</v>
      </c>
      <c r="AP10" s="297">
        <v>0</v>
      </c>
      <c r="AQ10" s="296"/>
      <c r="AR10" s="297">
        <f t="shared" si="1"/>
        <v>0</v>
      </c>
      <c r="AS10" s="313" t="s">
        <v>137</v>
      </c>
      <c r="AT10" s="313" t="s">
        <v>137</v>
      </c>
      <c r="AU10" s="176" t="s">
        <v>138</v>
      </c>
    </row>
    <row r="11" spans="1:48" s="218" customFormat="1" ht="25.5" customHeight="1" outlineLevel="2">
      <c r="A11" s="215" t="s">
        <v>125</v>
      </c>
      <c r="B11" s="151">
        <v>31</v>
      </c>
      <c r="C11" s="151" t="s">
        <v>128</v>
      </c>
      <c r="D11" s="245" t="s">
        <v>129</v>
      </c>
      <c r="E11" s="151" t="s">
        <v>130</v>
      </c>
      <c r="F11" s="151" t="s">
        <v>140</v>
      </c>
      <c r="G11" s="151" t="s">
        <v>32</v>
      </c>
      <c r="H11" s="151" t="s">
        <v>32</v>
      </c>
      <c r="I11" s="256">
        <v>1</v>
      </c>
      <c r="J11" s="151" t="s">
        <v>81</v>
      </c>
      <c r="K11" s="176" t="s">
        <v>132</v>
      </c>
      <c r="L11" s="245">
        <v>40003069</v>
      </c>
      <c r="M11" s="855"/>
      <c r="N11" s="245" t="e">
        <v>#N/A</v>
      </c>
      <c r="O11" s="245" t="s">
        <v>152</v>
      </c>
      <c r="P11" s="257" t="s">
        <v>153</v>
      </c>
      <c r="Q11" s="176" t="s">
        <v>154</v>
      </c>
      <c r="R11" s="273"/>
      <c r="S11" s="274"/>
      <c r="T11" s="273"/>
      <c r="U11" s="273"/>
      <c r="V11" s="273"/>
      <c r="W11" s="273"/>
      <c r="X11" s="274"/>
      <c r="Y11" s="275">
        <v>77510000</v>
      </c>
      <c r="Z11" s="275">
        <v>0</v>
      </c>
      <c r="AA11" s="296"/>
      <c r="AB11" s="297">
        <v>77510000</v>
      </c>
      <c r="AC11" s="297">
        <f t="shared" si="2"/>
        <v>69336255</v>
      </c>
      <c r="AD11" s="297">
        <f t="shared" si="0"/>
        <v>8173745</v>
      </c>
      <c r="AE11" s="297">
        <v>0</v>
      </c>
      <c r="AF11" s="297">
        <v>0</v>
      </c>
      <c r="AG11" s="297">
        <v>0</v>
      </c>
      <c r="AH11" s="297">
        <v>0</v>
      </c>
      <c r="AI11" s="297">
        <v>0</v>
      </c>
      <c r="AJ11" s="297">
        <v>0</v>
      </c>
      <c r="AK11" s="297">
        <v>0</v>
      </c>
      <c r="AL11" s="297">
        <v>0</v>
      </c>
      <c r="AM11" s="297">
        <v>19739016</v>
      </c>
      <c r="AN11" s="297">
        <v>0</v>
      </c>
      <c r="AO11" s="297">
        <v>49597239</v>
      </c>
      <c r="AP11" s="297">
        <v>0</v>
      </c>
      <c r="AQ11" s="296"/>
      <c r="AR11" s="297">
        <f t="shared" si="1"/>
        <v>0</v>
      </c>
      <c r="AS11" s="313" t="s">
        <v>148</v>
      </c>
      <c r="AT11" s="313" t="s">
        <v>1464</v>
      </c>
      <c r="AU11" s="176" t="s">
        <v>138</v>
      </c>
    </row>
    <row r="12" spans="1:48" s="218" customFormat="1" ht="25.5" customHeight="1" outlineLevel="2">
      <c r="A12" s="215" t="s">
        <v>125</v>
      </c>
      <c r="B12" s="151">
        <v>31</v>
      </c>
      <c r="C12" s="151" t="s">
        <v>128</v>
      </c>
      <c r="D12" s="245" t="s">
        <v>139</v>
      </c>
      <c r="E12" s="151" t="s">
        <v>130</v>
      </c>
      <c r="F12" s="151" t="s">
        <v>140</v>
      </c>
      <c r="G12" s="151" t="s">
        <v>32</v>
      </c>
      <c r="H12" s="151" t="s">
        <v>32</v>
      </c>
      <c r="I12" s="256">
        <v>1</v>
      </c>
      <c r="J12" s="151" t="s">
        <v>80</v>
      </c>
      <c r="K12" s="176" t="s">
        <v>132</v>
      </c>
      <c r="L12" s="245">
        <v>30134836</v>
      </c>
      <c r="M12" s="855"/>
      <c r="N12" s="245" t="e">
        <v>#N/A</v>
      </c>
      <c r="O12" s="245" t="s">
        <v>155</v>
      </c>
      <c r="P12" s="257" t="s">
        <v>156</v>
      </c>
      <c r="Q12" s="176" t="s">
        <v>157</v>
      </c>
      <c r="R12" s="273"/>
      <c r="S12" s="274"/>
      <c r="T12" s="273"/>
      <c r="U12" s="273"/>
      <c r="V12" s="273"/>
      <c r="W12" s="273"/>
      <c r="X12" s="274"/>
      <c r="Y12" s="275">
        <v>3295526000</v>
      </c>
      <c r="Z12" s="275">
        <v>0</v>
      </c>
      <c r="AA12" s="296"/>
      <c r="AB12" s="297">
        <f>400000000+128510046</f>
        <v>528510046</v>
      </c>
      <c r="AC12" s="297">
        <f t="shared" si="2"/>
        <v>428516676</v>
      </c>
      <c r="AD12" s="297">
        <f t="shared" si="0"/>
        <v>99993370</v>
      </c>
      <c r="AE12" s="297">
        <v>0</v>
      </c>
      <c r="AF12" s="297">
        <v>0</v>
      </c>
      <c r="AG12" s="297">
        <v>0</v>
      </c>
      <c r="AH12" s="297">
        <v>0</v>
      </c>
      <c r="AI12" s="297">
        <v>0</v>
      </c>
      <c r="AJ12" s="297">
        <v>182582886</v>
      </c>
      <c r="AK12" s="297">
        <v>142177586</v>
      </c>
      <c r="AL12" s="297">
        <v>0</v>
      </c>
      <c r="AM12" s="297">
        <v>103756204</v>
      </c>
      <c r="AN12" s="297">
        <v>0</v>
      </c>
      <c r="AO12" s="297">
        <v>0</v>
      </c>
      <c r="AP12" s="297">
        <v>0</v>
      </c>
      <c r="AQ12" s="296"/>
      <c r="AR12" s="297">
        <f t="shared" si="1"/>
        <v>2767015954</v>
      </c>
      <c r="AS12" s="313" t="s">
        <v>137</v>
      </c>
      <c r="AT12" s="313" t="s">
        <v>137</v>
      </c>
      <c r="AU12" s="176" t="s">
        <v>138</v>
      </c>
    </row>
    <row r="13" spans="1:48" s="218" customFormat="1" ht="25.5" customHeight="1" outlineLevel="2">
      <c r="A13" s="215" t="s">
        <v>125</v>
      </c>
      <c r="B13" s="151">
        <v>31</v>
      </c>
      <c r="C13" s="151" t="s">
        <v>128</v>
      </c>
      <c r="D13" s="245" t="s">
        <v>159</v>
      </c>
      <c r="E13" s="151" t="s">
        <v>130</v>
      </c>
      <c r="F13" s="151" t="s">
        <v>140</v>
      </c>
      <c r="G13" s="151" t="s">
        <v>32</v>
      </c>
      <c r="H13" s="151" t="s">
        <v>32</v>
      </c>
      <c r="I13" s="256">
        <v>1</v>
      </c>
      <c r="J13" s="151" t="s">
        <v>80</v>
      </c>
      <c r="K13" s="176" t="s">
        <v>132</v>
      </c>
      <c r="L13" s="245">
        <v>40004690</v>
      </c>
      <c r="M13" s="855"/>
      <c r="N13" s="245" t="e">
        <v>#N/A</v>
      </c>
      <c r="O13" s="245" t="s">
        <v>160</v>
      </c>
      <c r="P13" s="257" t="s">
        <v>161</v>
      </c>
      <c r="Q13" s="176" t="s">
        <v>162</v>
      </c>
      <c r="R13" s="273" t="s">
        <v>163</v>
      </c>
      <c r="S13" s="274"/>
      <c r="T13" s="273"/>
      <c r="U13" s="273"/>
      <c r="V13" s="273"/>
      <c r="W13" s="273"/>
      <c r="X13" s="274"/>
      <c r="Y13" s="275">
        <v>1127041000</v>
      </c>
      <c r="Z13" s="275">
        <v>0</v>
      </c>
      <c r="AA13" s="296"/>
      <c r="AB13" s="297">
        <f>717041000-128510046</f>
        <v>588530954</v>
      </c>
      <c r="AC13" s="297">
        <f t="shared" si="2"/>
        <v>131911401</v>
      </c>
      <c r="AD13" s="297">
        <f t="shared" si="0"/>
        <v>456619553</v>
      </c>
      <c r="AE13" s="297">
        <v>0</v>
      </c>
      <c r="AF13" s="297">
        <v>0</v>
      </c>
      <c r="AG13" s="297">
        <v>0</v>
      </c>
      <c r="AH13" s="297">
        <v>0</v>
      </c>
      <c r="AI13" s="297">
        <v>0</v>
      </c>
      <c r="AJ13" s="297">
        <v>44638361</v>
      </c>
      <c r="AK13" s="297">
        <v>0</v>
      </c>
      <c r="AL13" s="297">
        <v>20426126</v>
      </c>
      <c r="AM13" s="297">
        <v>66846914</v>
      </c>
      <c r="AN13" s="297">
        <v>0</v>
      </c>
      <c r="AO13" s="297">
        <v>0</v>
      </c>
      <c r="AP13" s="297">
        <v>0</v>
      </c>
      <c r="AQ13" s="296"/>
      <c r="AR13" s="297">
        <f t="shared" si="1"/>
        <v>538510046</v>
      </c>
      <c r="AS13" s="313" t="s">
        <v>137</v>
      </c>
      <c r="AT13" s="313" t="s">
        <v>137</v>
      </c>
      <c r="AU13" s="176" t="s">
        <v>138</v>
      </c>
    </row>
    <row r="14" spans="1:48" s="218" customFormat="1" ht="25.5" customHeight="1" outlineLevel="2">
      <c r="A14" s="215" t="s">
        <v>125</v>
      </c>
      <c r="B14" s="151">
        <v>31</v>
      </c>
      <c r="C14" s="151" t="s">
        <v>128</v>
      </c>
      <c r="D14" s="245" t="s">
        <v>164</v>
      </c>
      <c r="E14" s="151" t="s">
        <v>130</v>
      </c>
      <c r="F14" s="151" t="s">
        <v>140</v>
      </c>
      <c r="G14" s="151" t="s">
        <v>32</v>
      </c>
      <c r="H14" s="151" t="s">
        <v>32</v>
      </c>
      <c r="I14" s="256">
        <v>1</v>
      </c>
      <c r="J14" s="151" t="s">
        <v>80</v>
      </c>
      <c r="K14" s="176" t="s">
        <v>132</v>
      </c>
      <c r="L14" s="245">
        <v>30087456</v>
      </c>
      <c r="M14" s="855"/>
      <c r="N14" s="245" t="s">
        <v>133</v>
      </c>
      <c r="O14" s="245" t="s">
        <v>165</v>
      </c>
      <c r="P14" s="257"/>
      <c r="Q14" s="176" t="s">
        <v>166</v>
      </c>
      <c r="R14" s="273" t="s">
        <v>167</v>
      </c>
      <c r="S14" s="274"/>
      <c r="T14" s="273"/>
      <c r="U14" s="273"/>
      <c r="V14" s="273"/>
      <c r="W14" s="273"/>
      <c r="X14" s="274"/>
      <c r="Y14" s="275">
        <f>+Z14+11610000</f>
        <v>621261710</v>
      </c>
      <c r="Z14" s="275">
        <v>609651710</v>
      </c>
      <c r="AA14" s="296"/>
      <c r="AB14" s="297">
        <v>5565145</v>
      </c>
      <c r="AC14" s="297">
        <f t="shared" si="2"/>
        <v>5565145</v>
      </c>
      <c r="AD14" s="297">
        <f t="shared" si="0"/>
        <v>0</v>
      </c>
      <c r="AE14" s="297"/>
      <c r="AF14" s="297"/>
      <c r="AG14" s="297"/>
      <c r="AH14" s="297"/>
      <c r="AI14" s="297"/>
      <c r="AJ14" s="297">
        <v>0</v>
      </c>
      <c r="AK14" s="297">
        <v>0</v>
      </c>
      <c r="AL14" s="297">
        <v>0</v>
      </c>
      <c r="AM14" s="297">
        <v>5565145</v>
      </c>
      <c r="AN14" s="297"/>
      <c r="AO14" s="297"/>
      <c r="AP14" s="297"/>
      <c r="AQ14" s="296"/>
      <c r="AR14" s="297">
        <f t="shared" si="1"/>
        <v>6044855</v>
      </c>
      <c r="AS14" s="313" t="s">
        <v>137</v>
      </c>
      <c r="AT14" s="313" t="s">
        <v>137</v>
      </c>
      <c r="AU14" s="176" t="s">
        <v>138</v>
      </c>
    </row>
    <row r="15" spans="1:48" s="218" customFormat="1" ht="25.5" customHeight="1" outlineLevel="2">
      <c r="A15" s="215" t="s">
        <v>125</v>
      </c>
      <c r="B15" s="151">
        <v>31</v>
      </c>
      <c r="C15" s="151" t="s">
        <v>128</v>
      </c>
      <c r="D15" s="245" t="s">
        <v>168</v>
      </c>
      <c r="E15" s="151" t="s">
        <v>169</v>
      </c>
      <c r="F15" s="151" t="s">
        <v>140</v>
      </c>
      <c r="G15" s="151" t="s">
        <v>32</v>
      </c>
      <c r="H15" s="151" t="s">
        <v>32</v>
      </c>
      <c r="I15" s="256">
        <v>1</v>
      </c>
      <c r="J15" s="151" t="s">
        <v>80</v>
      </c>
      <c r="K15" s="176" t="s">
        <v>132</v>
      </c>
      <c r="L15" s="245">
        <v>30257472</v>
      </c>
      <c r="M15" s="855"/>
      <c r="N15" s="245" t="e">
        <v>#N/A</v>
      </c>
      <c r="O15" s="245" t="s">
        <v>170</v>
      </c>
      <c r="P15" s="257" t="s">
        <v>171</v>
      </c>
      <c r="Q15" s="176" t="s">
        <v>172</v>
      </c>
      <c r="R15" s="273" t="s">
        <v>173</v>
      </c>
      <c r="S15" s="274"/>
      <c r="T15" s="273"/>
      <c r="U15" s="273"/>
      <c r="V15" s="273"/>
      <c r="W15" s="273"/>
      <c r="X15" s="274"/>
      <c r="Y15" s="275">
        <v>508482000</v>
      </c>
      <c r="Z15" s="275">
        <v>0</v>
      </c>
      <c r="AA15" s="296"/>
      <c r="AB15" s="297">
        <v>508482000</v>
      </c>
      <c r="AC15" s="297">
        <f t="shared" si="2"/>
        <v>19628868</v>
      </c>
      <c r="AD15" s="297">
        <f t="shared" si="0"/>
        <v>488853132</v>
      </c>
      <c r="AE15" s="297">
        <v>0</v>
      </c>
      <c r="AF15" s="297">
        <v>0</v>
      </c>
      <c r="AG15" s="297">
        <v>0</v>
      </c>
      <c r="AH15" s="297">
        <v>0</v>
      </c>
      <c r="AI15" s="297">
        <v>0</v>
      </c>
      <c r="AJ15" s="297">
        <v>0</v>
      </c>
      <c r="AK15" s="297">
        <v>0</v>
      </c>
      <c r="AL15" s="297">
        <v>0</v>
      </c>
      <c r="AM15" s="297">
        <v>19628868</v>
      </c>
      <c r="AN15" s="297">
        <v>0</v>
      </c>
      <c r="AO15" s="297">
        <v>0</v>
      </c>
      <c r="AP15" s="297">
        <v>0</v>
      </c>
      <c r="AQ15" s="296"/>
      <c r="AR15" s="297">
        <f t="shared" si="1"/>
        <v>0</v>
      </c>
      <c r="AS15" s="313" t="s">
        <v>137</v>
      </c>
      <c r="AT15" s="313" t="s">
        <v>137</v>
      </c>
      <c r="AU15" s="176" t="s">
        <v>138</v>
      </c>
    </row>
    <row r="16" spans="1:48" s="218" customFormat="1" ht="25.5" customHeight="1" outlineLevel="2">
      <c r="A16" s="215" t="s">
        <v>125</v>
      </c>
      <c r="B16" s="151">
        <v>31</v>
      </c>
      <c r="C16" s="151" t="s">
        <v>128</v>
      </c>
      <c r="D16" s="245" t="s">
        <v>164</v>
      </c>
      <c r="E16" s="151" t="s">
        <v>130</v>
      </c>
      <c r="F16" s="151" t="s">
        <v>140</v>
      </c>
      <c r="G16" s="151" t="s">
        <v>32</v>
      </c>
      <c r="H16" s="151" t="s">
        <v>32</v>
      </c>
      <c r="I16" s="256">
        <v>1</v>
      </c>
      <c r="J16" s="151" t="s">
        <v>80</v>
      </c>
      <c r="K16" s="176" t="s">
        <v>132</v>
      </c>
      <c r="L16" s="245">
        <v>30062818</v>
      </c>
      <c r="M16" s="855"/>
      <c r="N16" s="245" t="s">
        <v>133</v>
      </c>
      <c r="O16" s="245" t="s">
        <v>174</v>
      </c>
      <c r="P16" s="257"/>
      <c r="Q16" s="176" t="s">
        <v>175</v>
      </c>
      <c r="R16" s="273" t="s">
        <v>176</v>
      </c>
      <c r="S16" s="274"/>
      <c r="T16" s="273"/>
      <c r="U16" s="273"/>
      <c r="V16" s="273"/>
      <c r="W16" s="273"/>
      <c r="X16" s="274"/>
      <c r="Y16" s="275">
        <f>+Z16+75903494</f>
        <v>3289875729</v>
      </c>
      <c r="Z16" s="275">
        <v>3213972235</v>
      </c>
      <c r="AA16" s="296"/>
      <c r="AB16" s="297">
        <v>75903493</v>
      </c>
      <c r="AC16" s="297">
        <f t="shared" si="2"/>
        <v>0</v>
      </c>
      <c r="AD16" s="297">
        <f t="shared" si="0"/>
        <v>75903493</v>
      </c>
      <c r="AE16" s="297"/>
      <c r="AF16" s="297"/>
      <c r="AG16" s="297"/>
      <c r="AH16" s="297"/>
      <c r="AI16" s="297"/>
      <c r="AJ16" s="297">
        <v>0</v>
      </c>
      <c r="AK16" s="297">
        <v>0</v>
      </c>
      <c r="AL16" s="297">
        <v>0</v>
      </c>
      <c r="AM16" s="297">
        <v>0</v>
      </c>
      <c r="AN16" s="297"/>
      <c r="AO16" s="297"/>
      <c r="AP16" s="297"/>
      <c r="AQ16" s="296"/>
      <c r="AR16" s="297">
        <f t="shared" si="1"/>
        <v>1</v>
      </c>
      <c r="AS16" s="313" t="s">
        <v>137</v>
      </c>
      <c r="AT16" s="313" t="s">
        <v>137</v>
      </c>
      <c r="AU16" s="176" t="s">
        <v>138</v>
      </c>
    </row>
    <row r="17" spans="1:47" s="218" customFormat="1" ht="25.5" customHeight="1" outlineLevel="2">
      <c r="A17" s="215" t="s">
        <v>125</v>
      </c>
      <c r="B17" s="151">
        <v>31</v>
      </c>
      <c r="C17" s="151" t="s">
        <v>128</v>
      </c>
      <c r="D17" s="245" t="s">
        <v>164</v>
      </c>
      <c r="E17" s="151" t="s">
        <v>130</v>
      </c>
      <c r="F17" s="151" t="s">
        <v>140</v>
      </c>
      <c r="G17" s="151" t="s">
        <v>32</v>
      </c>
      <c r="H17" s="151" t="s">
        <v>32</v>
      </c>
      <c r="I17" s="256">
        <v>1</v>
      </c>
      <c r="J17" s="151" t="s">
        <v>80</v>
      </c>
      <c r="K17" s="176" t="s">
        <v>132</v>
      </c>
      <c r="L17" s="245">
        <v>30129384</v>
      </c>
      <c r="M17" s="855"/>
      <c r="N17" s="245" t="s">
        <v>133</v>
      </c>
      <c r="O17" s="245" t="s">
        <v>177</v>
      </c>
      <c r="P17" s="257"/>
      <c r="Q17" s="176" t="s">
        <v>178</v>
      </c>
      <c r="R17" s="273" t="s">
        <v>179</v>
      </c>
      <c r="S17" s="274"/>
      <c r="T17" s="273"/>
      <c r="U17" s="273"/>
      <c r="V17" s="273"/>
      <c r="W17" s="273"/>
      <c r="X17" s="274"/>
      <c r="Y17" s="275">
        <f>+Z17+21212047</f>
        <v>3654758972</v>
      </c>
      <c r="Z17" s="275">
        <v>3633546925</v>
      </c>
      <c r="AA17" s="296"/>
      <c r="AB17" s="297">
        <f>7039913+21212110-7039976</f>
        <v>21212047</v>
      </c>
      <c r="AC17" s="297">
        <f t="shared" si="2"/>
        <v>7039913</v>
      </c>
      <c r="AD17" s="297">
        <f t="shared" si="0"/>
        <v>14172134</v>
      </c>
      <c r="AE17" s="297"/>
      <c r="AF17" s="297"/>
      <c r="AG17" s="297"/>
      <c r="AH17" s="297"/>
      <c r="AI17" s="297"/>
      <c r="AJ17" s="297">
        <v>0</v>
      </c>
      <c r="AK17" s="297">
        <v>7039913</v>
      </c>
      <c r="AL17" s="297">
        <v>0</v>
      </c>
      <c r="AM17" s="297">
        <v>0</v>
      </c>
      <c r="AN17" s="297"/>
      <c r="AO17" s="297"/>
      <c r="AP17" s="297"/>
      <c r="AQ17" s="296"/>
      <c r="AR17" s="297">
        <f t="shared" si="1"/>
        <v>0</v>
      </c>
      <c r="AS17" s="313" t="s">
        <v>137</v>
      </c>
      <c r="AT17" s="313" t="s">
        <v>137</v>
      </c>
      <c r="AU17" s="176" t="s">
        <v>138</v>
      </c>
    </row>
    <row r="18" spans="1:47" s="218" customFormat="1" ht="25.5" customHeight="1" outlineLevel="2">
      <c r="A18" s="215" t="s">
        <v>125</v>
      </c>
      <c r="B18" s="151">
        <v>31</v>
      </c>
      <c r="C18" s="151" t="s">
        <v>128</v>
      </c>
      <c r="D18" s="245" t="s">
        <v>164</v>
      </c>
      <c r="E18" s="151" t="s">
        <v>130</v>
      </c>
      <c r="F18" s="151" t="s">
        <v>140</v>
      </c>
      <c r="G18" s="151" t="s">
        <v>32</v>
      </c>
      <c r="H18" s="151" t="s">
        <v>32</v>
      </c>
      <c r="I18" s="256">
        <v>1</v>
      </c>
      <c r="J18" s="151" t="s">
        <v>80</v>
      </c>
      <c r="K18" s="176" t="s">
        <v>132</v>
      </c>
      <c r="L18" s="245">
        <v>30470902</v>
      </c>
      <c r="M18" s="855"/>
      <c r="N18" s="245" t="s">
        <v>133</v>
      </c>
      <c r="O18" s="245" t="s">
        <v>180</v>
      </c>
      <c r="P18" s="257"/>
      <c r="Q18" s="176" t="s">
        <v>181</v>
      </c>
      <c r="R18" s="273" t="s">
        <v>182</v>
      </c>
      <c r="S18" s="274"/>
      <c r="T18" s="273"/>
      <c r="U18" s="273"/>
      <c r="V18" s="273"/>
      <c r="W18" s="273"/>
      <c r="X18" s="274"/>
      <c r="Y18" s="275">
        <f>+Z18+29766813</f>
        <v>103084163</v>
      </c>
      <c r="Z18" s="275">
        <v>73317350</v>
      </c>
      <c r="AA18" s="296"/>
      <c r="AB18" s="297">
        <v>29766813</v>
      </c>
      <c r="AC18" s="297">
        <f t="shared" si="2"/>
        <v>0</v>
      </c>
      <c r="AD18" s="297">
        <f t="shared" si="0"/>
        <v>29766813</v>
      </c>
      <c r="AE18" s="297"/>
      <c r="AF18" s="297"/>
      <c r="AG18" s="297"/>
      <c r="AH18" s="297"/>
      <c r="AI18" s="297"/>
      <c r="AJ18" s="297">
        <v>0</v>
      </c>
      <c r="AK18" s="297">
        <v>0</v>
      </c>
      <c r="AL18" s="297">
        <v>0</v>
      </c>
      <c r="AM18" s="297">
        <v>0</v>
      </c>
      <c r="AN18" s="297"/>
      <c r="AO18" s="297"/>
      <c r="AP18" s="297"/>
      <c r="AQ18" s="296"/>
      <c r="AR18" s="297">
        <f t="shared" si="1"/>
        <v>0</v>
      </c>
      <c r="AS18" s="313" t="s">
        <v>137</v>
      </c>
      <c r="AT18" s="313" t="s">
        <v>137</v>
      </c>
      <c r="AU18" s="176" t="s">
        <v>138</v>
      </c>
    </row>
    <row r="19" spans="1:47" s="218" customFormat="1" ht="25.5" customHeight="1" outlineLevel="2">
      <c r="A19" s="215" t="s">
        <v>125</v>
      </c>
      <c r="B19" s="191">
        <v>33</v>
      </c>
      <c r="C19" s="191" t="s">
        <v>128</v>
      </c>
      <c r="D19" s="246" t="s">
        <v>149</v>
      </c>
      <c r="E19" s="191" t="s">
        <v>130</v>
      </c>
      <c r="F19" s="191" t="s">
        <v>140</v>
      </c>
      <c r="G19" s="191" t="s">
        <v>32</v>
      </c>
      <c r="H19" s="191" t="s">
        <v>32</v>
      </c>
      <c r="I19" s="258">
        <v>1</v>
      </c>
      <c r="J19" s="191" t="s">
        <v>83</v>
      </c>
      <c r="K19" s="192" t="s">
        <v>132</v>
      </c>
      <c r="L19" s="246" t="s">
        <v>83</v>
      </c>
      <c r="M19" s="861" t="s">
        <v>1604</v>
      </c>
      <c r="N19" s="246"/>
      <c r="O19" s="245" t="s">
        <v>183</v>
      </c>
      <c r="P19" s="246"/>
      <c r="Q19" s="192" t="s">
        <v>184</v>
      </c>
      <c r="R19" s="276"/>
      <c r="S19" s="277"/>
      <c r="T19" s="276"/>
      <c r="U19" s="276"/>
      <c r="V19" s="276"/>
      <c r="W19" s="276"/>
      <c r="X19" s="277"/>
      <c r="Y19" s="194">
        <v>100000000</v>
      </c>
      <c r="Z19" s="194">
        <f>+FRIL!J12</f>
        <v>0</v>
      </c>
      <c r="AA19" s="298"/>
      <c r="AB19" s="299">
        <v>100000000</v>
      </c>
      <c r="AC19" s="299">
        <f t="shared" si="2"/>
        <v>0</v>
      </c>
      <c r="AD19" s="299">
        <f t="shared" si="0"/>
        <v>100000000</v>
      </c>
      <c r="AE19" s="299">
        <v>0</v>
      </c>
      <c r="AF19" s="299">
        <v>0</v>
      </c>
      <c r="AG19" s="299">
        <v>0</v>
      </c>
      <c r="AH19" s="299">
        <v>0</v>
      </c>
      <c r="AI19" s="299">
        <v>0</v>
      </c>
      <c r="AJ19" s="297">
        <v>0</v>
      </c>
      <c r="AK19" s="299">
        <v>0</v>
      </c>
      <c r="AL19" s="299">
        <v>0</v>
      </c>
      <c r="AM19" s="299">
        <v>0</v>
      </c>
      <c r="AN19" s="299">
        <v>0</v>
      </c>
      <c r="AO19" s="297">
        <v>0</v>
      </c>
      <c r="AP19" s="299">
        <v>0</v>
      </c>
      <c r="AQ19" s="298"/>
      <c r="AR19" s="299">
        <f t="shared" si="1"/>
        <v>0</v>
      </c>
      <c r="AS19" s="314" t="s">
        <v>185</v>
      </c>
      <c r="AT19" s="314" t="s">
        <v>83</v>
      </c>
      <c r="AU19" s="192" t="s">
        <v>138</v>
      </c>
    </row>
    <row r="20" spans="1:47" s="218" customFormat="1" ht="25.5" customHeight="1" outlineLevel="2">
      <c r="A20" s="215" t="s">
        <v>125</v>
      </c>
      <c r="B20" s="151">
        <v>33</v>
      </c>
      <c r="C20" s="151" t="s">
        <v>128</v>
      </c>
      <c r="D20" s="245" t="s">
        <v>149</v>
      </c>
      <c r="E20" s="151" t="s">
        <v>130</v>
      </c>
      <c r="F20" s="151" t="s">
        <v>140</v>
      </c>
      <c r="G20" s="151" t="s">
        <v>32</v>
      </c>
      <c r="H20" s="151" t="s">
        <v>32</v>
      </c>
      <c r="I20" s="256">
        <v>1</v>
      </c>
      <c r="J20" s="151" t="s">
        <v>83</v>
      </c>
      <c r="K20" s="176" t="s">
        <v>132</v>
      </c>
      <c r="L20" s="245" t="s">
        <v>83</v>
      </c>
      <c r="M20" s="855"/>
      <c r="N20" s="245"/>
      <c r="O20" s="245" t="s">
        <v>183</v>
      </c>
      <c r="P20" s="245"/>
      <c r="Q20" s="176" t="s">
        <v>186</v>
      </c>
      <c r="R20" s="273"/>
      <c r="S20" s="274"/>
      <c r="T20" s="273"/>
      <c r="U20" s="273"/>
      <c r="V20" s="273"/>
      <c r="W20" s="273"/>
      <c r="X20" s="274"/>
      <c r="Y20" s="275">
        <v>200000000</v>
      </c>
      <c r="Z20" s="275">
        <f>+FRIL!J13</f>
        <v>0</v>
      </c>
      <c r="AA20" s="296"/>
      <c r="AB20" s="297">
        <f>200000000+9472062</f>
        <v>209472062</v>
      </c>
      <c r="AC20" s="297">
        <f t="shared" si="2"/>
        <v>209472062</v>
      </c>
      <c r="AD20" s="297">
        <f t="shared" si="0"/>
        <v>0</v>
      </c>
      <c r="AE20" s="297">
        <v>0</v>
      </c>
      <c r="AF20" s="297">
        <v>0</v>
      </c>
      <c r="AG20" s="297">
        <v>0</v>
      </c>
      <c r="AH20" s="297">
        <v>0</v>
      </c>
      <c r="AI20" s="297">
        <v>0</v>
      </c>
      <c r="AJ20" s="297">
        <v>30866995</v>
      </c>
      <c r="AK20" s="297">
        <v>69416176</v>
      </c>
      <c r="AL20" s="297">
        <v>0</v>
      </c>
      <c r="AM20" s="297">
        <v>109188891</v>
      </c>
      <c r="AN20" s="297">
        <v>0</v>
      </c>
      <c r="AO20" s="297">
        <f>+FRIL!L13</f>
        <v>0</v>
      </c>
      <c r="AP20" s="297">
        <v>0</v>
      </c>
      <c r="AQ20" s="296"/>
      <c r="AR20" s="297">
        <f t="shared" si="1"/>
        <v>-9472062</v>
      </c>
      <c r="AS20" s="313" t="s">
        <v>185</v>
      </c>
      <c r="AT20" s="313" t="s">
        <v>83</v>
      </c>
      <c r="AU20" s="176" t="s">
        <v>138</v>
      </c>
    </row>
    <row r="21" spans="1:47" s="217" customFormat="1" ht="25.5" customHeight="1" outlineLevel="1">
      <c r="A21" s="215" t="s">
        <v>125</v>
      </c>
      <c r="B21" s="247"/>
      <c r="C21" s="247"/>
      <c r="D21" s="248"/>
      <c r="E21" s="249"/>
      <c r="F21" s="249"/>
      <c r="G21" s="249"/>
      <c r="H21" s="249"/>
      <c r="I21" s="249"/>
      <c r="J21" s="247"/>
      <c r="K21" s="259"/>
      <c r="L21" s="248"/>
      <c r="M21" s="248"/>
      <c r="N21" s="250"/>
      <c r="O21" s="250"/>
      <c r="P21" s="250"/>
      <c r="Q21" s="260" t="s">
        <v>187</v>
      </c>
      <c r="R21" s="278"/>
      <c r="S21" s="279"/>
      <c r="T21" s="279"/>
      <c r="U21" s="279"/>
      <c r="V21" s="279"/>
      <c r="W21" s="280"/>
      <c r="X21" s="281"/>
      <c r="Y21" s="282">
        <f>+Y7+Y8+Y9+Y19+Y20+Y10+Y11+Y16+Y14+Y17+Y18+Y12+Y13+Y15</f>
        <v>29125238574</v>
      </c>
      <c r="Z21" s="282">
        <f>+Z7+Z8+Z9+Z19+Z20+Z10+Z11+Z16+Z14+Z17+Z18+Z12+Z13+Z15</f>
        <v>13864577742</v>
      </c>
      <c r="AA21" s="300"/>
      <c r="AB21" s="282">
        <f t="shared" ref="AB21:AP21" si="3">+AB7+AB8+AB9+AB19+AB20+AB10+AB11+AB16+AB14+AB17+AB18+AB12+AB13+AB15</f>
        <v>5364187522</v>
      </c>
      <c r="AC21" s="282">
        <f t="shared" si="2"/>
        <v>2414239324</v>
      </c>
      <c r="AD21" s="282">
        <f>+AD7+AD8+AD9+AD19+AD20+AD10+AD11+AD16+AD14+AD17+AD18+AD12+AD13+AD15</f>
        <v>2949948198</v>
      </c>
      <c r="AE21" s="282">
        <f t="shared" si="3"/>
        <v>0</v>
      </c>
      <c r="AF21" s="282">
        <f t="shared" si="3"/>
        <v>0</v>
      </c>
      <c r="AG21" s="282">
        <f t="shared" si="3"/>
        <v>0</v>
      </c>
      <c r="AH21" s="282">
        <f t="shared" si="3"/>
        <v>0</v>
      </c>
      <c r="AI21" s="282">
        <f t="shared" si="3"/>
        <v>0</v>
      </c>
      <c r="AJ21" s="282">
        <v>515745999</v>
      </c>
      <c r="AK21" s="282">
        <f t="shared" si="3"/>
        <v>753655167</v>
      </c>
      <c r="AL21" s="282">
        <f t="shared" si="3"/>
        <v>237199358</v>
      </c>
      <c r="AM21" s="282">
        <f t="shared" si="3"/>
        <v>325836149</v>
      </c>
      <c r="AN21" s="282">
        <f t="shared" si="3"/>
        <v>262457136</v>
      </c>
      <c r="AO21" s="282">
        <f t="shared" si="3"/>
        <v>96501189</v>
      </c>
      <c r="AP21" s="282">
        <f t="shared" si="3"/>
        <v>222844326</v>
      </c>
      <c r="AQ21" s="287"/>
      <c r="AR21" s="286">
        <f t="shared" si="1"/>
        <v>9896473310</v>
      </c>
      <c r="AS21" s="315"/>
      <c r="AT21" s="315"/>
      <c r="AU21" s="220"/>
    </row>
    <row r="22" spans="1:47" s="216" customFormat="1" ht="18.75" customHeight="1" outlineLevel="1">
      <c r="A22" s="215" t="s">
        <v>125</v>
      </c>
      <c r="B22" s="249"/>
      <c r="C22" s="249"/>
      <c r="D22" s="250"/>
      <c r="E22" s="249"/>
      <c r="F22" s="249"/>
      <c r="G22" s="249"/>
      <c r="H22" s="249"/>
      <c r="I22" s="249"/>
      <c r="J22" s="249"/>
      <c r="K22" s="261"/>
      <c r="L22" s="250"/>
      <c r="M22" s="250"/>
      <c r="N22" s="250"/>
      <c r="O22" s="250"/>
      <c r="P22" s="250"/>
      <c r="Q22" s="115"/>
      <c r="R22" s="283"/>
      <c r="S22" s="283"/>
      <c r="T22" s="283"/>
      <c r="U22" s="283"/>
      <c r="V22" s="283"/>
      <c r="W22" s="283"/>
      <c r="X22" s="283"/>
      <c r="Y22" s="284"/>
      <c r="Z22" s="284"/>
      <c r="AA22" s="301"/>
      <c r="AB22" s="301"/>
      <c r="AC22" s="301"/>
      <c r="AD22" s="301"/>
      <c r="AE22" s="301"/>
      <c r="AF22" s="301"/>
      <c r="AG22" s="301"/>
      <c r="AH22" s="301"/>
      <c r="AI22" s="301"/>
      <c r="AJ22" s="305"/>
      <c r="AK22" s="305"/>
      <c r="AL22" s="301"/>
      <c r="AM22" s="301"/>
      <c r="AN22" s="301"/>
      <c r="AO22" s="301"/>
      <c r="AP22" s="301"/>
      <c r="AQ22" s="301"/>
      <c r="AR22" s="301"/>
      <c r="AS22" s="316"/>
      <c r="AT22" s="316"/>
      <c r="AU22" s="317"/>
    </row>
    <row r="23" spans="1:47" s="217" customFormat="1" ht="25.5" customHeight="1" outlineLevel="1">
      <c r="A23" s="215" t="s">
        <v>125</v>
      </c>
      <c r="B23" s="247"/>
      <c r="C23" s="247"/>
      <c r="D23" s="248"/>
      <c r="E23" s="249"/>
      <c r="F23" s="249"/>
      <c r="G23" s="249"/>
      <c r="H23" s="249"/>
      <c r="I23" s="249"/>
      <c r="J23" s="247"/>
      <c r="K23" s="259"/>
      <c r="L23" s="248"/>
      <c r="M23" s="248"/>
      <c r="N23" s="250"/>
      <c r="O23" s="250"/>
      <c r="P23" s="250"/>
      <c r="Q23" s="99" t="s">
        <v>188</v>
      </c>
      <c r="R23" s="283"/>
      <c r="S23" s="283"/>
      <c r="T23" s="283"/>
      <c r="U23" s="283"/>
      <c r="V23" s="283"/>
      <c r="W23" s="283"/>
      <c r="X23" s="283"/>
      <c r="Y23" s="285"/>
      <c r="Z23" s="285"/>
      <c r="AA23" s="302"/>
      <c r="AB23" s="302"/>
      <c r="AC23" s="302"/>
      <c r="AD23" s="302"/>
      <c r="AE23" s="302"/>
      <c r="AF23" s="302"/>
      <c r="AG23" s="302"/>
      <c r="AH23" s="301"/>
      <c r="AI23" s="301"/>
      <c r="AJ23" s="301"/>
      <c r="AK23" s="301"/>
      <c r="AL23" s="301"/>
      <c r="AM23" s="301"/>
      <c r="AN23" s="301"/>
      <c r="AO23" s="301"/>
      <c r="AP23" s="301"/>
      <c r="AQ23" s="302"/>
      <c r="AR23" s="302"/>
      <c r="AS23" s="315"/>
      <c r="AT23" s="315"/>
      <c r="AU23" s="220"/>
    </row>
    <row r="24" spans="1:47" s="218" customFormat="1" ht="25.5" customHeight="1" outlineLevel="2">
      <c r="A24" s="215" t="s">
        <v>125</v>
      </c>
      <c r="B24" s="151">
        <v>31</v>
      </c>
      <c r="C24" s="151" t="s">
        <v>128</v>
      </c>
      <c r="D24" s="245" t="s">
        <v>149</v>
      </c>
      <c r="E24" s="151" t="s">
        <v>130</v>
      </c>
      <c r="F24" s="151" t="s">
        <v>140</v>
      </c>
      <c r="G24" s="151" t="s">
        <v>32</v>
      </c>
      <c r="H24" s="151" t="s">
        <v>32</v>
      </c>
      <c r="I24" s="256">
        <v>1</v>
      </c>
      <c r="J24" s="151" t="s">
        <v>80</v>
      </c>
      <c r="K24" s="176" t="s">
        <v>132</v>
      </c>
      <c r="L24" s="245">
        <v>30463800</v>
      </c>
      <c r="M24" s="855"/>
      <c r="N24" s="245" t="e">
        <v>#N/A</v>
      </c>
      <c r="O24" s="245" t="s">
        <v>189</v>
      </c>
      <c r="P24" s="245"/>
      <c r="Q24" s="176" t="s">
        <v>1581</v>
      </c>
      <c r="R24" s="273"/>
      <c r="S24" s="274"/>
      <c r="T24" s="273"/>
      <c r="U24" s="273"/>
      <c r="V24" s="273"/>
      <c r="W24" s="273"/>
      <c r="X24" s="274"/>
      <c r="Y24" s="326">
        <v>4144186000</v>
      </c>
      <c r="Z24" s="275">
        <v>0</v>
      </c>
      <c r="AA24" s="296"/>
      <c r="AB24" s="297">
        <f>400000000-7039913-75903493-21212110+100000</f>
        <v>295944484</v>
      </c>
      <c r="AC24" s="297">
        <f t="shared" si="2"/>
        <v>0</v>
      </c>
      <c r="AD24" s="297">
        <f t="shared" ref="AD24:AD26" si="4">+AB24-AC24</f>
        <v>295944484</v>
      </c>
      <c r="AE24" s="297">
        <v>0</v>
      </c>
      <c r="AF24" s="297">
        <v>0</v>
      </c>
      <c r="AG24" s="297">
        <v>0</v>
      </c>
      <c r="AH24" s="297">
        <v>0</v>
      </c>
      <c r="AI24" s="297">
        <v>0</v>
      </c>
      <c r="AJ24" s="297">
        <v>0</v>
      </c>
      <c r="AK24" s="297">
        <v>0</v>
      </c>
      <c r="AL24" s="297">
        <v>0</v>
      </c>
      <c r="AM24" s="297">
        <v>0</v>
      </c>
      <c r="AN24" s="297">
        <v>0</v>
      </c>
      <c r="AO24" s="297">
        <v>0</v>
      </c>
      <c r="AP24" s="297">
        <v>0</v>
      </c>
      <c r="AQ24" s="296"/>
      <c r="AR24" s="297">
        <f t="shared" ref="AR24:AR27" si="5">+Y24-Z24-AC24-AD24</f>
        <v>3848241516</v>
      </c>
      <c r="AS24" s="313" t="s">
        <v>137</v>
      </c>
      <c r="AT24" s="313" t="s">
        <v>137</v>
      </c>
      <c r="AU24" s="176" t="s">
        <v>190</v>
      </c>
    </row>
    <row r="25" spans="1:47" s="218" customFormat="1" ht="25.5" customHeight="1" outlineLevel="2">
      <c r="A25" s="215" t="s">
        <v>125</v>
      </c>
      <c r="B25" s="151">
        <v>31</v>
      </c>
      <c r="C25" s="151" t="s">
        <v>128</v>
      </c>
      <c r="D25" s="245" t="s">
        <v>129</v>
      </c>
      <c r="E25" s="151" t="s">
        <v>130</v>
      </c>
      <c r="F25" s="151" t="s">
        <v>140</v>
      </c>
      <c r="G25" s="151" t="s">
        <v>32</v>
      </c>
      <c r="H25" s="151" t="s">
        <v>32</v>
      </c>
      <c r="I25" s="256">
        <v>1</v>
      </c>
      <c r="J25" s="151" t="s">
        <v>80</v>
      </c>
      <c r="K25" s="176" t="s">
        <v>132</v>
      </c>
      <c r="L25" s="245">
        <v>30123182</v>
      </c>
      <c r="M25" s="855" t="s">
        <v>1608</v>
      </c>
      <c r="N25" s="245" t="e">
        <v>#N/A</v>
      </c>
      <c r="O25" s="245" t="s">
        <v>191</v>
      </c>
      <c r="P25" s="257" t="s">
        <v>192</v>
      </c>
      <c r="Q25" s="176" t="s">
        <v>193</v>
      </c>
      <c r="R25" s="273" t="s">
        <v>194</v>
      </c>
      <c r="S25" s="274"/>
      <c r="T25" s="273"/>
      <c r="U25" s="273" t="s">
        <v>1553</v>
      </c>
      <c r="V25" s="273">
        <v>5554317000</v>
      </c>
      <c r="W25" s="273"/>
      <c r="X25" s="274"/>
      <c r="Y25" s="275">
        <v>5579270000</v>
      </c>
      <c r="Z25" s="275">
        <v>0</v>
      </c>
      <c r="AA25" s="296"/>
      <c r="AB25" s="297">
        <v>500000000</v>
      </c>
      <c r="AC25" s="297">
        <f t="shared" si="2"/>
        <v>0</v>
      </c>
      <c r="AD25" s="297">
        <f t="shared" si="4"/>
        <v>500000000</v>
      </c>
      <c r="AE25" s="297">
        <v>0</v>
      </c>
      <c r="AF25" s="297">
        <v>0</v>
      </c>
      <c r="AG25" s="297">
        <v>0</v>
      </c>
      <c r="AH25" s="297">
        <v>0</v>
      </c>
      <c r="AI25" s="297">
        <v>0</v>
      </c>
      <c r="AJ25" s="297">
        <v>0</v>
      </c>
      <c r="AK25" s="297">
        <v>0</v>
      </c>
      <c r="AL25" s="297">
        <v>0</v>
      </c>
      <c r="AM25" s="297">
        <v>0</v>
      </c>
      <c r="AN25" s="297">
        <v>0</v>
      </c>
      <c r="AO25" s="297">
        <v>0</v>
      </c>
      <c r="AP25" s="297">
        <v>0</v>
      </c>
      <c r="AQ25" s="296"/>
      <c r="AR25" s="297">
        <f t="shared" si="5"/>
        <v>5079270000</v>
      </c>
      <c r="AS25" s="313" t="s">
        <v>137</v>
      </c>
      <c r="AT25" s="313" t="s">
        <v>137</v>
      </c>
      <c r="AU25" s="176" t="s">
        <v>158</v>
      </c>
    </row>
    <row r="26" spans="1:47" s="218" customFormat="1" ht="25.5" customHeight="1" outlineLevel="2">
      <c r="A26" s="215" t="s">
        <v>125</v>
      </c>
      <c r="B26" s="151">
        <v>31</v>
      </c>
      <c r="C26" s="151" t="s">
        <v>196</v>
      </c>
      <c r="D26" s="245" t="s">
        <v>129</v>
      </c>
      <c r="E26" s="151" t="s">
        <v>130</v>
      </c>
      <c r="F26" s="151" t="s">
        <v>140</v>
      </c>
      <c r="G26" s="151" t="s">
        <v>32</v>
      </c>
      <c r="H26" s="151" t="s">
        <v>32</v>
      </c>
      <c r="I26" s="256">
        <v>1</v>
      </c>
      <c r="J26" s="151" t="s">
        <v>80</v>
      </c>
      <c r="K26" s="176" t="s">
        <v>132</v>
      </c>
      <c r="L26" s="245">
        <v>40019022</v>
      </c>
      <c r="M26" s="855"/>
      <c r="N26" s="245" t="e">
        <v>#N/A</v>
      </c>
      <c r="O26" s="245" t="s">
        <v>197</v>
      </c>
      <c r="P26" s="257"/>
      <c r="Q26" s="262" t="s">
        <v>198</v>
      </c>
      <c r="R26" s="273" t="s">
        <v>199</v>
      </c>
      <c r="S26" s="274"/>
      <c r="T26" s="273"/>
      <c r="U26" s="273"/>
      <c r="V26" s="273"/>
      <c r="W26" s="273"/>
      <c r="X26" s="274"/>
      <c r="Y26" s="275">
        <v>519400000</v>
      </c>
      <c r="Z26" s="275">
        <v>0</v>
      </c>
      <c r="AA26" s="296"/>
      <c r="AB26" s="297">
        <v>80000000</v>
      </c>
      <c r="AC26" s="297">
        <f t="shared" si="2"/>
        <v>0</v>
      </c>
      <c r="AD26" s="297">
        <f t="shared" si="4"/>
        <v>80000000</v>
      </c>
      <c r="AE26" s="297">
        <v>0</v>
      </c>
      <c r="AF26" s="297">
        <v>0</v>
      </c>
      <c r="AG26" s="297">
        <v>0</v>
      </c>
      <c r="AH26" s="297">
        <v>0</v>
      </c>
      <c r="AI26" s="297">
        <v>0</v>
      </c>
      <c r="AJ26" s="297">
        <v>0</v>
      </c>
      <c r="AK26" s="297">
        <v>0</v>
      </c>
      <c r="AL26" s="297">
        <v>0</v>
      </c>
      <c r="AM26" s="297">
        <v>0</v>
      </c>
      <c r="AN26" s="297">
        <v>0</v>
      </c>
      <c r="AO26" s="297">
        <v>0</v>
      </c>
      <c r="AP26" s="297">
        <v>0</v>
      </c>
      <c r="AQ26" s="296"/>
      <c r="AR26" s="297">
        <f t="shared" si="5"/>
        <v>439400000</v>
      </c>
      <c r="AS26" s="313" t="s">
        <v>137</v>
      </c>
      <c r="AT26" s="313" t="s">
        <v>137</v>
      </c>
      <c r="AU26" s="176" t="s">
        <v>200</v>
      </c>
    </row>
    <row r="27" spans="1:47" s="217" customFormat="1" ht="25.5" customHeight="1" outlineLevel="1">
      <c r="A27" s="215" t="s">
        <v>125</v>
      </c>
      <c r="B27" s="247"/>
      <c r="C27" s="247"/>
      <c r="D27" s="248"/>
      <c r="E27" s="249"/>
      <c r="F27" s="249"/>
      <c r="G27" s="249"/>
      <c r="H27" s="249"/>
      <c r="I27" s="249"/>
      <c r="J27" s="247"/>
      <c r="K27" s="259"/>
      <c r="L27" s="248"/>
      <c r="M27" s="248"/>
      <c r="N27" s="250"/>
      <c r="O27" s="250"/>
      <c r="P27" s="250"/>
      <c r="Q27" s="260" t="s">
        <v>201</v>
      </c>
      <c r="R27" s="278"/>
      <c r="S27" s="279"/>
      <c r="T27" s="279"/>
      <c r="U27" s="279"/>
      <c r="V27" s="279"/>
      <c r="W27" s="279"/>
      <c r="X27" s="281"/>
      <c r="Y27" s="286">
        <f>SUM(Y24:Y26)</f>
        <v>10242856000</v>
      </c>
      <c r="Z27" s="286">
        <f t="shared" ref="Z27:AP27" si="6">SUM(Z24:Z26)</f>
        <v>0</v>
      </c>
      <c r="AA27" s="303"/>
      <c r="AB27" s="286">
        <f t="shared" si="6"/>
        <v>875944484</v>
      </c>
      <c r="AC27" s="286">
        <f t="shared" si="2"/>
        <v>0</v>
      </c>
      <c r="AD27" s="286">
        <f t="shared" si="6"/>
        <v>875944484</v>
      </c>
      <c r="AE27" s="286">
        <f t="shared" si="6"/>
        <v>0</v>
      </c>
      <c r="AF27" s="286">
        <f t="shared" si="6"/>
        <v>0</v>
      </c>
      <c r="AG27" s="286">
        <f t="shared" si="6"/>
        <v>0</v>
      </c>
      <c r="AH27" s="286">
        <f t="shared" si="6"/>
        <v>0</v>
      </c>
      <c r="AI27" s="286">
        <f t="shared" si="6"/>
        <v>0</v>
      </c>
      <c r="AJ27" s="286">
        <v>0</v>
      </c>
      <c r="AK27" s="286">
        <f t="shared" si="6"/>
        <v>0</v>
      </c>
      <c r="AL27" s="286">
        <f t="shared" si="6"/>
        <v>0</v>
      </c>
      <c r="AM27" s="286">
        <f t="shared" si="6"/>
        <v>0</v>
      </c>
      <c r="AN27" s="286">
        <f t="shared" si="6"/>
        <v>0</v>
      </c>
      <c r="AO27" s="286">
        <f t="shared" si="6"/>
        <v>0</v>
      </c>
      <c r="AP27" s="286">
        <f t="shared" si="6"/>
        <v>0</v>
      </c>
      <c r="AQ27" s="287"/>
      <c r="AR27" s="286">
        <f t="shared" si="5"/>
        <v>9366911516</v>
      </c>
      <c r="AS27" s="315"/>
      <c r="AT27" s="315"/>
      <c r="AU27" s="220"/>
    </row>
    <row r="28" spans="1:47" ht="18.75" customHeight="1" outlineLevel="1">
      <c r="A28" s="215" t="s">
        <v>125</v>
      </c>
      <c r="B28" s="249"/>
      <c r="C28" s="249"/>
      <c r="D28" s="250"/>
      <c r="E28" s="249"/>
      <c r="F28" s="249"/>
      <c r="G28" s="249"/>
      <c r="H28" s="249"/>
      <c r="I28" s="249"/>
      <c r="J28" s="249"/>
      <c r="K28" s="261"/>
      <c r="L28" s="250"/>
      <c r="M28" s="250"/>
      <c r="N28" s="250"/>
      <c r="O28" s="250"/>
      <c r="P28" s="250"/>
      <c r="Q28" s="261"/>
      <c r="R28" s="283"/>
      <c r="S28" s="283"/>
      <c r="T28" s="283"/>
      <c r="U28" s="283"/>
      <c r="V28" s="283"/>
      <c r="W28" s="283"/>
      <c r="X28" s="283"/>
      <c r="Y28" s="284"/>
      <c r="Z28" s="284"/>
      <c r="AA28" s="301"/>
      <c r="AB28" s="301"/>
      <c r="AC28" s="301"/>
      <c r="AD28" s="301"/>
      <c r="AE28" s="301"/>
      <c r="AF28" s="301"/>
      <c r="AG28" s="301"/>
      <c r="AH28" s="301"/>
      <c r="AI28" s="301"/>
      <c r="AJ28" s="301"/>
      <c r="AK28" s="301"/>
      <c r="AL28" s="301"/>
      <c r="AM28" s="301"/>
      <c r="AN28" s="301"/>
      <c r="AO28" s="301"/>
      <c r="AP28" s="301"/>
      <c r="AQ28" s="301"/>
      <c r="AR28" s="301"/>
      <c r="AS28" s="316"/>
      <c r="AT28" s="316"/>
      <c r="AU28" s="317"/>
    </row>
    <row r="29" spans="1:47" s="219" customFormat="1" ht="25.5" customHeight="1" outlineLevel="1">
      <c r="A29" s="215" t="s">
        <v>125</v>
      </c>
      <c r="B29" s="251"/>
      <c r="C29" s="251"/>
      <c r="D29" s="252"/>
      <c r="E29" s="251"/>
      <c r="F29" s="251"/>
      <c r="G29" s="251"/>
      <c r="H29" s="251"/>
      <c r="I29" s="251"/>
      <c r="J29" s="251"/>
      <c r="K29" s="263"/>
      <c r="L29" s="252"/>
      <c r="M29" s="252"/>
      <c r="N29" s="252"/>
      <c r="O29" s="252"/>
      <c r="P29" s="252"/>
      <c r="Q29" s="117" t="s">
        <v>210</v>
      </c>
      <c r="R29" s="288"/>
      <c r="S29" s="289"/>
      <c r="T29" s="289"/>
      <c r="U29" s="289"/>
      <c r="V29" s="289"/>
      <c r="W29" s="289"/>
      <c r="X29" s="290"/>
      <c r="Y29" s="118">
        <f>+Y21+Y27</f>
        <v>39368094574</v>
      </c>
      <c r="Z29" s="118">
        <f>+Z21+Z27</f>
        <v>13864577742</v>
      </c>
      <c r="AA29" s="304"/>
      <c r="AB29" s="118">
        <f t="shared" ref="AB29:AP29" si="7">+AB21+AB27</f>
        <v>6240132006</v>
      </c>
      <c r="AC29" s="118">
        <f t="shared" si="7"/>
        <v>2414239324</v>
      </c>
      <c r="AD29" s="118">
        <f t="shared" si="7"/>
        <v>3825892682</v>
      </c>
      <c r="AE29" s="118">
        <f t="shared" si="7"/>
        <v>0</v>
      </c>
      <c r="AF29" s="118">
        <f t="shared" si="7"/>
        <v>0</v>
      </c>
      <c r="AG29" s="118">
        <f t="shared" si="7"/>
        <v>0</v>
      </c>
      <c r="AH29" s="118">
        <f t="shared" si="7"/>
        <v>0</v>
      </c>
      <c r="AI29" s="118">
        <f t="shared" si="7"/>
        <v>0</v>
      </c>
      <c r="AJ29" s="118">
        <v>515745999</v>
      </c>
      <c r="AK29" s="118">
        <f t="shared" si="7"/>
        <v>753655167</v>
      </c>
      <c r="AL29" s="118">
        <f t="shared" si="7"/>
        <v>237199358</v>
      </c>
      <c r="AM29" s="118">
        <f t="shared" si="7"/>
        <v>325836149</v>
      </c>
      <c r="AN29" s="118">
        <f t="shared" si="7"/>
        <v>262457136</v>
      </c>
      <c r="AO29" s="118">
        <f t="shared" si="7"/>
        <v>96501189</v>
      </c>
      <c r="AP29" s="118">
        <f t="shared" si="7"/>
        <v>222844326</v>
      </c>
      <c r="AQ29" s="318"/>
      <c r="AR29" s="118">
        <f>+Y29-Z29-AC29-AD29</f>
        <v>19263384826</v>
      </c>
      <c r="AS29" s="319"/>
      <c r="AT29" s="319"/>
      <c r="AU29" s="320"/>
    </row>
    <row r="30" spans="1:47" ht="18.75" customHeight="1" outlineLevel="1">
      <c r="A30" s="215" t="s">
        <v>125</v>
      </c>
      <c r="B30" s="249"/>
      <c r="C30" s="249"/>
      <c r="D30" s="250"/>
      <c r="E30" s="249"/>
      <c r="F30" s="249"/>
      <c r="G30" s="249"/>
      <c r="H30" s="249"/>
      <c r="I30" s="249"/>
      <c r="J30" s="249"/>
      <c r="K30" s="261"/>
      <c r="L30" s="250"/>
      <c r="M30" s="250"/>
      <c r="N30" s="250"/>
      <c r="O30" s="250"/>
      <c r="P30" s="250"/>
      <c r="Q30" s="261"/>
      <c r="R30" s="283"/>
      <c r="S30" s="283"/>
      <c r="T30" s="283"/>
      <c r="U30" s="283"/>
      <c r="V30" s="283"/>
      <c r="W30" s="283"/>
      <c r="X30" s="283"/>
      <c r="Y30" s="284"/>
      <c r="Z30" s="284"/>
      <c r="AA30" s="301"/>
      <c r="AB30" s="301"/>
      <c r="AC30" s="301"/>
      <c r="AD30" s="301"/>
      <c r="AE30" s="301"/>
      <c r="AF30" s="301"/>
      <c r="AG30" s="301"/>
      <c r="AH30" s="301"/>
      <c r="AI30" s="301"/>
      <c r="AJ30" s="301"/>
      <c r="AK30" s="301"/>
      <c r="AL30" s="301"/>
      <c r="AM30" s="301"/>
      <c r="AN30" s="301"/>
      <c r="AO30" s="301"/>
      <c r="AP30" s="301"/>
      <c r="AQ30" s="301"/>
      <c r="AR30" s="301"/>
      <c r="AS30" s="316"/>
      <c r="AT30" s="316"/>
      <c r="AU30" s="317"/>
    </row>
    <row r="31" spans="1:47" ht="26.25" customHeight="1" outlineLevel="1">
      <c r="A31" s="215" t="s">
        <v>125</v>
      </c>
      <c r="B31" s="249"/>
      <c r="C31" s="249"/>
      <c r="D31" s="250"/>
      <c r="E31" s="249"/>
      <c r="F31" s="249"/>
      <c r="G31" s="249"/>
      <c r="H31" s="249"/>
      <c r="I31" s="249"/>
      <c r="J31" s="249"/>
      <c r="K31" s="261"/>
      <c r="L31" s="250"/>
      <c r="M31" s="250"/>
      <c r="N31" s="250"/>
      <c r="O31" s="250"/>
      <c r="P31" s="250"/>
      <c r="Q31" s="264" t="s">
        <v>211</v>
      </c>
      <c r="R31" s="283"/>
      <c r="S31" s="283"/>
      <c r="T31" s="283"/>
      <c r="U31" s="283"/>
      <c r="V31" s="283"/>
      <c r="W31" s="283"/>
      <c r="X31" s="283"/>
      <c r="Y31" s="284"/>
      <c r="Z31" s="284"/>
      <c r="AA31" s="301"/>
      <c r="AB31" s="301"/>
      <c r="AC31" s="301"/>
      <c r="AD31" s="301"/>
      <c r="AE31" s="301"/>
      <c r="AF31" s="301"/>
      <c r="AG31" s="301"/>
      <c r="AH31" s="301"/>
      <c r="AI31" s="301"/>
      <c r="AJ31" s="301"/>
      <c r="AK31" s="301"/>
      <c r="AL31" s="301"/>
      <c r="AM31" s="301"/>
      <c r="AN31" s="301"/>
      <c r="AO31" s="301"/>
      <c r="AP31" s="301"/>
      <c r="AQ31" s="301"/>
      <c r="AR31" s="301"/>
      <c r="AS31" s="316"/>
      <c r="AT31" s="316"/>
      <c r="AU31" s="317"/>
    </row>
    <row r="32" spans="1:47" s="216" customFormat="1" ht="15" customHeight="1" outlineLevel="1">
      <c r="A32" s="215" t="s">
        <v>125</v>
      </c>
      <c r="B32" s="249"/>
      <c r="C32" s="249"/>
      <c r="D32" s="250"/>
      <c r="E32" s="249"/>
      <c r="F32" s="249"/>
      <c r="G32" s="249"/>
      <c r="H32" s="249"/>
      <c r="I32" s="249"/>
      <c r="J32" s="249"/>
      <c r="K32" s="261"/>
      <c r="L32" s="250"/>
      <c r="M32" s="250"/>
      <c r="N32" s="250"/>
      <c r="O32" s="250"/>
      <c r="P32" s="250"/>
      <c r="Q32" s="255"/>
      <c r="R32" s="283"/>
      <c r="S32" s="283"/>
      <c r="T32" s="283"/>
      <c r="U32" s="283"/>
      <c r="V32" s="283"/>
      <c r="W32" s="283"/>
      <c r="X32" s="283"/>
      <c r="Y32" s="284"/>
      <c r="Z32" s="284"/>
      <c r="AA32" s="301"/>
      <c r="AB32" s="301"/>
      <c r="AC32" s="301"/>
      <c r="AD32" s="301"/>
      <c r="AE32" s="301"/>
      <c r="AF32" s="301"/>
      <c r="AG32" s="301"/>
      <c r="AH32" s="301"/>
      <c r="AI32" s="301"/>
      <c r="AJ32" s="301"/>
      <c r="AK32" s="301"/>
      <c r="AL32" s="301"/>
      <c r="AM32" s="301"/>
      <c r="AN32" s="301"/>
      <c r="AO32" s="301"/>
      <c r="AP32" s="301"/>
      <c r="AQ32" s="301"/>
      <c r="AR32" s="301"/>
      <c r="AS32" s="316"/>
      <c r="AT32" s="316"/>
      <c r="AU32" s="317"/>
    </row>
    <row r="33" spans="1:49" s="217" customFormat="1" ht="25.5" customHeight="1" outlineLevel="1">
      <c r="A33" s="215" t="s">
        <v>125</v>
      </c>
      <c r="B33" s="247"/>
      <c r="C33" s="247"/>
      <c r="D33" s="248"/>
      <c r="E33" s="249"/>
      <c r="F33" s="249"/>
      <c r="G33" s="249"/>
      <c r="H33" s="249"/>
      <c r="I33" s="249"/>
      <c r="J33" s="247"/>
      <c r="K33" s="259"/>
      <c r="L33" s="248"/>
      <c r="M33" s="248"/>
      <c r="N33" s="250"/>
      <c r="O33" s="250"/>
      <c r="P33" s="250"/>
      <c r="Q33" s="99" t="s">
        <v>127</v>
      </c>
      <c r="R33" s="283"/>
      <c r="S33" s="283"/>
      <c r="T33" s="283"/>
      <c r="U33" s="283"/>
      <c r="V33" s="283"/>
      <c r="W33" s="283"/>
      <c r="X33" s="283"/>
      <c r="Y33" s="285"/>
      <c r="Z33" s="285"/>
      <c r="AA33" s="302"/>
      <c r="AB33" s="302"/>
      <c r="AC33" s="302"/>
      <c r="AD33" s="302"/>
      <c r="AE33" s="302"/>
      <c r="AF33" s="302"/>
      <c r="AG33" s="302"/>
      <c r="AH33" s="301"/>
      <c r="AI33" s="301"/>
      <c r="AJ33" s="301"/>
      <c r="AK33" s="301"/>
      <c r="AL33" s="301"/>
      <c r="AM33" s="301"/>
      <c r="AN33" s="301"/>
      <c r="AO33" s="301"/>
      <c r="AP33" s="301"/>
      <c r="AQ33" s="302"/>
      <c r="AR33" s="302"/>
      <c r="AS33" s="315"/>
      <c r="AT33" s="315"/>
      <c r="AU33" s="220"/>
    </row>
    <row r="34" spans="1:49" s="218" customFormat="1" ht="25.5" customHeight="1" outlineLevel="2">
      <c r="A34" s="215" t="s">
        <v>125</v>
      </c>
      <c r="B34" s="151">
        <v>31</v>
      </c>
      <c r="C34" s="151" t="s">
        <v>128</v>
      </c>
      <c r="D34" s="245" t="s">
        <v>164</v>
      </c>
      <c r="E34" s="151" t="s">
        <v>169</v>
      </c>
      <c r="F34" s="151" t="s">
        <v>140</v>
      </c>
      <c r="G34" s="151" t="s">
        <v>32</v>
      </c>
      <c r="H34" s="151" t="s">
        <v>41</v>
      </c>
      <c r="I34" s="256">
        <v>2</v>
      </c>
      <c r="J34" s="151" t="s">
        <v>80</v>
      </c>
      <c r="K34" s="176" t="s">
        <v>202</v>
      </c>
      <c r="L34" s="245">
        <v>30412923</v>
      </c>
      <c r="M34" s="855"/>
      <c r="N34" s="245" t="s">
        <v>133</v>
      </c>
      <c r="O34" s="245" t="s">
        <v>212</v>
      </c>
      <c r="P34" s="245"/>
      <c r="Q34" s="176" t="s">
        <v>213</v>
      </c>
      <c r="R34" s="273"/>
      <c r="S34" s="274"/>
      <c r="T34" s="273"/>
      <c r="U34" s="273"/>
      <c r="V34" s="273"/>
      <c r="W34" s="273"/>
      <c r="X34" s="274"/>
      <c r="Y34" s="275">
        <v>19780000</v>
      </c>
      <c r="Z34" s="275">
        <v>7512000</v>
      </c>
      <c r="AA34" s="296"/>
      <c r="AB34" s="297">
        <v>12268000</v>
      </c>
      <c r="AC34" s="297">
        <f t="shared" si="2"/>
        <v>0</v>
      </c>
      <c r="AD34" s="297">
        <f t="shared" ref="AD34:AD39" si="8">+AB34-AC34</f>
        <v>12268000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7">
        <v>0</v>
      </c>
      <c r="AO34" s="297">
        <v>0</v>
      </c>
      <c r="AP34" s="297">
        <v>0</v>
      </c>
      <c r="AQ34" s="296"/>
      <c r="AR34" s="297">
        <f t="shared" ref="AR34:AR39" si="9">+Y34-Z34-AC34-AD34</f>
        <v>0</v>
      </c>
      <c r="AS34" s="313" t="s">
        <v>137</v>
      </c>
      <c r="AT34" s="313" t="s">
        <v>137</v>
      </c>
      <c r="AU34" s="176" t="s">
        <v>214</v>
      </c>
    </row>
    <row r="35" spans="1:49" s="218" customFormat="1" ht="25.5" customHeight="1" outlineLevel="2">
      <c r="A35" s="215" t="s">
        <v>125</v>
      </c>
      <c r="B35" s="151">
        <v>31</v>
      </c>
      <c r="C35" s="151" t="s">
        <v>128</v>
      </c>
      <c r="D35" s="245" t="s">
        <v>139</v>
      </c>
      <c r="E35" s="151" t="s">
        <v>169</v>
      </c>
      <c r="F35" s="151" t="s">
        <v>140</v>
      </c>
      <c r="G35" s="151" t="s">
        <v>32</v>
      </c>
      <c r="H35" s="151" t="s">
        <v>41</v>
      </c>
      <c r="I35" s="256">
        <v>2</v>
      </c>
      <c r="J35" s="151" t="s">
        <v>85</v>
      </c>
      <c r="K35" s="176" t="s">
        <v>132</v>
      </c>
      <c r="L35" s="245">
        <v>30478036</v>
      </c>
      <c r="M35" s="855"/>
      <c r="N35" s="245" t="e">
        <v>#N/A</v>
      </c>
      <c r="O35" s="245" t="s">
        <v>215</v>
      </c>
      <c r="P35" s="257" t="s">
        <v>216</v>
      </c>
      <c r="Q35" s="176" t="s">
        <v>217</v>
      </c>
      <c r="R35" s="273" t="s">
        <v>218</v>
      </c>
      <c r="S35" s="274"/>
      <c r="T35" s="273"/>
      <c r="U35" s="273"/>
      <c r="V35" s="273"/>
      <c r="W35" s="273"/>
      <c r="X35" s="274"/>
      <c r="Y35" s="275">
        <v>1262109000</v>
      </c>
      <c r="Z35" s="275">
        <v>0</v>
      </c>
      <c r="AA35" s="296"/>
      <c r="AB35" s="297">
        <f>862109000+152596415-3332590-500691339-3966186+59346538</f>
        <v>566061838</v>
      </c>
      <c r="AC35" s="297">
        <f t="shared" si="2"/>
        <v>566061838</v>
      </c>
      <c r="AD35" s="297">
        <f t="shared" si="8"/>
        <v>0</v>
      </c>
      <c r="AE35" s="297">
        <v>0</v>
      </c>
      <c r="AF35" s="297">
        <v>0</v>
      </c>
      <c r="AG35" s="297">
        <v>0</v>
      </c>
      <c r="AH35" s="297">
        <v>0</v>
      </c>
      <c r="AI35" s="297">
        <v>0</v>
      </c>
      <c r="AJ35" s="297">
        <v>230229291</v>
      </c>
      <c r="AK35" s="297">
        <v>0</v>
      </c>
      <c r="AL35" s="297">
        <v>117327599</v>
      </c>
      <c r="AM35" s="297">
        <v>0</v>
      </c>
      <c r="AN35" s="297">
        <v>143857420</v>
      </c>
      <c r="AO35" s="297">
        <v>32277284</v>
      </c>
      <c r="AP35" s="297">
        <v>42370244</v>
      </c>
      <c r="AQ35" s="296"/>
      <c r="AR35" s="297">
        <f t="shared" si="9"/>
        <v>696047162</v>
      </c>
      <c r="AS35" s="313" t="s">
        <v>137</v>
      </c>
      <c r="AT35" s="313" t="s">
        <v>137</v>
      </c>
      <c r="AU35" s="176" t="s">
        <v>138</v>
      </c>
    </row>
    <row r="36" spans="1:49" s="218" customFormat="1" ht="25.5" customHeight="1" outlineLevel="2">
      <c r="A36" s="215" t="s">
        <v>125</v>
      </c>
      <c r="B36" s="151">
        <v>29</v>
      </c>
      <c r="C36" s="151" t="s">
        <v>128</v>
      </c>
      <c r="D36" s="245" t="s">
        <v>149</v>
      </c>
      <c r="E36" s="151" t="s">
        <v>169</v>
      </c>
      <c r="F36" s="151" t="s">
        <v>140</v>
      </c>
      <c r="G36" s="151" t="s">
        <v>32</v>
      </c>
      <c r="H36" s="151" t="s">
        <v>41</v>
      </c>
      <c r="I36" s="256">
        <v>2</v>
      </c>
      <c r="J36" s="151" t="s">
        <v>80</v>
      </c>
      <c r="K36" s="176" t="s">
        <v>132</v>
      </c>
      <c r="L36" s="245">
        <v>30362030</v>
      </c>
      <c r="M36" s="855"/>
      <c r="N36" s="245"/>
      <c r="O36" s="245" t="s">
        <v>219</v>
      </c>
      <c r="P36" s="257"/>
      <c r="Q36" s="176" t="s">
        <v>220</v>
      </c>
      <c r="R36" s="273"/>
      <c r="S36" s="274"/>
      <c r="T36" s="273"/>
      <c r="U36" s="273"/>
      <c r="V36" s="273"/>
      <c r="W36" s="273"/>
      <c r="X36" s="274"/>
      <c r="Y36" s="275">
        <v>47124000</v>
      </c>
      <c r="Z36" s="275">
        <v>0</v>
      </c>
      <c r="AA36" s="296"/>
      <c r="AB36" s="297">
        <f>17007052+19397458</f>
        <v>36404510</v>
      </c>
      <c r="AC36" s="297">
        <f t="shared" si="2"/>
        <v>17007052</v>
      </c>
      <c r="AD36" s="297">
        <f t="shared" si="8"/>
        <v>19397458</v>
      </c>
      <c r="AE36" s="297"/>
      <c r="AF36" s="297"/>
      <c r="AG36" s="297"/>
      <c r="AH36" s="297"/>
      <c r="AI36" s="297"/>
      <c r="AJ36" s="297">
        <v>0</v>
      </c>
      <c r="AK36" s="297">
        <v>0</v>
      </c>
      <c r="AL36" s="297">
        <v>0</v>
      </c>
      <c r="AM36" s="297">
        <v>0</v>
      </c>
      <c r="AN36" s="297">
        <v>17007052</v>
      </c>
      <c r="AO36" s="297">
        <v>0</v>
      </c>
      <c r="AP36" s="297">
        <v>0</v>
      </c>
      <c r="AQ36" s="296"/>
      <c r="AR36" s="297">
        <f t="shared" si="9"/>
        <v>10719490</v>
      </c>
      <c r="AS36" s="313" t="s">
        <v>148</v>
      </c>
      <c r="AT36" s="313" t="s">
        <v>1464</v>
      </c>
      <c r="AU36" s="176" t="s">
        <v>138</v>
      </c>
    </row>
    <row r="37" spans="1:49" s="218" customFormat="1" ht="25.5" customHeight="1" outlineLevel="2">
      <c r="A37" s="215" t="s">
        <v>125</v>
      </c>
      <c r="B37" s="151">
        <v>31</v>
      </c>
      <c r="C37" s="151" t="s">
        <v>128</v>
      </c>
      <c r="D37" s="245" t="s">
        <v>129</v>
      </c>
      <c r="E37" s="151" t="s">
        <v>169</v>
      </c>
      <c r="F37" s="151" t="s">
        <v>140</v>
      </c>
      <c r="G37" s="151" t="s">
        <v>32</v>
      </c>
      <c r="H37" s="151" t="s">
        <v>41</v>
      </c>
      <c r="I37" s="256">
        <v>2</v>
      </c>
      <c r="J37" s="151" t="s">
        <v>81</v>
      </c>
      <c r="K37" s="176" t="s">
        <v>132</v>
      </c>
      <c r="L37" s="245">
        <v>40008506</v>
      </c>
      <c r="M37" s="855"/>
      <c r="N37" s="245" t="e">
        <v>#N/A</v>
      </c>
      <c r="O37" s="245" t="s">
        <v>221</v>
      </c>
      <c r="P37" s="257" t="s">
        <v>222</v>
      </c>
      <c r="Q37" s="176" t="s">
        <v>1626</v>
      </c>
      <c r="R37" s="273" t="s">
        <v>1627</v>
      </c>
      <c r="S37" s="274"/>
      <c r="T37" s="273"/>
      <c r="U37" s="273"/>
      <c r="V37" s="273"/>
      <c r="W37" s="273"/>
      <c r="X37" s="274"/>
      <c r="Y37" s="326">
        <v>525553000</v>
      </c>
      <c r="Z37" s="275">
        <v>0</v>
      </c>
      <c r="AA37" s="296"/>
      <c r="AB37" s="297">
        <v>522153000</v>
      </c>
      <c r="AC37" s="297">
        <f t="shared" si="2"/>
        <v>441005926</v>
      </c>
      <c r="AD37" s="297">
        <f t="shared" si="8"/>
        <v>81147074</v>
      </c>
      <c r="AE37" s="297">
        <v>0</v>
      </c>
      <c r="AF37" s="297">
        <v>0</v>
      </c>
      <c r="AG37" s="297">
        <v>0</v>
      </c>
      <c r="AH37" s="297">
        <v>0</v>
      </c>
      <c r="AI37" s="297">
        <v>0</v>
      </c>
      <c r="AJ37" s="297">
        <v>181999954</v>
      </c>
      <c r="AK37" s="297">
        <v>0</v>
      </c>
      <c r="AL37" s="297">
        <v>76487317</v>
      </c>
      <c r="AM37" s="297">
        <v>53359322</v>
      </c>
      <c r="AN37" s="297">
        <v>127159333</v>
      </c>
      <c r="AO37" s="297">
        <v>2000000</v>
      </c>
      <c r="AP37" s="297">
        <v>0</v>
      </c>
      <c r="AQ37" s="296"/>
      <c r="AR37" s="297">
        <f t="shared" si="9"/>
        <v>3400000</v>
      </c>
      <c r="AS37" s="313" t="s">
        <v>148</v>
      </c>
      <c r="AT37" s="313" t="s">
        <v>1464</v>
      </c>
      <c r="AU37" s="176" t="s">
        <v>138</v>
      </c>
    </row>
    <row r="38" spans="1:49" s="218" customFormat="1" ht="25.5" customHeight="1" outlineLevel="2">
      <c r="A38" s="215" t="s">
        <v>125</v>
      </c>
      <c r="B38" s="191">
        <v>33</v>
      </c>
      <c r="C38" s="191" t="s">
        <v>128</v>
      </c>
      <c r="D38" s="246" t="s">
        <v>149</v>
      </c>
      <c r="E38" s="191" t="s">
        <v>130</v>
      </c>
      <c r="F38" s="191" t="s">
        <v>140</v>
      </c>
      <c r="G38" s="191" t="s">
        <v>32</v>
      </c>
      <c r="H38" s="191" t="s">
        <v>41</v>
      </c>
      <c r="I38" s="258">
        <v>2</v>
      </c>
      <c r="J38" s="191" t="s">
        <v>83</v>
      </c>
      <c r="K38" s="192" t="s">
        <v>132</v>
      </c>
      <c r="L38" s="246" t="s">
        <v>83</v>
      </c>
      <c r="M38" s="861" t="s">
        <v>1604</v>
      </c>
      <c r="N38" s="246"/>
      <c r="O38" s="245" t="s">
        <v>183</v>
      </c>
      <c r="P38" s="246"/>
      <c r="Q38" s="192" t="s">
        <v>184</v>
      </c>
      <c r="R38" s="276"/>
      <c r="S38" s="277"/>
      <c r="T38" s="276"/>
      <c r="U38" s="276"/>
      <c r="V38" s="276"/>
      <c r="W38" s="276"/>
      <c r="X38" s="277"/>
      <c r="Y38" s="194">
        <v>100000000</v>
      </c>
      <c r="Z38" s="194">
        <v>0</v>
      </c>
      <c r="AA38" s="298"/>
      <c r="AB38" s="299">
        <v>100000000</v>
      </c>
      <c r="AC38" s="299">
        <f t="shared" si="2"/>
        <v>0</v>
      </c>
      <c r="AD38" s="299">
        <f t="shared" si="8"/>
        <v>100000000</v>
      </c>
      <c r="AE38" s="299">
        <v>0</v>
      </c>
      <c r="AF38" s="299">
        <v>0</v>
      </c>
      <c r="AG38" s="299">
        <v>0</v>
      </c>
      <c r="AH38" s="299">
        <v>0</v>
      </c>
      <c r="AI38" s="299">
        <v>0</v>
      </c>
      <c r="AJ38" s="297">
        <v>0</v>
      </c>
      <c r="AK38" s="299">
        <v>0</v>
      </c>
      <c r="AL38" s="299">
        <v>0</v>
      </c>
      <c r="AM38" s="299">
        <v>0</v>
      </c>
      <c r="AN38" s="299">
        <v>0</v>
      </c>
      <c r="AO38" s="297">
        <v>0</v>
      </c>
      <c r="AP38" s="299">
        <v>0</v>
      </c>
      <c r="AQ38" s="298"/>
      <c r="AR38" s="299">
        <f t="shared" si="9"/>
        <v>0</v>
      </c>
      <c r="AS38" s="314" t="s">
        <v>185</v>
      </c>
      <c r="AT38" s="314" t="s">
        <v>83</v>
      </c>
      <c r="AU38" s="192" t="s">
        <v>138</v>
      </c>
    </row>
    <row r="39" spans="1:49" s="218" customFormat="1" ht="25.5" customHeight="1" outlineLevel="2">
      <c r="A39" s="215" t="s">
        <v>125</v>
      </c>
      <c r="B39" s="151">
        <v>33</v>
      </c>
      <c r="C39" s="151" t="s">
        <v>128</v>
      </c>
      <c r="D39" s="245" t="s">
        <v>149</v>
      </c>
      <c r="E39" s="151" t="s">
        <v>130</v>
      </c>
      <c r="F39" s="151" t="s">
        <v>140</v>
      </c>
      <c r="G39" s="151" t="s">
        <v>32</v>
      </c>
      <c r="H39" s="151" t="s">
        <v>41</v>
      </c>
      <c r="I39" s="256">
        <v>2</v>
      </c>
      <c r="J39" s="151" t="s">
        <v>83</v>
      </c>
      <c r="K39" s="176" t="s">
        <v>132</v>
      </c>
      <c r="L39" s="245" t="s">
        <v>83</v>
      </c>
      <c r="M39" s="855"/>
      <c r="N39" s="245"/>
      <c r="O39" s="245" t="s">
        <v>183</v>
      </c>
      <c r="P39" s="245"/>
      <c r="Q39" s="176" t="s">
        <v>186</v>
      </c>
      <c r="R39" s="273"/>
      <c r="S39" s="274"/>
      <c r="T39" s="273"/>
      <c r="U39" s="273"/>
      <c r="V39" s="273"/>
      <c r="W39" s="273"/>
      <c r="X39" s="274"/>
      <c r="Y39" s="275">
        <v>200000000</v>
      </c>
      <c r="Z39" s="275">
        <f>+FRIL!J54</f>
        <v>0</v>
      </c>
      <c r="AA39" s="296"/>
      <c r="AB39" s="297">
        <v>200000000</v>
      </c>
      <c r="AC39" s="297">
        <f t="shared" si="2"/>
        <v>63176346</v>
      </c>
      <c r="AD39" s="297">
        <f t="shared" si="8"/>
        <v>136823654</v>
      </c>
      <c r="AE39" s="297">
        <v>0</v>
      </c>
      <c r="AF39" s="297">
        <v>0</v>
      </c>
      <c r="AG39" s="297">
        <v>0</v>
      </c>
      <c r="AH39" s="297">
        <v>0</v>
      </c>
      <c r="AI39" s="297">
        <v>0</v>
      </c>
      <c r="AJ39" s="297">
        <v>0</v>
      </c>
      <c r="AK39" s="297">
        <v>0</v>
      </c>
      <c r="AL39" s="297">
        <v>0</v>
      </c>
      <c r="AM39" s="297">
        <v>63176346</v>
      </c>
      <c r="AN39" s="297">
        <v>0</v>
      </c>
      <c r="AO39" s="297">
        <f>+FRIL!L23</f>
        <v>0</v>
      </c>
      <c r="AP39" s="297">
        <v>0</v>
      </c>
      <c r="AQ39" s="296"/>
      <c r="AR39" s="297">
        <f t="shared" si="9"/>
        <v>0</v>
      </c>
      <c r="AS39" s="313" t="s">
        <v>185</v>
      </c>
      <c r="AT39" s="313" t="s">
        <v>83</v>
      </c>
      <c r="AU39" s="176" t="s">
        <v>138</v>
      </c>
    </row>
    <row r="40" spans="1:49" s="217" customFormat="1" ht="25.5" customHeight="1" outlineLevel="1">
      <c r="A40" s="215" t="s">
        <v>125</v>
      </c>
      <c r="B40" s="247"/>
      <c r="C40" s="247"/>
      <c r="D40" s="248"/>
      <c r="E40" s="249"/>
      <c r="F40" s="249"/>
      <c r="G40" s="249"/>
      <c r="H40" s="249"/>
      <c r="I40" s="249"/>
      <c r="J40" s="247"/>
      <c r="K40" s="259"/>
      <c r="L40" s="248"/>
      <c r="M40" s="248"/>
      <c r="N40" s="250"/>
      <c r="O40" s="250"/>
      <c r="P40" s="250"/>
      <c r="Q40" s="260" t="s">
        <v>187</v>
      </c>
      <c r="R40" s="278"/>
      <c r="S40" s="279"/>
      <c r="T40" s="279"/>
      <c r="U40" s="279"/>
      <c r="V40" s="279"/>
      <c r="W40" s="279"/>
      <c r="X40" s="281"/>
      <c r="Y40" s="286">
        <f>+Y34+Y35+Y38+Y39+Y36+Y37</f>
        <v>2154566000</v>
      </c>
      <c r="Z40" s="286">
        <f t="shared" ref="Z40:AP40" si="10">+Z34+Z35+Z38+Z39+Z36+Z37</f>
        <v>7512000</v>
      </c>
      <c r="AA40" s="303"/>
      <c r="AB40" s="286">
        <f t="shared" ref="AB40" si="11">+AB34+AB35+AB38+AB39+AB36+AB37</f>
        <v>1436887348</v>
      </c>
      <c r="AC40" s="286">
        <f t="shared" si="2"/>
        <v>1087251162</v>
      </c>
      <c r="AD40" s="286">
        <f t="shared" si="10"/>
        <v>349636186</v>
      </c>
      <c r="AE40" s="286">
        <f t="shared" si="10"/>
        <v>0</v>
      </c>
      <c r="AF40" s="286">
        <f t="shared" si="10"/>
        <v>0</v>
      </c>
      <c r="AG40" s="286">
        <f t="shared" si="10"/>
        <v>0</v>
      </c>
      <c r="AH40" s="286">
        <f t="shared" si="10"/>
        <v>0</v>
      </c>
      <c r="AI40" s="286">
        <f t="shared" si="10"/>
        <v>0</v>
      </c>
      <c r="AJ40" s="286">
        <v>412229245</v>
      </c>
      <c r="AK40" s="286">
        <f t="shared" si="10"/>
        <v>0</v>
      </c>
      <c r="AL40" s="286">
        <f t="shared" si="10"/>
        <v>193814916</v>
      </c>
      <c r="AM40" s="286">
        <f t="shared" si="10"/>
        <v>116535668</v>
      </c>
      <c r="AN40" s="286">
        <f t="shared" si="10"/>
        <v>288023805</v>
      </c>
      <c r="AO40" s="286">
        <f t="shared" si="10"/>
        <v>34277284</v>
      </c>
      <c r="AP40" s="286">
        <f t="shared" si="10"/>
        <v>42370244</v>
      </c>
      <c r="AQ40" s="287"/>
      <c r="AR40" s="286">
        <f t="shared" ref="AR40" si="12">+AR34+AR35+AR38+AR39+AR36+AR37</f>
        <v>710166652</v>
      </c>
      <c r="AS40" s="315"/>
      <c r="AT40" s="315"/>
      <c r="AU40" s="220"/>
    </row>
    <row r="41" spans="1:49" ht="18.75" customHeight="1" outlineLevel="1">
      <c r="A41" s="215" t="s">
        <v>125</v>
      </c>
      <c r="B41" s="249"/>
      <c r="C41" s="249"/>
      <c r="D41" s="250"/>
      <c r="E41" s="249"/>
      <c r="F41" s="249"/>
      <c r="G41" s="249"/>
      <c r="H41" s="249"/>
      <c r="I41" s="249"/>
      <c r="J41" s="249"/>
      <c r="K41" s="261"/>
      <c r="L41" s="250"/>
      <c r="M41" s="250"/>
      <c r="N41" s="250"/>
      <c r="O41" s="250"/>
      <c r="P41" s="250"/>
      <c r="Q41" s="115"/>
      <c r="R41" s="279"/>
      <c r="S41" s="279"/>
      <c r="T41" s="279"/>
      <c r="U41" s="279"/>
      <c r="V41" s="279"/>
      <c r="W41" s="279"/>
      <c r="X41" s="279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316"/>
      <c r="AT41" s="316"/>
      <c r="AU41" s="317"/>
    </row>
    <row r="42" spans="1:49" s="217" customFormat="1" ht="25.5" customHeight="1" outlineLevel="1">
      <c r="A42" s="215" t="s">
        <v>125</v>
      </c>
      <c r="B42" s="247"/>
      <c r="C42" s="247"/>
      <c r="D42" s="248"/>
      <c r="E42" s="249"/>
      <c r="F42" s="249"/>
      <c r="G42" s="249"/>
      <c r="H42" s="249"/>
      <c r="I42" s="249"/>
      <c r="J42" s="247"/>
      <c r="K42" s="259"/>
      <c r="L42" s="248"/>
      <c r="M42" s="248"/>
      <c r="N42" s="250"/>
      <c r="O42" s="250"/>
      <c r="P42" s="250"/>
      <c r="Q42" s="99" t="s">
        <v>188</v>
      </c>
      <c r="R42" s="283"/>
      <c r="S42" s="283"/>
      <c r="T42" s="283"/>
      <c r="U42" s="283"/>
      <c r="V42" s="283"/>
      <c r="W42" s="283"/>
      <c r="X42" s="283"/>
      <c r="Y42" s="285"/>
      <c r="Z42" s="285"/>
      <c r="AA42" s="302"/>
      <c r="AB42" s="302"/>
      <c r="AC42" s="302"/>
      <c r="AD42" s="302"/>
      <c r="AE42" s="302"/>
      <c r="AF42" s="302"/>
      <c r="AG42" s="302"/>
      <c r="AH42" s="301"/>
      <c r="AI42" s="301"/>
      <c r="AJ42" s="301"/>
      <c r="AK42" s="301"/>
      <c r="AL42" s="301"/>
      <c r="AM42" s="301"/>
      <c r="AN42" s="301"/>
      <c r="AO42" s="301"/>
      <c r="AP42" s="301"/>
      <c r="AQ42" s="302"/>
      <c r="AR42" s="302"/>
      <c r="AS42" s="315"/>
      <c r="AT42" s="315"/>
      <c r="AU42" s="220"/>
    </row>
    <row r="43" spans="1:49" s="218" customFormat="1" ht="25.5" customHeight="1" outlineLevel="2">
      <c r="A43" s="215" t="s">
        <v>125</v>
      </c>
      <c r="B43" s="151">
        <v>31</v>
      </c>
      <c r="C43" s="151" t="s">
        <v>196</v>
      </c>
      <c r="D43" s="245" t="s">
        <v>129</v>
      </c>
      <c r="E43" s="151" t="s">
        <v>169</v>
      </c>
      <c r="F43" s="151" t="s">
        <v>131</v>
      </c>
      <c r="G43" s="151" t="s">
        <v>32</v>
      </c>
      <c r="H43" s="151" t="s">
        <v>41</v>
      </c>
      <c r="I43" s="256">
        <v>2</v>
      </c>
      <c r="J43" s="151" t="s">
        <v>81</v>
      </c>
      <c r="K43" s="176" t="s">
        <v>132</v>
      </c>
      <c r="L43" s="245">
        <v>40013401</v>
      </c>
      <c r="M43" s="855"/>
      <c r="N43" s="245" t="s">
        <v>145</v>
      </c>
      <c r="O43" s="245" t="s">
        <v>223</v>
      </c>
      <c r="P43" s="257"/>
      <c r="Q43" s="176" t="s">
        <v>224</v>
      </c>
      <c r="R43" s="273" t="s">
        <v>225</v>
      </c>
      <c r="S43" s="274"/>
      <c r="T43" s="273"/>
      <c r="U43" s="273" t="s">
        <v>1537</v>
      </c>
      <c r="V43" s="273">
        <v>460788000</v>
      </c>
      <c r="W43" s="273"/>
      <c r="X43" s="274"/>
      <c r="Y43" s="275">
        <v>449112000</v>
      </c>
      <c r="Z43" s="275">
        <v>0</v>
      </c>
      <c r="AA43" s="296"/>
      <c r="AB43" s="297">
        <f>300000000-15431272</f>
        <v>284568728</v>
      </c>
      <c r="AC43" s="297">
        <f t="shared" si="2"/>
        <v>0</v>
      </c>
      <c r="AD43" s="297">
        <f>+AB43-AC43</f>
        <v>284568728</v>
      </c>
      <c r="AE43" s="297">
        <v>0</v>
      </c>
      <c r="AF43" s="297">
        <v>0</v>
      </c>
      <c r="AG43" s="297">
        <v>0</v>
      </c>
      <c r="AH43" s="297">
        <v>0</v>
      </c>
      <c r="AI43" s="297">
        <v>0</v>
      </c>
      <c r="AJ43" s="297">
        <v>0</v>
      </c>
      <c r="AK43" s="297">
        <v>0</v>
      </c>
      <c r="AL43" s="297">
        <v>0</v>
      </c>
      <c r="AM43" s="297">
        <v>0</v>
      </c>
      <c r="AN43" s="297">
        <v>0</v>
      </c>
      <c r="AO43" s="297">
        <v>0</v>
      </c>
      <c r="AP43" s="297">
        <v>0</v>
      </c>
      <c r="AQ43" s="296"/>
      <c r="AR43" s="297">
        <f>+Y43-Z43-AC43-AD43</f>
        <v>164543272</v>
      </c>
      <c r="AS43" s="313" t="s">
        <v>148</v>
      </c>
      <c r="AT43" s="313" t="s">
        <v>1464</v>
      </c>
      <c r="AU43" s="176" t="s">
        <v>195</v>
      </c>
      <c r="AW43" s="218" t="s">
        <v>226</v>
      </c>
    </row>
    <row r="44" spans="1:49" s="218" customFormat="1" ht="25.5" customHeight="1" outlineLevel="2">
      <c r="A44" s="215" t="s">
        <v>125</v>
      </c>
      <c r="B44" s="151">
        <v>29</v>
      </c>
      <c r="C44" s="151" t="s">
        <v>196</v>
      </c>
      <c r="D44" s="245" t="s">
        <v>149</v>
      </c>
      <c r="E44" s="151" t="s">
        <v>130</v>
      </c>
      <c r="F44" s="151" t="s">
        <v>140</v>
      </c>
      <c r="G44" s="151" t="s">
        <v>32</v>
      </c>
      <c r="H44" s="151" t="s">
        <v>41</v>
      </c>
      <c r="I44" s="256">
        <v>2</v>
      </c>
      <c r="J44" s="151" t="s">
        <v>80</v>
      </c>
      <c r="K44" s="176" t="s">
        <v>132</v>
      </c>
      <c r="L44" s="245">
        <v>40018079</v>
      </c>
      <c r="M44" s="855"/>
      <c r="N44" s="245"/>
      <c r="O44" s="245" t="s">
        <v>227</v>
      </c>
      <c r="P44" s="257"/>
      <c r="Q44" s="176" t="s">
        <v>228</v>
      </c>
      <c r="R44" s="273"/>
      <c r="S44" s="274"/>
      <c r="T44" s="273"/>
      <c r="U44" s="273"/>
      <c r="V44" s="273"/>
      <c r="W44" s="273"/>
      <c r="X44" s="274"/>
      <c r="Y44" s="275">
        <v>300000000</v>
      </c>
      <c r="Z44" s="275">
        <v>0</v>
      </c>
      <c r="AA44" s="296"/>
      <c r="AB44" s="297">
        <v>300000000</v>
      </c>
      <c r="AC44" s="297">
        <f t="shared" si="2"/>
        <v>0</v>
      </c>
      <c r="AD44" s="297">
        <f t="shared" ref="AD44" si="13">+AB44-AC44</f>
        <v>300000000</v>
      </c>
      <c r="AE44" s="297">
        <v>0</v>
      </c>
      <c r="AF44" s="297">
        <v>0</v>
      </c>
      <c r="AG44" s="297">
        <v>0</v>
      </c>
      <c r="AH44" s="297">
        <v>0</v>
      </c>
      <c r="AI44" s="297">
        <v>0</v>
      </c>
      <c r="AJ44" s="297">
        <v>0</v>
      </c>
      <c r="AK44" s="297">
        <v>0</v>
      </c>
      <c r="AL44" s="297">
        <v>0</v>
      </c>
      <c r="AM44" s="297">
        <v>0</v>
      </c>
      <c r="AN44" s="297">
        <v>0</v>
      </c>
      <c r="AO44" s="297">
        <v>0</v>
      </c>
      <c r="AP44" s="297">
        <v>0</v>
      </c>
      <c r="AQ44" s="296"/>
      <c r="AR44" s="297">
        <f t="shared" ref="AR44:AR45" si="14">+Y44-Z44-AC44-AD44</f>
        <v>0</v>
      </c>
      <c r="AS44" s="313" t="s">
        <v>148</v>
      </c>
      <c r="AT44" s="313" t="s">
        <v>1464</v>
      </c>
      <c r="AU44" s="176" t="s">
        <v>200</v>
      </c>
    </row>
    <row r="45" spans="1:49" s="217" customFormat="1" ht="25.5" customHeight="1" outlineLevel="1">
      <c r="A45" s="215" t="s">
        <v>125</v>
      </c>
      <c r="B45" s="247"/>
      <c r="C45" s="247"/>
      <c r="D45" s="248"/>
      <c r="E45" s="249"/>
      <c r="F45" s="249"/>
      <c r="G45" s="249"/>
      <c r="H45" s="249"/>
      <c r="I45" s="249"/>
      <c r="J45" s="247"/>
      <c r="K45" s="259"/>
      <c r="L45" s="248"/>
      <c r="M45" s="248"/>
      <c r="N45" s="250"/>
      <c r="O45" s="250"/>
      <c r="P45" s="250"/>
      <c r="Q45" s="260" t="s">
        <v>201</v>
      </c>
      <c r="R45" s="278"/>
      <c r="S45" s="279"/>
      <c r="T45" s="279"/>
      <c r="U45" s="279"/>
      <c r="V45" s="279"/>
      <c r="W45" s="279"/>
      <c r="X45" s="281"/>
      <c r="Y45" s="286">
        <f>SUBTOTAL(9,Y43:Y44)</f>
        <v>749112000</v>
      </c>
      <c r="Z45" s="286">
        <f>SUBTOTAL(9,Z43:Z44)</f>
        <v>0</v>
      </c>
      <c r="AA45" s="303"/>
      <c r="AB45" s="286">
        <f>SUM(AB43:AB44)</f>
        <v>584568728</v>
      </c>
      <c r="AC45" s="286">
        <f>SUM(AC43:AC44)</f>
        <v>0</v>
      </c>
      <c r="AD45" s="286">
        <f>SUM(AD43:AD44)</f>
        <v>584568728</v>
      </c>
      <c r="AE45" s="286">
        <f t="shared" ref="AE45:AP45" si="15">SUBTOTAL(9,AE43:AE44)</f>
        <v>0</v>
      </c>
      <c r="AF45" s="286">
        <f t="shared" si="15"/>
        <v>0</v>
      </c>
      <c r="AG45" s="286">
        <f t="shared" si="15"/>
        <v>0</v>
      </c>
      <c r="AH45" s="286">
        <f t="shared" si="15"/>
        <v>0</v>
      </c>
      <c r="AI45" s="286">
        <f t="shared" si="15"/>
        <v>0</v>
      </c>
      <c r="AJ45" s="286">
        <v>0</v>
      </c>
      <c r="AK45" s="286">
        <f t="shared" si="15"/>
        <v>0</v>
      </c>
      <c r="AL45" s="286">
        <f t="shared" si="15"/>
        <v>0</v>
      </c>
      <c r="AM45" s="286">
        <f t="shared" si="15"/>
        <v>0</v>
      </c>
      <c r="AN45" s="286">
        <f t="shared" si="15"/>
        <v>0</v>
      </c>
      <c r="AO45" s="286">
        <f t="shared" si="15"/>
        <v>0</v>
      </c>
      <c r="AP45" s="286">
        <f t="shared" si="15"/>
        <v>0</v>
      </c>
      <c r="AQ45" s="287"/>
      <c r="AR45" s="286">
        <f t="shared" si="14"/>
        <v>164543272</v>
      </c>
      <c r="AS45" s="315"/>
      <c r="AT45" s="315"/>
      <c r="AU45" s="220"/>
    </row>
    <row r="46" spans="1:49" ht="18.75" customHeight="1" outlineLevel="1">
      <c r="A46" s="215" t="s">
        <v>125</v>
      </c>
      <c r="B46" s="249"/>
      <c r="C46" s="249"/>
      <c r="D46" s="250"/>
      <c r="E46" s="249"/>
      <c r="F46" s="249"/>
      <c r="G46" s="249"/>
      <c r="H46" s="249"/>
      <c r="I46" s="249"/>
      <c r="J46" s="249"/>
      <c r="K46" s="261"/>
      <c r="L46" s="250"/>
      <c r="M46" s="250"/>
      <c r="N46" s="250"/>
      <c r="O46" s="250"/>
      <c r="P46" s="250"/>
      <c r="Q46" s="115"/>
      <c r="R46" s="283"/>
      <c r="S46" s="283"/>
      <c r="T46" s="283"/>
      <c r="U46" s="283"/>
      <c r="V46" s="283"/>
      <c r="W46" s="283"/>
      <c r="X46" s="283"/>
      <c r="Y46" s="284"/>
      <c r="Z46" s="284"/>
      <c r="AA46" s="301"/>
      <c r="AB46" s="301"/>
      <c r="AC46" s="301"/>
      <c r="AD46" s="301"/>
      <c r="AE46" s="301"/>
      <c r="AF46" s="301"/>
      <c r="AG46" s="301"/>
      <c r="AH46" s="301"/>
      <c r="AI46" s="301"/>
      <c r="AJ46" s="301"/>
      <c r="AK46" s="301"/>
      <c r="AL46" s="301"/>
      <c r="AM46" s="301"/>
      <c r="AN46" s="301"/>
      <c r="AO46" s="301"/>
      <c r="AP46" s="301"/>
      <c r="AQ46" s="301"/>
      <c r="AR46" s="301"/>
      <c r="AS46" s="316"/>
      <c r="AT46" s="316"/>
      <c r="AU46" s="317"/>
    </row>
    <row r="47" spans="1:49" s="219" customFormat="1" ht="24.75" customHeight="1" outlineLevel="1">
      <c r="A47" s="215" t="s">
        <v>125</v>
      </c>
      <c r="B47" s="251"/>
      <c r="C47" s="249"/>
      <c r="D47" s="250"/>
      <c r="E47" s="249"/>
      <c r="F47" s="249"/>
      <c r="G47" s="249"/>
      <c r="H47" s="249"/>
      <c r="I47" s="249"/>
      <c r="J47" s="251"/>
      <c r="K47" s="263"/>
      <c r="L47" s="252"/>
      <c r="M47" s="252"/>
      <c r="N47" s="252"/>
      <c r="O47" s="252"/>
      <c r="P47" s="252"/>
      <c r="Q47" s="117" t="s">
        <v>229</v>
      </c>
      <c r="R47" s="288"/>
      <c r="S47" s="289"/>
      <c r="T47" s="289"/>
      <c r="U47" s="289"/>
      <c r="V47" s="289"/>
      <c r="W47" s="289"/>
      <c r="X47" s="290"/>
      <c r="Y47" s="118">
        <f>+Y40+Y45</f>
        <v>2903678000</v>
      </c>
      <c r="Z47" s="118">
        <f>+Z40+Z45</f>
        <v>7512000</v>
      </c>
      <c r="AA47" s="304"/>
      <c r="AB47" s="118">
        <f t="shared" ref="AB47:AP47" si="16">+AB40+AB45</f>
        <v>2021456076</v>
      </c>
      <c r="AC47" s="118">
        <f t="shared" si="16"/>
        <v>1087251162</v>
      </c>
      <c r="AD47" s="118">
        <f t="shared" si="16"/>
        <v>934204914</v>
      </c>
      <c r="AE47" s="118">
        <f t="shared" si="16"/>
        <v>0</v>
      </c>
      <c r="AF47" s="118">
        <f t="shared" si="16"/>
        <v>0</v>
      </c>
      <c r="AG47" s="118">
        <f t="shared" si="16"/>
        <v>0</v>
      </c>
      <c r="AH47" s="118">
        <f t="shared" si="16"/>
        <v>0</v>
      </c>
      <c r="AI47" s="118">
        <f t="shared" si="16"/>
        <v>0</v>
      </c>
      <c r="AJ47" s="118">
        <v>412229245</v>
      </c>
      <c r="AK47" s="118">
        <f t="shared" si="16"/>
        <v>0</v>
      </c>
      <c r="AL47" s="118">
        <f t="shared" si="16"/>
        <v>193814916</v>
      </c>
      <c r="AM47" s="118">
        <f t="shared" si="16"/>
        <v>116535668</v>
      </c>
      <c r="AN47" s="118">
        <f t="shared" si="16"/>
        <v>288023805</v>
      </c>
      <c r="AO47" s="118">
        <f t="shared" si="16"/>
        <v>34277284</v>
      </c>
      <c r="AP47" s="118">
        <f t="shared" si="16"/>
        <v>42370244</v>
      </c>
      <c r="AQ47" s="318"/>
      <c r="AR47" s="118">
        <f>+Y47-Z47-AC47-AD47</f>
        <v>874709924</v>
      </c>
      <c r="AS47" s="319"/>
      <c r="AT47" s="319"/>
      <c r="AU47" s="320"/>
    </row>
    <row r="48" spans="1:49" ht="18.75" customHeight="1" outlineLevel="1">
      <c r="A48" s="215" t="s">
        <v>125</v>
      </c>
      <c r="B48" s="249"/>
      <c r="C48" s="249"/>
      <c r="D48" s="250"/>
      <c r="E48" s="249"/>
      <c r="F48" s="249"/>
      <c r="G48" s="249"/>
      <c r="H48" s="249"/>
      <c r="I48" s="249"/>
      <c r="J48" s="249"/>
      <c r="K48" s="261"/>
      <c r="L48" s="250"/>
      <c r="M48" s="250"/>
      <c r="N48" s="250"/>
      <c r="O48" s="250"/>
      <c r="P48" s="250"/>
      <c r="Q48" s="261"/>
      <c r="R48" s="283"/>
      <c r="S48" s="283"/>
      <c r="T48" s="283"/>
      <c r="U48" s="283"/>
      <c r="V48" s="283"/>
      <c r="W48" s="283"/>
      <c r="X48" s="283"/>
      <c r="Y48" s="284"/>
      <c r="Z48" s="284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16"/>
      <c r="AT48" s="316"/>
      <c r="AU48" s="317"/>
    </row>
    <row r="49" spans="1:47" ht="26.25" customHeight="1" outlineLevel="1">
      <c r="A49" s="215" t="s">
        <v>125</v>
      </c>
      <c r="B49" s="249"/>
      <c r="C49" s="249"/>
      <c r="D49" s="250"/>
      <c r="E49" s="249"/>
      <c r="F49" s="249"/>
      <c r="G49" s="249"/>
      <c r="H49" s="249"/>
      <c r="I49" s="249"/>
      <c r="J49" s="249"/>
      <c r="K49" s="261"/>
      <c r="L49" s="250"/>
      <c r="M49" s="250"/>
      <c r="N49" s="250"/>
      <c r="O49" s="250"/>
      <c r="P49" s="250"/>
      <c r="Q49" s="264" t="s">
        <v>230</v>
      </c>
      <c r="R49" s="283"/>
      <c r="S49" s="283"/>
      <c r="T49" s="283"/>
      <c r="U49" s="283"/>
      <c r="V49" s="283"/>
      <c r="W49" s="283"/>
      <c r="X49" s="283"/>
      <c r="Y49" s="284"/>
      <c r="Z49" s="284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16"/>
      <c r="AT49" s="316"/>
      <c r="AU49" s="317"/>
    </row>
    <row r="50" spans="1:47" s="216" customFormat="1" ht="15" customHeight="1" outlineLevel="1">
      <c r="A50" s="215" t="s">
        <v>125</v>
      </c>
      <c r="B50" s="249"/>
      <c r="C50" s="249"/>
      <c r="D50" s="250"/>
      <c r="E50" s="249"/>
      <c r="F50" s="249"/>
      <c r="G50" s="249"/>
      <c r="H50" s="249"/>
      <c r="I50" s="249"/>
      <c r="J50" s="249"/>
      <c r="K50" s="261"/>
      <c r="L50" s="250"/>
      <c r="M50" s="250"/>
      <c r="N50" s="250"/>
      <c r="O50" s="250"/>
      <c r="P50" s="250"/>
      <c r="Q50" s="255"/>
      <c r="R50" s="283"/>
      <c r="S50" s="283"/>
      <c r="T50" s="283"/>
      <c r="U50" s="283"/>
      <c r="V50" s="283"/>
      <c r="W50" s="283"/>
      <c r="X50" s="283"/>
      <c r="Y50" s="284"/>
      <c r="Z50" s="284"/>
      <c r="AA50" s="301"/>
      <c r="AB50" s="301"/>
      <c r="AC50" s="301"/>
      <c r="AD50" s="301"/>
      <c r="AE50" s="301"/>
      <c r="AF50" s="301"/>
      <c r="AG50" s="301"/>
      <c r="AH50" s="301"/>
      <c r="AI50" s="301"/>
      <c r="AJ50" s="301"/>
      <c r="AK50" s="301"/>
      <c r="AL50" s="301"/>
      <c r="AM50" s="301"/>
      <c r="AN50" s="301"/>
      <c r="AO50" s="301"/>
      <c r="AP50" s="301"/>
      <c r="AQ50" s="301"/>
      <c r="AR50" s="301"/>
      <c r="AS50" s="316"/>
      <c r="AT50" s="316"/>
      <c r="AU50" s="317"/>
    </row>
    <row r="51" spans="1:47" s="217" customFormat="1" ht="25.5" customHeight="1" outlineLevel="1">
      <c r="A51" s="215" t="s">
        <v>125</v>
      </c>
      <c r="B51" s="247"/>
      <c r="C51" s="247"/>
      <c r="D51" s="248"/>
      <c r="E51" s="249"/>
      <c r="F51" s="249"/>
      <c r="G51" s="249"/>
      <c r="H51" s="249"/>
      <c r="I51" s="249"/>
      <c r="J51" s="247"/>
      <c r="K51" s="259"/>
      <c r="L51" s="248"/>
      <c r="M51" s="248"/>
      <c r="N51" s="250"/>
      <c r="O51" s="250"/>
      <c r="P51" s="250"/>
      <c r="Q51" s="99" t="s">
        <v>127</v>
      </c>
      <c r="R51" s="283"/>
      <c r="S51" s="283"/>
      <c r="T51" s="283"/>
      <c r="U51" s="283"/>
      <c r="V51" s="283"/>
      <c r="W51" s="283"/>
      <c r="X51" s="283"/>
      <c r="Y51" s="285"/>
      <c r="Z51" s="285"/>
      <c r="AA51" s="302"/>
      <c r="AB51" s="302"/>
      <c r="AC51" s="302"/>
      <c r="AD51" s="302"/>
      <c r="AE51" s="302"/>
      <c r="AF51" s="302"/>
      <c r="AG51" s="302"/>
      <c r="AH51" s="301"/>
      <c r="AI51" s="301"/>
      <c r="AJ51" s="301"/>
      <c r="AK51" s="301"/>
      <c r="AL51" s="301"/>
      <c r="AM51" s="301"/>
      <c r="AN51" s="301"/>
      <c r="AO51" s="301"/>
      <c r="AP51" s="301"/>
      <c r="AQ51" s="302"/>
      <c r="AR51" s="302"/>
      <c r="AS51" s="315"/>
      <c r="AT51" s="315"/>
      <c r="AU51" s="220"/>
    </row>
    <row r="52" spans="1:47" s="218" customFormat="1" ht="25.5" customHeight="1" outlineLevel="2">
      <c r="A52" s="215" t="s">
        <v>125</v>
      </c>
      <c r="B52" s="151">
        <v>31</v>
      </c>
      <c r="C52" s="151" t="s">
        <v>128</v>
      </c>
      <c r="D52" s="245" t="s">
        <v>168</v>
      </c>
      <c r="E52" s="151" t="s">
        <v>169</v>
      </c>
      <c r="F52" s="151" t="s">
        <v>207</v>
      </c>
      <c r="G52" s="151" t="s">
        <v>32</v>
      </c>
      <c r="H52" s="151" t="s">
        <v>42</v>
      </c>
      <c r="I52" s="256">
        <v>3</v>
      </c>
      <c r="J52" s="151" t="s">
        <v>80</v>
      </c>
      <c r="K52" s="176" t="s">
        <v>132</v>
      </c>
      <c r="L52" s="245">
        <v>30397335</v>
      </c>
      <c r="M52" s="855"/>
      <c r="N52" s="245" t="s">
        <v>145</v>
      </c>
      <c r="O52" s="245" t="s">
        <v>231</v>
      </c>
      <c r="P52" s="245"/>
      <c r="Q52" s="176" t="s">
        <v>232</v>
      </c>
      <c r="R52" s="273"/>
      <c r="S52" s="274"/>
      <c r="T52" s="273"/>
      <c r="U52" s="273"/>
      <c r="V52" s="273"/>
      <c r="W52" s="273"/>
      <c r="X52" s="274"/>
      <c r="Y52" s="275">
        <f>292191000+237748000</f>
        <v>529939000</v>
      </c>
      <c r="Z52" s="275">
        <f>1500000+232867073</f>
        <v>234367073</v>
      </c>
      <c r="AA52" s="296"/>
      <c r="AB52" s="297">
        <f>47443560+34856914+213271453</f>
        <v>295571927</v>
      </c>
      <c r="AC52" s="297">
        <f t="shared" ref="AC52:AC99" si="17">SUBTOTAL(9,AE52:AP52)</f>
        <v>232563115</v>
      </c>
      <c r="AD52" s="297">
        <f t="shared" ref="AD52:AD60" si="18">+AB52-AC52</f>
        <v>63008812</v>
      </c>
      <c r="AE52" s="297">
        <v>0</v>
      </c>
      <c r="AF52" s="297">
        <v>0</v>
      </c>
      <c r="AG52" s="297">
        <v>0</v>
      </c>
      <c r="AH52" s="297">
        <v>0</v>
      </c>
      <c r="AI52" s="297">
        <v>0</v>
      </c>
      <c r="AJ52" s="297">
        <v>0</v>
      </c>
      <c r="AK52" s="297">
        <v>1437500</v>
      </c>
      <c r="AL52" s="297">
        <v>88750560</v>
      </c>
      <c r="AM52" s="297">
        <v>1437500</v>
      </c>
      <c r="AN52" s="297">
        <v>27733376</v>
      </c>
      <c r="AO52" s="297">
        <v>30903705</v>
      </c>
      <c r="AP52" s="297">
        <v>82300474</v>
      </c>
      <c r="AQ52" s="296"/>
      <c r="AR52" s="297">
        <f t="shared" ref="AR52:AR61" si="19">+Y52-Z52-AC52-AD52</f>
        <v>0</v>
      </c>
      <c r="AS52" s="313" t="s">
        <v>137</v>
      </c>
      <c r="AT52" s="313" t="s">
        <v>137</v>
      </c>
      <c r="AU52" s="176" t="s">
        <v>138</v>
      </c>
    </row>
    <row r="53" spans="1:47" s="218" customFormat="1" ht="25.5" customHeight="1" outlineLevel="2">
      <c r="A53" s="215" t="s">
        <v>125</v>
      </c>
      <c r="B53" s="151">
        <v>31</v>
      </c>
      <c r="C53" s="151" t="s">
        <v>128</v>
      </c>
      <c r="D53" s="245" t="s">
        <v>159</v>
      </c>
      <c r="E53" s="151" t="s">
        <v>169</v>
      </c>
      <c r="F53" s="151" t="s">
        <v>140</v>
      </c>
      <c r="G53" s="151" t="s">
        <v>32</v>
      </c>
      <c r="H53" s="151" t="s">
        <v>42</v>
      </c>
      <c r="I53" s="256">
        <v>3</v>
      </c>
      <c r="J53" s="151" t="s">
        <v>81</v>
      </c>
      <c r="K53" s="176" t="s">
        <v>132</v>
      </c>
      <c r="L53" s="245">
        <v>30134930</v>
      </c>
      <c r="M53" s="855"/>
      <c r="N53" s="245" t="s">
        <v>145</v>
      </c>
      <c r="O53" s="245" t="s">
        <v>233</v>
      </c>
      <c r="P53" s="245"/>
      <c r="Q53" s="176" t="s">
        <v>234</v>
      </c>
      <c r="R53" s="273"/>
      <c r="S53" s="274"/>
      <c r="T53" s="273"/>
      <c r="U53" s="273"/>
      <c r="V53" s="273"/>
      <c r="W53" s="273"/>
      <c r="X53" s="274"/>
      <c r="Y53" s="275">
        <v>1004973000</v>
      </c>
      <c r="Z53" s="275">
        <v>315623727</v>
      </c>
      <c r="AA53" s="296"/>
      <c r="AB53" s="297">
        <f>534173000+15431272</f>
        <v>549604272</v>
      </c>
      <c r="AC53" s="297">
        <f t="shared" si="17"/>
        <v>450936556</v>
      </c>
      <c r="AD53" s="297">
        <f t="shared" si="18"/>
        <v>98667716</v>
      </c>
      <c r="AE53" s="297">
        <v>0</v>
      </c>
      <c r="AF53" s="297">
        <v>0</v>
      </c>
      <c r="AG53" s="297">
        <v>0</v>
      </c>
      <c r="AH53" s="297">
        <v>0</v>
      </c>
      <c r="AI53" s="297">
        <v>0</v>
      </c>
      <c r="AJ53" s="297">
        <v>74972489</v>
      </c>
      <c r="AK53" s="297">
        <v>28757605</v>
      </c>
      <c r="AL53" s="297">
        <v>118465254</v>
      </c>
      <c r="AM53" s="297">
        <v>0</v>
      </c>
      <c r="AN53" s="297">
        <v>125744916</v>
      </c>
      <c r="AO53" s="297">
        <v>102996292</v>
      </c>
      <c r="AP53" s="297">
        <v>0</v>
      </c>
      <c r="AQ53" s="296"/>
      <c r="AR53" s="297">
        <f t="shared" si="19"/>
        <v>139745001</v>
      </c>
      <c r="AS53" s="313" t="s">
        <v>137</v>
      </c>
      <c r="AT53" s="313" t="s">
        <v>137</v>
      </c>
      <c r="AU53" s="176" t="s">
        <v>138</v>
      </c>
    </row>
    <row r="54" spans="1:47" s="218" customFormat="1" ht="25.5" customHeight="1" outlineLevel="2">
      <c r="A54" s="215" t="s">
        <v>125</v>
      </c>
      <c r="B54" s="151">
        <v>31</v>
      </c>
      <c r="C54" s="151" t="s">
        <v>128</v>
      </c>
      <c r="D54" s="245" t="s">
        <v>129</v>
      </c>
      <c r="E54" s="151" t="s">
        <v>169</v>
      </c>
      <c r="F54" s="151" t="s">
        <v>140</v>
      </c>
      <c r="G54" s="151" t="s">
        <v>32</v>
      </c>
      <c r="H54" s="151" t="s">
        <v>42</v>
      </c>
      <c r="I54" s="256">
        <v>3</v>
      </c>
      <c r="J54" s="151" t="s">
        <v>81</v>
      </c>
      <c r="K54" s="176" t="s">
        <v>132</v>
      </c>
      <c r="L54" s="245">
        <v>40005410</v>
      </c>
      <c r="M54" s="855"/>
      <c r="N54" s="245" t="s">
        <v>145</v>
      </c>
      <c r="O54" s="245" t="s">
        <v>235</v>
      </c>
      <c r="P54" s="245"/>
      <c r="Q54" s="176" t="s">
        <v>236</v>
      </c>
      <c r="R54" s="273"/>
      <c r="S54" s="274"/>
      <c r="T54" s="273"/>
      <c r="U54" s="273"/>
      <c r="V54" s="273"/>
      <c r="W54" s="273"/>
      <c r="X54" s="274"/>
      <c r="Y54" s="275">
        <v>521481000</v>
      </c>
      <c r="Z54" s="275">
        <v>215960599</v>
      </c>
      <c r="AA54" s="296"/>
      <c r="AB54" s="297">
        <v>305520401</v>
      </c>
      <c r="AC54" s="297">
        <f t="shared" si="17"/>
        <v>277529490</v>
      </c>
      <c r="AD54" s="297">
        <f t="shared" si="18"/>
        <v>27990911</v>
      </c>
      <c r="AE54" s="297">
        <v>0</v>
      </c>
      <c r="AF54" s="297">
        <v>0</v>
      </c>
      <c r="AG54" s="297">
        <v>0</v>
      </c>
      <c r="AH54" s="297">
        <v>0</v>
      </c>
      <c r="AI54" s="297">
        <v>0</v>
      </c>
      <c r="AJ54" s="297">
        <v>34551979</v>
      </c>
      <c r="AK54" s="297">
        <v>0</v>
      </c>
      <c r="AL54" s="297">
        <v>0</v>
      </c>
      <c r="AM54" s="297">
        <v>0</v>
      </c>
      <c r="AN54" s="297">
        <v>14219107</v>
      </c>
      <c r="AO54" s="297">
        <v>228758404</v>
      </c>
      <c r="AP54" s="297">
        <v>0</v>
      </c>
      <c r="AQ54" s="296"/>
      <c r="AR54" s="297">
        <f t="shared" si="19"/>
        <v>0</v>
      </c>
      <c r="AS54" s="313" t="s">
        <v>148</v>
      </c>
      <c r="AT54" s="313" t="s">
        <v>1464</v>
      </c>
      <c r="AU54" s="176" t="s">
        <v>138</v>
      </c>
    </row>
    <row r="55" spans="1:47" s="218" customFormat="1" ht="25.5" customHeight="1" outlineLevel="2">
      <c r="A55" s="215" t="s">
        <v>125</v>
      </c>
      <c r="B55" s="151">
        <v>31</v>
      </c>
      <c r="C55" s="151" t="s">
        <v>128</v>
      </c>
      <c r="D55" s="245" t="s">
        <v>129</v>
      </c>
      <c r="E55" s="151" t="s">
        <v>169</v>
      </c>
      <c r="F55" s="151" t="s">
        <v>140</v>
      </c>
      <c r="G55" s="151" t="s">
        <v>32</v>
      </c>
      <c r="H55" s="151" t="s">
        <v>42</v>
      </c>
      <c r="I55" s="256">
        <v>3</v>
      </c>
      <c r="J55" s="151" t="s">
        <v>81</v>
      </c>
      <c r="K55" s="176" t="s">
        <v>132</v>
      </c>
      <c r="L55" s="245">
        <v>40005409</v>
      </c>
      <c r="M55" s="855"/>
      <c r="N55" s="245" t="s">
        <v>145</v>
      </c>
      <c r="O55" s="245" t="s">
        <v>237</v>
      </c>
      <c r="P55" s="245"/>
      <c r="Q55" s="176" t="s">
        <v>238</v>
      </c>
      <c r="R55" s="273"/>
      <c r="S55" s="274"/>
      <c r="T55" s="273"/>
      <c r="U55" s="273"/>
      <c r="V55" s="273"/>
      <c r="W55" s="273"/>
      <c r="X55" s="274"/>
      <c r="Y55" s="275">
        <v>358631000</v>
      </c>
      <c r="Z55" s="275">
        <v>165275947</v>
      </c>
      <c r="AA55" s="296"/>
      <c r="AB55" s="297">
        <f>+Y55-Z55</f>
        <v>193355053</v>
      </c>
      <c r="AC55" s="297">
        <f t="shared" si="17"/>
        <v>125059189</v>
      </c>
      <c r="AD55" s="297">
        <f t="shared" si="18"/>
        <v>68295864</v>
      </c>
      <c r="AE55" s="297">
        <v>0</v>
      </c>
      <c r="AF55" s="297">
        <v>0</v>
      </c>
      <c r="AG55" s="297">
        <v>0</v>
      </c>
      <c r="AH55" s="297">
        <v>0</v>
      </c>
      <c r="AI55" s="297">
        <v>0</v>
      </c>
      <c r="AJ55" s="297">
        <v>35943384</v>
      </c>
      <c r="AK55" s="297">
        <v>0</v>
      </c>
      <c r="AL55" s="297">
        <v>0</v>
      </c>
      <c r="AM55" s="297">
        <v>0</v>
      </c>
      <c r="AN55" s="297">
        <v>12234359</v>
      </c>
      <c r="AO55" s="297">
        <v>76881446</v>
      </c>
      <c r="AP55" s="297">
        <v>0</v>
      </c>
      <c r="AQ55" s="296"/>
      <c r="AR55" s="297">
        <f t="shared" si="19"/>
        <v>0</v>
      </c>
      <c r="AS55" s="313" t="s">
        <v>148</v>
      </c>
      <c r="AT55" s="313" t="s">
        <v>1464</v>
      </c>
      <c r="AU55" s="176" t="s">
        <v>138</v>
      </c>
    </row>
    <row r="56" spans="1:47" s="218" customFormat="1" ht="25.5" customHeight="1" outlineLevel="2">
      <c r="A56" s="215" t="s">
        <v>125</v>
      </c>
      <c r="B56" s="151">
        <v>31</v>
      </c>
      <c r="C56" s="151" t="s">
        <v>128</v>
      </c>
      <c r="D56" s="245" t="s">
        <v>164</v>
      </c>
      <c r="E56" s="151" t="s">
        <v>169</v>
      </c>
      <c r="F56" s="151" t="s">
        <v>140</v>
      </c>
      <c r="G56" s="151" t="s">
        <v>32</v>
      </c>
      <c r="H56" s="151" t="s">
        <v>42</v>
      </c>
      <c r="I56" s="256">
        <v>3</v>
      </c>
      <c r="J56" s="151" t="s">
        <v>80</v>
      </c>
      <c r="K56" s="176" t="s">
        <v>202</v>
      </c>
      <c r="L56" s="245">
        <v>30171924</v>
      </c>
      <c r="M56" s="855"/>
      <c r="N56" s="245" t="s">
        <v>239</v>
      </c>
      <c r="O56" s="245" t="s">
        <v>240</v>
      </c>
      <c r="P56" s="245"/>
      <c r="Q56" s="176" t="s">
        <v>241</v>
      </c>
      <c r="R56" s="273"/>
      <c r="S56" s="274"/>
      <c r="T56" s="273"/>
      <c r="U56" s="273"/>
      <c r="V56" s="273"/>
      <c r="W56" s="273"/>
      <c r="X56" s="274"/>
      <c r="Y56" s="275">
        <v>21277640</v>
      </c>
      <c r="Z56" s="275">
        <v>16219730</v>
      </c>
      <c r="AA56" s="296"/>
      <c r="AB56" s="297">
        <v>743880</v>
      </c>
      <c r="AC56" s="297">
        <f t="shared" si="17"/>
        <v>0</v>
      </c>
      <c r="AD56" s="297">
        <f t="shared" si="18"/>
        <v>743880</v>
      </c>
      <c r="AE56" s="297">
        <v>0</v>
      </c>
      <c r="AF56" s="297">
        <v>0</v>
      </c>
      <c r="AG56" s="297">
        <v>0</v>
      </c>
      <c r="AH56" s="297">
        <v>0</v>
      </c>
      <c r="AI56" s="297">
        <v>0</v>
      </c>
      <c r="AJ56" s="297">
        <v>0</v>
      </c>
      <c r="AK56" s="297">
        <v>0</v>
      </c>
      <c r="AL56" s="297">
        <v>0</v>
      </c>
      <c r="AM56" s="297">
        <v>0</v>
      </c>
      <c r="AN56" s="297">
        <v>0</v>
      </c>
      <c r="AO56" s="297">
        <v>0</v>
      </c>
      <c r="AP56" s="297">
        <v>0</v>
      </c>
      <c r="AQ56" s="296"/>
      <c r="AR56" s="297">
        <f t="shared" si="19"/>
        <v>4314030</v>
      </c>
      <c r="AS56" s="313" t="s">
        <v>137</v>
      </c>
      <c r="AT56" s="313" t="s">
        <v>137</v>
      </c>
      <c r="AU56" s="176" t="s">
        <v>138</v>
      </c>
    </row>
    <row r="57" spans="1:47" s="218" customFormat="1" ht="25.5" customHeight="1" outlineLevel="2">
      <c r="A57" s="215" t="s">
        <v>125</v>
      </c>
      <c r="B57" s="151">
        <v>31</v>
      </c>
      <c r="C57" s="151" t="s">
        <v>128</v>
      </c>
      <c r="D57" s="245" t="s">
        <v>164</v>
      </c>
      <c r="E57" s="151" t="s">
        <v>169</v>
      </c>
      <c r="F57" s="151" t="s">
        <v>140</v>
      </c>
      <c r="G57" s="151" t="s">
        <v>32</v>
      </c>
      <c r="H57" s="151" t="s">
        <v>42</v>
      </c>
      <c r="I57" s="256">
        <v>3</v>
      </c>
      <c r="J57" s="151" t="s">
        <v>80</v>
      </c>
      <c r="K57" s="176" t="s">
        <v>202</v>
      </c>
      <c r="L57" s="245">
        <v>30171875</v>
      </c>
      <c r="M57" s="855"/>
      <c r="N57" s="245" t="e">
        <v>#N/A</v>
      </c>
      <c r="O57" s="245" t="s">
        <v>248</v>
      </c>
      <c r="P57" s="257" t="s">
        <v>249</v>
      </c>
      <c r="Q57" s="176" t="s">
        <v>250</v>
      </c>
      <c r="R57" s="273"/>
      <c r="S57" s="274"/>
      <c r="T57" s="273"/>
      <c r="U57" s="273"/>
      <c r="V57" s="273"/>
      <c r="W57" s="273"/>
      <c r="X57" s="274"/>
      <c r="Y57" s="275">
        <v>25140000</v>
      </c>
      <c r="Z57" s="275">
        <v>0</v>
      </c>
      <c r="AA57" s="296"/>
      <c r="AB57" s="297">
        <v>8380000</v>
      </c>
      <c r="AC57" s="297">
        <f t="shared" si="17"/>
        <v>4610000</v>
      </c>
      <c r="AD57" s="297">
        <f>+AB57-AC57</f>
        <v>3770000</v>
      </c>
      <c r="AE57" s="297">
        <v>0</v>
      </c>
      <c r="AF57" s="297">
        <v>0</v>
      </c>
      <c r="AG57" s="297">
        <v>0</v>
      </c>
      <c r="AH57" s="297">
        <v>0</v>
      </c>
      <c r="AI57" s="297">
        <v>0</v>
      </c>
      <c r="AJ57" s="297">
        <v>0</v>
      </c>
      <c r="AK57" s="297">
        <v>0</v>
      </c>
      <c r="AL57" s="297">
        <v>4610000</v>
      </c>
      <c r="AM57" s="297">
        <v>0</v>
      </c>
      <c r="AN57" s="297">
        <v>0</v>
      </c>
      <c r="AO57" s="297">
        <v>0</v>
      </c>
      <c r="AP57" s="297">
        <v>0</v>
      </c>
      <c r="AQ57" s="296"/>
      <c r="AR57" s="297">
        <f>+Y57-Z57-AC57-AD57</f>
        <v>16760000</v>
      </c>
      <c r="AS57" s="313" t="s">
        <v>137</v>
      </c>
      <c r="AT57" s="313" t="s">
        <v>137</v>
      </c>
      <c r="AU57" s="176" t="s">
        <v>138</v>
      </c>
    </row>
    <row r="58" spans="1:47" s="218" customFormat="1" ht="25.5" customHeight="1" outlineLevel="2">
      <c r="A58" s="215" t="s">
        <v>125</v>
      </c>
      <c r="B58" s="151">
        <v>31</v>
      </c>
      <c r="C58" s="151" t="s">
        <v>128</v>
      </c>
      <c r="D58" s="245" t="s">
        <v>164</v>
      </c>
      <c r="E58" s="151" t="s">
        <v>169</v>
      </c>
      <c r="F58" s="151" t="s">
        <v>140</v>
      </c>
      <c r="G58" s="151" t="s">
        <v>32</v>
      </c>
      <c r="H58" s="151" t="s">
        <v>42</v>
      </c>
      <c r="I58" s="256">
        <v>3</v>
      </c>
      <c r="J58" s="151" t="s">
        <v>80</v>
      </c>
      <c r="K58" s="176" t="s">
        <v>202</v>
      </c>
      <c r="L58" s="245">
        <v>30171923</v>
      </c>
      <c r="M58" s="855"/>
      <c r="N58" s="245" t="s">
        <v>133</v>
      </c>
      <c r="O58" s="245" t="s">
        <v>242</v>
      </c>
      <c r="P58" s="245"/>
      <c r="Q58" s="176" t="s">
        <v>243</v>
      </c>
      <c r="R58" s="273" t="s">
        <v>244</v>
      </c>
      <c r="S58" s="274"/>
      <c r="T58" s="273"/>
      <c r="U58" s="273"/>
      <c r="V58" s="273"/>
      <c r="W58" s="273"/>
      <c r="X58" s="274"/>
      <c r="Y58" s="275">
        <v>19500000</v>
      </c>
      <c r="Z58" s="275">
        <v>7800000</v>
      </c>
      <c r="AA58" s="296"/>
      <c r="AB58" s="297">
        <f>+Y58-Z58</f>
        <v>11700000</v>
      </c>
      <c r="AC58" s="297">
        <f t="shared" si="17"/>
        <v>0</v>
      </c>
      <c r="AD58" s="297">
        <f t="shared" si="18"/>
        <v>11700000</v>
      </c>
      <c r="AE58" s="297">
        <v>0</v>
      </c>
      <c r="AF58" s="297">
        <v>0</v>
      </c>
      <c r="AG58" s="297">
        <v>0</v>
      </c>
      <c r="AH58" s="297">
        <v>0</v>
      </c>
      <c r="AI58" s="297">
        <v>0</v>
      </c>
      <c r="AJ58" s="297">
        <v>0</v>
      </c>
      <c r="AK58" s="297">
        <v>0</v>
      </c>
      <c r="AL58" s="297">
        <v>0</v>
      </c>
      <c r="AM58" s="297">
        <v>0</v>
      </c>
      <c r="AN58" s="297">
        <v>0</v>
      </c>
      <c r="AO58" s="297">
        <v>0</v>
      </c>
      <c r="AP58" s="297">
        <v>0</v>
      </c>
      <c r="AQ58" s="296"/>
      <c r="AR58" s="297">
        <f t="shared" si="19"/>
        <v>0</v>
      </c>
      <c r="AS58" s="313" t="s">
        <v>137</v>
      </c>
      <c r="AT58" s="313" t="s">
        <v>137</v>
      </c>
      <c r="AU58" s="176" t="s">
        <v>138</v>
      </c>
    </row>
    <row r="59" spans="1:47" s="218" customFormat="1" ht="25.5" customHeight="1" outlineLevel="2">
      <c r="A59" s="215" t="s">
        <v>125</v>
      </c>
      <c r="B59" s="191">
        <v>33</v>
      </c>
      <c r="C59" s="191" t="s">
        <v>128</v>
      </c>
      <c r="D59" s="246" t="s">
        <v>149</v>
      </c>
      <c r="E59" s="191" t="s">
        <v>130</v>
      </c>
      <c r="F59" s="191" t="s">
        <v>140</v>
      </c>
      <c r="G59" s="191" t="s">
        <v>32</v>
      </c>
      <c r="H59" s="191" t="s">
        <v>42</v>
      </c>
      <c r="I59" s="258">
        <v>3</v>
      </c>
      <c r="J59" s="191" t="s">
        <v>83</v>
      </c>
      <c r="K59" s="192" t="s">
        <v>132</v>
      </c>
      <c r="L59" s="246" t="s">
        <v>83</v>
      </c>
      <c r="M59" s="861" t="s">
        <v>1604</v>
      </c>
      <c r="N59" s="246"/>
      <c r="O59" s="245" t="s">
        <v>183</v>
      </c>
      <c r="P59" s="246"/>
      <c r="Q59" s="192" t="s">
        <v>184</v>
      </c>
      <c r="R59" s="276"/>
      <c r="S59" s="277"/>
      <c r="T59" s="276"/>
      <c r="U59" s="276"/>
      <c r="V59" s="276"/>
      <c r="W59" s="276"/>
      <c r="X59" s="277"/>
      <c r="Y59" s="194">
        <v>100000000</v>
      </c>
      <c r="Z59" s="194">
        <v>0</v>
      </c>
      <c r="AA59" s="298"/>
      <c r="AB59" s="299">
        <v>100000000</v>
      </c>
      <c r="AC59" s="299">
        <f t="shared" si="17"/>
        <v>0</v>
      </c>
      <c r="AD59" s="299">
        <f t="shared" si="18"/>
        <v>100000000</v>
      </c>
      <c r="AE59" s="299">
        <v>0</v>
      </c>
      <c r="AF59" s="299">
        <v>0</v>
      </c>
      <c r="AG59" s="299">
        <v>0</v>
      </c>
      <c r="AH59" s="299">
        <v>0</v>
      </c>
      <c r="AI59" s="299">
        <v>0</v>
      </c>
      <c r="AJ59" s="297">
        <v>0</v>
      </c>
      <c r="AK59" s="299">
        <v>0</v>
      </c>
      <c r="AL59" s="299">
        <v>0</v>
      </c>
      <c r="AM59" s="299">
        <v>0</v>
      </c>
      <c r="AN59" s="299">
        <v>0</v>
      </c>
      <c r="AO59" s="297">
        <v>0</v>
      </c>
      <c r="AP59" s="299">
        <v>0</v>
      </c>
      <c r="AQ59" s="298"/>
      <c r="AR59" s="299">
        <f t="shared" si="19"/>
        <v>0</v>
      </c>
      <c r="AS59" s="314" t="s">
        <v>185</v>
      </c>
      <c r="AT59" s="314" t="s">
        <v>83</v>
      </c>
      <c r="AU59" s="192" t="s">
        <v>138</v>
      </c>
    </row>
    <row r="60" spans="1:47" s="218" customFormat="1" ht="25.5" customHeight="1" outlineLevel="2">
      <c r="A60" s="215" t="s">
        <v>125</v>
      </c>
      <c r="B60" s="151">
        <v>33</v>
      </c>
      <c r="C60" s="151" t="s">
        <v>128</v>
      </c>
      <c r="D60" s="245" t="s">
        <v>149</v>
      </c>
      <c r="E60" s="151" t="s">
        <v>130</v>
      </c>
      <c r="F60" s="151" t="s">
        <v>140</v>
      </c>
      <c r="G60" s="151" t="s">
        <v>32</v>
      </c>
      <c r="H60" s="151" t="s">
        <v>42</v>
      </c>
      <c r="I60" s="256">
        <v>3</v>
      </c>
      <c r="J60" s="151" t="s">
        <v>83</v>
      </c>
      <c r="K60" s="176" t="s">
        <v>132</v>
      </c>
      <c r="L60" s="245" t="s">
        <v>83</v>
      </c>
      <c r="M60" s="855"/>
      <c r="N60" s="245"/>
      <c r="O60" s="245" t="s">
        <v>183</v>
      </c>
      <c r="P60" s="245"/>
      <c r="Q60" s="176" t="s">
        <v>186</v>
      </c>
      <c r="R60" s="273"/>
      <c r="S60" s="274"/>
      <c r="T60" s="273"/>
      <c r="U60" s="273"/>
      <c r="V60" s="273"/>
      <c r="W60" s="273"/>
      <c r="X60" s="274"/>
      <c r="Y60" s="275">
        <v>200000000</v>
      </c>
      <c r="Z60" s="275">
        <v>0</v>
      </c>
      <c r="AA60" s="296"/>
      <c r="AB60" s="297">
        <v>200000000</v>
      </c>
      <c r="AC60" s="297">
        <f t="shared" si="17"/>
        <v>7834777</v>
      </c>
      <c r="AD60" s="297">
        <f t="shared" si="18"/>
        <v>192165223</v>
      </c>
      <c r="AE60" s="297">
        <v>0</v>
      </c>
      <c r="AF60" s="297">
        <v>0</v>
      </c>
      <c r="AG60" s="297">
        <v>0</v>
      </c>
      <c r="AH60" s="297">
        <v>0</v>
      </c>
      <c r="AI60" s="297">
        <v>0</v>
      </c>
      <c r="AJ60" s="297">
        <v>0</v>
      </c>
      <c r="AK60" s="297">
        <v>0</v>
      </c>
      <c r="AL60" s="297">
        <v>6554029</v>
      </c>
      <c r="AM60" s="297">
        <v>1280748</v>
      </c>
      <c r="AN60" s="297">
        <v>0</v>
      </c>
      <c r="AO60" s="297">
        <f>+FRIL!L35</f>
        <v>0</v>
      </c>
      <c r="AP60" s="297">
        <v>0</v>
      </c>
      <c r="AQ60" s="296"/>
      <c r="AR60" s="297">
        <f t="shared" si="19"/>
        <v>0</v>
      </c>
      <c r="AS60" s="313" t="s">
        <v>185</v>
      </c>
      <c r="AT60" s="313" t="s">
        <v>83</v>
      </c>
      <c r="AU60" s="176" t="s">
        <v>138</v>
      </c>
    </row>
    <row r="61" spans="1:47" s="217" customFormat="1" ht="25.5" customHeight="1" outlineLevel="1">
      <c r="A61" s="215" t="s">
        <v>125</v>
      </c>
      <c r="B61" s="247"/>
      <c r="C61" s="247"/>
      <c r="D61" s="248"/>
      <c r="E61" s="249"/>
      <c r="F61" s="249"/>
      <c r="G61" s="249"/>
      <c r="H61" s="249"/>
      <c r="I61" s="249"/>
      <c r="J61" s="247"/>
      <c r="K61" s="259"/>
      <c r="L61" s="248"/>
      <c r="M61" s="248"/>
      <c r="N61" s="250"/>
      <c r="O61" s="250"/>
      <c r="P61" s="250"/>
      <c r="Q61" s="260" t="s">
        <v>187</v>
      </c>
      <c r="R61" s="278"/>
      <c r="S61" s="279"/>
      <c r="T61" s="279"/>
      <c r="U61" s="279"/>
      <c r="V61" s="279"/>
      <c r="W61" s="279"/>
      <c r="X61" s="281"/>
      <c r="Y61" s="286">
        <f>+Y52+Y53+Y54+Y55+Y56+Y58+Y59+Y60+Y57</f>
        <v>2780941640</v>
      </c>
      <c r="Z61" s="286">
        <f>+Z52+Z53+Z54+Z55+Z56+Z58+Z59+Z60+Z57</f>
        <v>955247076</v>
      </c>
      <c r="AA61" s="303"/>
      <c r="AB61" s="286">
        <f>+AB52+AB53+AB54+AB55+AB56+AB58+AB59+AB60+AB57</f>
        <v>1664875533</v>
      </c>
      <c r="AC61" s="286">
        <f t="shared" si="17"/>
        <v>1098533127</v>
      </c>
      <c r="AD61" s="286">
        <f>+AD52+AD53+AD54+AD55+AD56+AD58+AD59+AD60+AD57</f>
        <v>566342406</v>
      </c>
      <c r="AE61" s="286">
        <f t="shared" ref="AE61:AP61" si="20">+AE52+AE53+AE54+AE55+AE56+AE58+AE59+AE60+AE57</f>
        <v>0</v>
      </c>
      <c r="AF61" s="286">
        <f t="shared" si="20"/>
        <v>0</v>
      </c>
      <c r="AG61" s="286">
        <f t="shared" si="20"/>
        <v>0</v>
      </c>
      <c r="AH61" s="286">
        <f t="shared" si="20"/>
        <v>0</v>
      </c>
      <c r="AI61" s="286">
        <f t="shared" si="20"/>
        <v>0</v>
      </c>
      <c r="AJ61" s="286">
        <v>145467852</v>
      </c>
      <c r="AK61" s="286">
        <f t="shared" si="20"/>
        <v>30195105</v>
      </c>
      <c r="AL61" s="286">
        <f t="shared" si="20"/>
        <v>218379843</v>
      </c>
      <c r="AM61" s="286">
        <f t="shared" si="20"/>
        <v>2718248</v>
      </c>
      <c r="AN61" s="286">
        <f t="shared" si="20"/>
        <v>179931758</v>
      </c>
      <c r="AO61" s="286">
        <f t="shared" si="20"/>
        <v>439539847</v>
      </c>
      <c r="AP61" s="286">
        <f t="shared" si="20"/>
        <v>82300474</v>
      </c>
      <c r="AQ61" s="287"/>
      <c r="AR61" s="286">
        <f t="shared" si="19"/>
        <v>160819031</v>
      </c>
      <c r="AS61" s="315"/>
      <c r="AT61" s="315"/>
      <c r="AU61" s="220"/>
    </row>
    <row r="62" spans="1:47" s="216" customFormat="1" ht="18.75" customHeight="1" outlineLevel="1">
      <c r="A62" s="215" t="s">
        <v>125</v>
      </c>
      <c r="B62" s="249"/>
      <c r="C62" s="249"/>
      <c r="D62" s="250"/>
      <c r="E62" s="249"/>
      <c r="F62" s="249"/>
      <c r="G62" s="249"/>
      <c r="H62" s="249"/>
      <c r="I62" s="249"/>
      <c r="J62" s="249"/>
      <c r="K62" s="261"/>
      <c r="L62" s="250"/>
      <c r="M62" s="250"/>
      <c r="N62" s="250"/>
      <c r="O62" s="250"/>
      <c r="P62" s="250"/>
      <c r="Q62" s="115"/>
      <c r="R62" s="279"/>
      <c r="S62" s="279"/>
      <c r="T62" s="279"/>
      <c r="U62" s="279"/>
      <c r="V62" s="279"/>
      <c r="W62" s="279"/>
      <c r="X62" s="279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316"/>
      <c r="AT62" s="316"/>
      <c r="AU62" s="317"/>
    </row>
    <row r="63" spans="1:47" s="220" customFormat="1" ht="25.5" customHeight="1" outlineLevel="1">
      <c r="A63" s="215" t="s">
        <v>125</v>
      </c>
      <c r="B63" s="247"/>
      <c r="C63" s="247"/>
      <c r="D63" s="248"/>
      <c r="E63" s="249"/>
      <c r="F63" s="249"/>
      <c r="G63" s="249"/>
      <c r="H63" s="249"/>
      <c r="I63" s="249"/>
      <c r="J63" s="247"/>
      <c r="K63" s="259"/>
      <c r="L63" s="248"/>
      <c r="M63" s="248"/>
      <c r="N63" s="250"/>
      <c r="O63" s="250"/>
      <c r="P63" s="250"/>
      <c r="Q63" s="99" t="s">
        <v>188</v>
      </c>
      <c r="R63" s="279"/>
      <c r="S63" s="279"/>
      <c r="T63" s="279"/>
      <c r="U63" s="279"/>
      <c r="V63" s="279"/>
      <c r="W63" s="279"/>
      <c r="X63" s="279"/>
      <c r="Y63" s="287"/>
      <c r="Z63" s="287"/>
      <c r="AA63" s="287"/>
      <c r="AB63" s="287"/>
      <c r="AC63" s="287"/>
      <c r="AD63" s="287"/>
      <c r="AE63" s="287"/>
      <c r="AF63" s="287"/>
      <c r="AG63" s="287"/>
      <c r="AH63" s="291"/>
      <c r="AI63" s="291"/>
      <c r="AJ63" s="291"/>
      <c r="AK63" s="291"/>
      <c r="AL63" s="291"/>
      <c r="AM63" s="291"/>
      <c r="AN63" s="291"/>
      <c r="AO63" s="291"/>
      <c r="AP63" s="291"/>
      <c r="AQ63" s="287"/>
      <c r="AR63" s="287"/>
      <c r="AS63" s="315"/>
      <c r="AT63" s="315"/>
    </row>
    <row r="64" spans="1:47" s="218" customFormat="1" ht="25.5" customHeight="1" outlineLevel="2">
      <c r="A64" s="215" t="s">
        <v>125</v>
      </c>
      <c r="B64" s="151">
        <v>31</v>
      </c>
      <c r="C64" s="151" t="s">
        <v>128</v>
      </c>
      <c r="D64" s="245" t="s">
        <v>164</v>
      </c>
      <c r="E64" s="151" t="s">
        <v>169</v>
      </c>
      <c r="F64" s="151" t="s">
        <v>140</v>
      </c>
      <c r="G64" s="151" t="s">
        <v>32</v>
      </c>
      <c r="H64" s="151" t="s">
        <v>42</v>
      </c>
      <c r="I64" s="256">
        <v>3</v>
      </c>
      <c r="J64" s="151" t="s">
        <v>80</v>
      </c>
      <c r="K64" s="176" t="s">
        <v>202</v>
      </c>
      <c r="L64" s="245">
        <v>30068433</v>
      </c>
      <c r="M64" s="855"/>
      <c r="N64" s="245" t="s">
        <v>133</v>
      </c>
      <c r="O64" s="245" t="s">
        <v>245</v>
      </c>
      <c r="P64" s="257"/>
      <c r="Q64" s="176" t="s">
        <v>246</v>
      </c>
      <c r="R64" s="273" t="s">
        <v>247</v>
      </c>
      <c r="S64" s="274"/>
      <c r="T64" s="273"/>
      <c r="U64" s="273" t="s">
        <v>1539</v>
      </c>
      <c r="V64" s="273"/>
      <c r="W64" s="273"/>
      <c r="X64" s="274"/>
      <c r="Y64" s="275">
        <v>20374000</v>
      </c>
      <c r="Z64" s="275">
        <v>0</v>
      </c>
      <c r="AA64" s="296"/>
      <c r="AB64" s="297">
        <v>6791333.3333333302</v>
      </c>
      <c r="AC64" s="297">
        <f t="shared" si="17"/>
        <v>0</v>
      </c>
      <c r="AD64" s="297">
        <f>+AB64-AC64</f>
        <v>6791333.3333333302</v>
      </c>
      <c r="AE64" s="297">
        <v>0</v>
      </c>
      <c r="AF64" s="297">
        <v>0</v>
      </c>
      <c r="AG64" s="297">
        <v>0</v>
      </c>
      <c r="AH64" s="297">
        <v>0</v>
      </c>
      <c r="AI64" s="297">
        <v>0</v>
      </c>
      <c r="AJ64" s="297">
        <v>0</v>
      </c>
      <c r="AK64" s="297">
        <v>0</v>
      </c>
      <c r="AL64" s="297">
        <v>0</v>
      </c>
      <c r="AM64" s="297">
        <v>0</v>
      </c>
      <c r="AN64" s="297">
        <v>0</v>
      </c>
      <c r="AO64" s="297">
        <v>0</v>
      </c>
      <c r="AP64" s="297">
        <v>0</v>
      </c>
      <c r="AQ64" s="296"/>
      <c r="AR64" s="297">
        <f>+Y64-Z64-AC64-AD64</f>
        <v>13582666.66666667</v>
      </c>
      <c r="AS64" s="313" t="s">
        <v>137</v>
      </c>
      <c r="AT64" s="313" t="s">
        <v>137</v>
      </c>
      <c r="AU64" s="176" t="s">
        <v>195</v>
      </c>
    </row>
    <row r="65" spans="1:47" s="218" customFormat="1" ht="25.5" customHeight="1" outlineLevel="2">
      <c r="A65" s="215" t="s">
        <v>125</v>
      </c>
      <c r="B65" s="151">
        <v>31</v>
      </c>
      <c r="C65" s="151" t="s">
        <v>196</v>
      </c>
      <c r="D65" s="245" t="s">
        <v>251</v>
      </c>
      <c r="E65" s="151" t="s">
        <v>169</v>
      </c>
      <c r="F65" s="151" t="s">
        <v>140</v>
      </c>
      <c r="G65" s="151" t="s">
        <v>32</v>
      </c>
      <c r="H65" s="151" t="s">
        <v>42</v>
      </c>
      <c r="I65" s="256">
        <v>3</v>
      </c>
      <c r="J65" s="151" t="s">
        <v>84</v>
      </c>
      <c r="K65" s="176" t="s">
        <v>132</v>
      </c>
      <c r="L65" s="245">
        <v>30426825</v>
      </c>
      <c r="M65" s="855"/>
      <c r="N65" s="245"/>
      <c r="O65" s="245" t="s">
        <v>252</v>
      </c>
      <c r="P65" s="257"/>
      <c r="Q65" s="176" t="s">
        <v>253</v>
      </c>
      <c r="R65" s="273" t="s">
        <v>254</v>
      </c>
      <c r="S65" s="274"/>
      <c r="T65" s="273"/>
      <c r="U65" s="273"/>
      <c r="V65" s="273"/>
      <c r="W65" s="273"/>
      <c r="X65" s="274"/>
      <c r="Y65" s="326">
        <v>153631000</v>
      </c>
      <c r="Z65" s="275">
        <v>0</v>
      </c>
      <c r="AA65" s="296"/>
      <c r="AB65" s="297">
        <v>15363100</v>
      </c>
      <c r="AC65" s="297">
        <f t="shared" si="17"/>
        <v>0</v>
      </c>
      <c r="AD65" s="297">
        <f>+AB65-AC65</f>
        <v>15363100</v>
      </c>
      <c r="AE65" s="297">
        <v>0</v>
      </c>
      <c r="AF65" s="297">
        <v>0</v>
      </c>
      <c r="AG65" s="297">
        <v>0</v>
      </c>
      <c r="AH65" s="297">
        <v>0</v>
      </c>
      <c r="AI65" s="297">
        <v>0</v>
      </c>
      <c r="AJ65" s="297">
        <v>0</v>
      </c>
      <c r="AK65" s="297">
        <v>0</v>
      </c>
      <c r="AL65" s="297">
        <v>0</v>
      </c>
      <c r="AM65" s="297">
        <v>0</v>
      </c>
      <c r="AN65" s="297">
        <v>0</v>
      </c>
      <c r="AO65" s="297">
        <v>0</v>
      </c>
      <c r="AP65" s="297">
        <v>0</v>
      </c>
      <c r="AQ65" s="296"/>
      <c r="AR65" s="297">
        <f>+Y65-Z65-AC65-AD65</f>
        <v>138267900</v>
      </c>
      <c r="AS65" s="313" t="s">
        <v>137</v>
      </c>
      <c r="AT65" s="313" t="s">
        <v>137</v>
      </c>
      <c r="AU65" s="176" t="s">
        <v>200</v>
      </c>
    </row>
    <row r="66" spans="1:47" s="218" customFormat="1" ht="25.5" customHeight="1" outlineLevel="2">
      <c r="A66" s="215" t="s">
        <v>125</v>
      </c>
      <c r="B66" s="151">
        <v>29</v>
      </c>
      <c r="C66" s="151" t="s">
        <v>196</v>
      </c>
      <c r="D66" s="245" t="s">
        <v>144</v>
      </c>
      <c r="E66" s="151" t="s">
        <v>130</v>
      </c>
      <c r="F66" s="151" t="s">
        <v>140</v>
      </c>
      <c r="G66" s="151" t="s">
        <v>32</v>
      </c>
      <c r="H66" s="151" t="s">
        <v>42</v>
      </c>
      <c r="I66" s="256">
        <v>3</v>
      </c>
      <c r="J66" s="151" t="s">
        <v>80</v>
      </c>
      <c r="K66" s="176" t="s">
        <v>132</v>
      </c>
      <c r="L66" s="245">
        <v>40005408</v>
      </c>
      <c r="M66" s="855"/>
      <c r="N66" s="245"/>
      <c r="O66" s="245" t="s">
        <v>255</v>
      </c>
      <c r="P66" s="257"/>
      <c r="Q66" s="176" t="s">
        <v>256</v>
      </c>
      <c r="R66" s="273" t="s">
        <v>257</v>
      </c>
      <c r="S66" s="274"/>
      <c r="T66" s="273"/>
      <c r="U66" s="273"/>
      <c r="V66" s="273"/>
      <c r="W66" s="273"/>
      <c r="X66" s="274"/>
      <c r="Y66" s="275">
        <v>516681732</v>
      </c>
      <c r="Z66" s="275">
        <v>0</v>
      </c>
      <c r="AA66" s="296"/>
      <c r="AB66" s="297">
        <f>251668100-163364000-15431272</f>
        <v>72872828</v>
      </c>
      <c r="AC66" s="297">
        <f t="shared" si="17"/>
        <v>0</v>
      </c>
      <c r="AD66" s="297">
        <f>+AB66-AC66</f>
        <v>72872828</v>
      </c>
      <c r="AE66" s="297">
        <v>0</v>
      </c>
      <c r="AF66" s="297">
        <v>0</v>
      </c>
      <c r="AG66" s="297">
        <v>0</v>
      </c>
      <c r="AH66" s="297">
        <v>0</v>
      </c>
      <c r="AI66" s="297">
        <v>0</v>
      </c>
      <c r="AJ66" s="297">
        <v>0</v>
      </c>
      <c r="AK66" s="297">
        <v>0</v>
      </c>
      <c r="AL66" s="297">
        <v>0</v>
      </c>
      <c r="AM66" s="297">
        <v>0</v>
      </c>
      <c r="AN66" s="297">
        <v>0</v>
      </c>
      <c r="AO66" s="297">
        <v>0</v>
      </c>
      <c r="AP66" s="297">
        <v>0</v>
      </c>
      <c r="AQ66" s="296"/>
      <c r="AR66" s="297">
        <f>+Y66-Z66-AC66-AD66</f>
        <v>443808904</v>
      </c>
      <c r="AS66" s="313" t="s">
        <v>148</v>
      </c>
      <c r="AT66" s="313" t="s">
        <v>1464</v>
      </c>
      <c r="AU66" s="176" t="s">
        <v>200</v>
      </c>
    </row>
    <row r="67" spans="1:47" s="218" customFormat="1" ht="25.5" customHeight="1" outlineLevel="2">
      <c r="A67" s="215" t="s">
        <v>125</v>
      </c>
      <c r="B67" s="151">
        <v>31</v>
      </c>
      <c r="C67" s="151" t="s">
        <v>196</v>
      </c>
      <c r="D67" s="245" t="s">
        <v>129</v>
      </c>
      <c r="E67" s="151" t="s">
        <v>130</v>
      </c>
      <c r="F67" s="151" t="s">
        <v>140</v>
      </c>
      <c r="G67" s="151" t="s">
        <v>32</v>
      </c>
      <c r="H67" s="151" t="s">
        <v>42</v>
      </c>
      <c r="I67" s="256">
        <v>3</v>
      </c>
      <c r="J67" s="151" t="s">
        <v>80</v>
      </c>
      <c r="K67" s="176" t="s">
        <v>132</v>
      </c>
      <c r="L67" s="245">
        <v>40019095</v>
      </c>
      <c r="M67" s="855"/>
      <c r="N67" s="245"/>
      <c r="O67" s="245" t="s">
        <v>258</v>
      </c>
      <c r="P67" s="257"/>
      <c r="Q67" s="176" t="s">
        <v>259</v>
      </c>
      <c r="R67" s="273" t="s">
        <v>247</v>
      </c>
      <c r="S67" s="274"/>
      <c r="T67" s="273"/>
      <c r="U67" s="273"/>
      <c r="V67" s="273"/>
      <c r="W67" s="273"/>
      <c r="X67" s="274"/>
      <c r="Y67" s="275">
        <v>694291000</v>
      </c>
      <c r="Z67" s="275">
        <v>0</v>
      </c>
      <c r="AA67" s="296"/>
      <c r="AB67" s="297">
        <f>69429100-2142214</f>
        <v>67286886</v>
      </c>
      <c r="AC67" s="297">
        <f t="shared" si="17"/>
        <v>0</v>
      </c>
      <c r="AD67" s="297">
        <f t="shared" ref="AD67:AD69" si="21">+AB67-AC67</f>
        <v>67286886</v>
      </c>
      <c r="AE67" s="297">
        <v>0</v>
      </c>
      <c r="AF67" s="297">
        <v>0</v>
      </c>
      <c r="AG67" s="297">
        <v>0</v>
      </c>
      <c r="AH67" s="297">
        <v>0</v>
      </c>
      <c r="AI67" s="297">
        <v>0</v>
      </c>
      <c r="AJ67" s="297">
        <v>0</v>
      </c>
      <c r="AK67" s="297">
        <v>0</v>
      </c>
      <c r="AL67" s="297">
        <v>0</v>
      </c>
      <c r="AM67" s="297">
        <v>0</v>
      </c>
      <c r="AN67" s="297">
        <v>0</v>
      </c>
      <c r="AO67" s="297">
        <v>0</v>
      </c>
      <c r="AP67" s="297">
        <v>0</v>
      </c>
      <c r="AQ67" s="296"/>
      <c r="AR67" s="297">
        <f t="shared" ref="AR67:AR70" si="22">+Y67-Z67-AC67-AD67</f>
        <v>627004114</v>
      </c>
      <c r="AS67" s="313" t="s">
        <v>148</v>
      </c>
      <c r="AT67" s="313" t="s">
        <v>1464</v>
      </c>
      <c r="AU67" s="176" t="s">
        <v>200</v>
      </c>
    </row>
    <row r="68" spans="1:47" s="218" customFormat="1" ht="25.5" customHeight="1" outlineLevel="2">
      <c r="A68" s="215" t="s">
        <v>125</v>
      </c>
      <c r="B68" s="151">
        <v>29</v>
      </c>
      <c r="C68" s="151" t="s">
        <v>196</v>
      </c>
      <c r="D68" s="245" t="s">
        <v>149</v>
      </c>
      <c r="E68" s="151" t="s">
        <v>130</v>
      </c>
      <c r="F68" s="151" t="s">
        <v>140</v>
      </c>
      <c r="G68" s="151" t="s">
        <v>32</v>
      </c>
      <c r="H68" s="151" t="s">
        <v>42</v>
      </c>
      <c r="I68" s="256">
        <v>3</v>
      </c>
      <c r="J68" s="151" t="s">
        <v>81</v>
      </c>
      <c r="K68" s="176" t="s">
        <v>132</v>
      </c>
      <c r="L68" s="245">
        <v>40016563</v>
      </c>
      <c r="M68" s="855"/>
      <c r="N68" s="245"/>
      <c r="O68" s="245" t="s">
        <v>260</v>
      </c>
      <c r="P68" s="257"/>
      <c r="Q68" s="176" t="s">
        <v>261</v>
      </c>
      <c r="R68" s="273" t="s">
        <v>262</v>
      </c>
      <c r="S68" s="274"/>
      <c r="T68" s="273"/>
      <c r="U68" s="273"/>
      <c r="V68" s="273"/>
      <c r="W68" s="273"/>
      <c r="X68" s="274"/>
      <c r="Y68" s="275">
        <v>79135000</v>
      </c>
      <c r="Z68" s="275">
        <v>0</v>
      </c>
      <c r="AA68" s="296"/>
      <c r="AB68" s="297">
        <v>79135000</v>
      </c>
      <c r="AC68" s="297">
        <f t="shared" si="17"/>
        <v>0</v>
      </c>
      <c r="AD68" s="297">
        <f t="shared" si="21"/>
        <v>79135000</v>
      </c>
      <c r="AE68" s="297">
        <v>0</v>
      </c>
      <c r="AF68" s="297">
        <v>0</v>
      </c>
      <c r="AG68" s="297">
        <v>0</v>
      </c>
      <c r="AH68" s="297">
        <v>0</v>
      </c>
      <c r="AI68" s="297">
        <v>0</v>
      </c>
      <c r="AJ68" s="297">
        <v>0</v>
      </c>
      <c r="AK68" s="297">
        <v>0</v>
      </c>
      <c r="AL68" s="297">
        <v>0</v>
      </c>
      <c r="AM68" s="297">
        <v>0</v>
      </c>
      <c r="AN68" s="297">
        <v>0</v>
      </c>
      <c r="AO68" s="297">
        <v>0</v>
      </c>
      <c r="AP68" s="297">
        <v>0</v>
      </c>
      <c r="AQ68" s="296"/>
      <c r="AR68" s="297">
        <f t="shared" si="22"/>
        <v>0</v>
      </c>
      <c r="AS68" s="313" t="s">
        <v>148</v>
      </c>
      <c r="AT68" s="313" t="s">
        <v>1464</v>
      </c>
      <c r="AU68" s="176" t="s">
        <v>200</v>
      </c>
    </row>
    <row r="69" spans="1:47" s="218" customFormat="1" ht="25.5" customHeight="1" outlineLevel="2">
      <c r="A69" s="215" t="s">
        <v>125</v>
      </c>
      <c r="B69" s="151">
        <v>31</v>
      </c>
      <c r="C69" s="151" t="s">
        <v>196</v>
      </c>
      <c r="D69" s="245" t="s">
        <v>129</v>
      </c>
      <c r="E69" s="151" t="s">
        <v>169</v>
      </c>
      <c r="F69" s="151" t="s">
        <v>131</v>
      </c>
      <c r="G69" s="151" t="s">
        <v>32</v>
      </c>
      <c r="H69" s="151" t="s">
        <v>42</v>
      </c>
      <c r="I69" s="256">
        <v>3</v>
      </c>
      <c r="J69" s="151" t="s">
        <v>81</v>
      </c>
      <c r="K69" s="176" t="s">
        <v>132</v>
      </c>
      <c r="L69" s="245">
        <v>40019354</v>
      </c>
      <c r="M69" s="861"/>
      <c r="N69" s="245"/>
      <c r="O69" s="245" t="s">
        <v>263</v>
      </c>
      <c r="P69" s="257"/>
      <c r="Q69" s="176" t="s">
        <v>264</v>
      </c>
      <c r="R69" s="273"/>
      <c r="S69" s="274"/>
      <c r="T69" s="273"/>
      <c r="U69" s="273"/>
      <c r="V69" s="273"/>
      <c r="W69" s="273"/>
      <c r="X69" s="274"/>
      <c r="Y69" s="275">
        <v>500000000</v>
      </c>
      <c r="Z69" s="275">
        <v>0</v>
      </c>
      <c r="AA69" s="296"/>
      <c r="AB69" s="297">
        <v>40000000</v>
      </c>
      <c r="AC69" s="297">
        <f t="shared" si="17"/>
        <v>0</v>
      </c>
      <c r="AD69" s="297">
        <f t="shared" si="21"/>
        <v>40000000</v>
      </c>
      <c r="AE69" s="297">
        <v>0</v>
      </c>
      <c r="AF69" s="297">
        <v>0</v>
      </c>
      <c r="AG69" s="297">
        <v>0</v>
      </c>
      <c r="AH69" s="297">
        <v>0</v>
      </c>
      <c r="AI69" s="297">
        <v>0</v>
      </c>
      <c r="AJ69" s="297">
        <v>0</v>
      </c>
      <c r="AK69" s="297">
        <v>0</v>
      </c>
      <c r="AL69" s="297">
        <v>0</v>
      </c>
      <c r="AM69" s="297">
        <v>0</v>
      </c>
      <c r="AN69" s="297">
        <v>0</v>
      </c>
      <c r="AO69" s="297">
        <v>0</v>
      </c>
      <c r="AP69" s="297">
        <v>0</v>
      </c>
      <c r="AQ69" s="296"/>
      <c r="AR69" s="297">
        <f t="shared" si="22"/>
        <v>460000000</v>
      </c>
      <c r="AS69" s="313" t="s">
        <v>148</v>
      </c>
      <c r="AT69" s="313" t="s">
        <v>1464</v>
      </c>
      <c r="AU69" s="176" t="s">
        <v>200</v>
      </c>
    </row>
    <row r="70" spans="1:47" s="220" customFormat="1" ht="25.5" customHeight="1" outlineLevel="1">
      <c r="A70" s="215" t="s">
        <v>125</v>
      </c>
      <c r="B70" s="247"/>
      <c r="C70" s="247"/>
      <c r="D70" s="248"/>
      <c r="E70" s="249"/>
      <c r="F70" s="249"/>
      <c r="G70" s="249"/>
      <c r="H70" s="249"/>
      <c r="I70" s="249"/>
      <c r="J70" s="247"/>
      <c r="K70" s="259"/>
      <c r="L70" s="248"/>
      <c r="M70" s="248"/>
      <c r="N70" s="250"/>
      <c r="O70" s="250"/>
      <c r="P70" s="250"/>
      <c r="Q70" s="260" t="s">
        <v>201</v>
      </c>
      <c r="R70" s="278"/>
      <c r="S70" s="279"/>
      <c r="T70" s="279"/>
      <c r="U70" s="279"/>
      <c r="V70" s="279"/>
      <c r="W70" s="279"/>
      <c r="X70" s="281"/>
      <c r="Y70" s="286">
        <f>SUBTOTAL(9,Y64:Y69)</f>
        <v>1964112732</v>
      </c>
      <c r="Z70" s="286">
        <f>SUBTOTAL(9,Z64:Z69)</f>
        <v>0</v>
      </c>
      <c r="AA70" s="303"/>
      <c r="AB70" s="286">
        <f t="shared" ref="AB70:AD70" si="23">SUBTOTAL(9,AB64:AB69)</f>
        <v>281449147.33333331</v>
      </c>
      <c r="AC70" s="286">
        <f t="shared" si="23"/>
        <v>0</v>
      </c>
      <c r="AD70" s="286">
        <f t="shared" si="23"/>
        <v>281449147.33333331</v>
      </c>
      <c r="AE70" s="286">
        <f t="shared" ref="AE70:AP70" si="24">SUBTOTAL(9,AE64:AE69)</f>
        <v>0</v>
      </c>
      <c r="AF70" s="286">
        <f t="shared" si="24"/>
        <v>0</v>
      </c>
      <c r="AG70" s="286">
        <f t="shared" si="24"/>
        <v>0</v>
      </c>
      <c r="AH70" s="286">
        <f t="shared" si="24"/>
        <v>0</v>
      </c>
      <c r="AI70" s="286">
        <f t="shared" si="24"/>
        <v>0</v>
      </c>
      <c r="AJ70" s="286">
        <v>0</v>
      </c>
      <c r="AK70" s="286">
        <f t="shared" si="24"/>
        <v>0</v>
      </c>
      <c r="AL70" s="286">
        <f t="shared" si="24"/>
        <v>0</v>
      </c>
      <c r="AM70" s="286">
        <f t="shared" si="24"/>
        <v>0</v>
      </c>
      <c r="AN70" s="286">
        <f t="shared" si="24"/>
        <v>0</v>
      </c>
      <c r="AO70" s="286">
        <f t="shared" si="24"/>
        <v>0</v>
      </c>
      <c r="AP70" s="286">
        <f t="shared" si="24"/>
        <v>0</v>
      </c>
      <c r="AQ70" s="287"/>
      <c r="AR70" s="286">
        <f t="shared" si="22"/>
        <v>1682663584.6666667</v>
      </c>
      <c r="AS70" s="315"/>
      <c r="AT70" s="315"/>
    </row>
    <row r="71" spans="1:47" ht="18.75" customHeight="1" outlineLevel="1">
      <c r="A71" s="215" t="s">
        <v>125</v>
      </c>
      <c r="B71" s="249"/>
      <c r="C71" s="249"/>
      <c r="D71" s="250"/>
      <c r="E71" s="249"/>
      <c r="F71" s="249"/>
      <c r="G71" s="249"/>
      <c r="H71" s="249"/>
      <c r="I71" s="249"/>
      <c r="J71" s="249"/>
      <c r="K71" s="261"/>
      <c r="L71" s="250"/>
      <c r="M71" s="250"/>
      <c r="N71" s="250"/>
      <c r="O71" s="250"/>
      <c r="P71" s="250"/>
      <c r="Q71" s="261"/>
      <c r="R71" s="283"/>
      <c r="S71" s="283"/>
      <c r="T71" s="283"/>
      <c r="U71" s="283"/>
      <c r="V71" s="283"/>
      <c r="W71" s="283"/>
      <c r="X71" s="283"/>
      <c r="Y71" s="284"/>
      <c r="Z71" s="284"/>
      <c r="AA71" s="301"/>
      <c r="AB71" s="301"/>
      <c r="AC71" s="301"/>
      <c r="AD71" s="301"/>
      <c r="AE71" s="301"/>
      <c r="AF71" s="301"/>
      <c r="AG71" s="301"/>
      <c r="AH71" s="301"/>
      <c r="AI71" s="301"/>
      <c r="AJ71" s="301"/>
      <c r="AK71" s="301"/>
      <c r="AL71" s="301"/>
      <c r="AM71" s="301"/>
      <c r="AN71" s="301"/>
      <c r="AO71" s="301"/>
      <c r="AP71" s="301"/>
      <c r="AQ71" s="301"/>
      <c r="AR71" s="301"/>
      <c r="AS71" s="316"/>
      <c r="AT71" s="316"/>
      <c r="AU71" s="317"/>
    </row>
    <row r="72" spans="1:47" s="219" customFormat="1" ht="24.75" customHeight="1" outlineLevel="1">
      <c r="A72" s="215" t="s">
        <v>125</v>
      </c>
      <c r="B72" s="251"/>
      <c r="C72" s="249"/>
      <c r="D72" s="250"/>
      <c r="E72" s="249"/>
      <c r="F72" s="249"/>
      <c r="G72" s="249"/>
      <c r="H72" s="249"/>
      <c r="I72" s="249"/>
      <c r="J72" s="251"/>
      <c r="K72" s="263"/>
      <c r="L72" s="252"/>
      <c r="M72" s="252"/>
      <c r="N72" s="252"/>
      <c r="O72" s="252"/>
      <c r="P72" s="252"/>
      <c r="Q72" s="117" t="s">
        <v>267</v>
      </c>
      <c r="R72" s="288"/>
      <c r="S72" s="289"/>
      <c r="T72" s="289"/>
      <c r="U72" s="289"/>
      <c r="V72" s="289"/>
      <c r="W72" s="289"/>
      <c r="X72" s="290"/>
      <c r="Y72" s="118">
        <f>+Y61+Y70</f>
        <v>4745054372</v>
      </c>
      <c r="Z72" s="118">
        <f>+Z61+Z70</f>
        <v>955247076</v>
      </c>
      <c r="AA72" s="304"/>
      <c r="AB72" s="118">
        <f t="shared" ref="AB72:AD72" si="25">+AB61+AB70</f>
        <v>1946324680.3333333</v>
      </c>
      <c r="AC72" s="118">
        <f t="shared" si="25"/>
        <v>1098533127</v>
      </c>
      <c r="AD72" s="118">
        <f t="shared" si="25"/>
        <v>847791553.33333325</v>
      </c>
      <c r="AE72" s="118">
        <f t="shared" ref="AE72:AP72" si="26">+AE61+AE70</f>
        <v>0</v>
      </c>
      <c r="AF72" s="118">
        <f t="shared" si="26"/>
        <v>0</v>
      </c>
      <c r="AG72" s="118">
        <f t="shared" si="26"/>
        <v>0</v>
      </c>
      <c r="AH72" s="118">
        <f t="shared" si="26"/>
        <v>0</v>
      </c>
      <c r="AI72" s="118">
        <f t="shared" si="26"/>
        <v>0</v>
      </c>
      <c r="AJ72" s="118">
        <v>145467852</v>
      </c>
      <c r="AK72" s="118">
        <f t="shared" si="26"/>
        <v>30195105</v>
      </c>
      <c r="AL72" s="118">
        <f t="shared" si="26"/>
        <v>218379843</v>
      </c>
      <c r="AM72" s="118">
        <f t="shared" si="26"/>
        <v>2718248</v>
      </c>
      <c r="AN72" s="118">
        <f t="shared" si="26"/>
        <v>179931758</v>
      </c>
      <c r="AO72" s="118">
        <f t="shared" si="26"/>
        <v>439539847</v>
      </c>
      <c r="AP72" s="118">
        <f t="shared" si="26"/>
        <v>82300474</v>
      </c>
      <c r="AQ72" s="318"/>
      <c r="AR72" s="118">
        <f>+Y72-Z72-AC72-AD72</f>
        <v>1843482615.6666667</v>
      </c>
      <c r="AS72" s="333"/>
      <c r="AT72" s="333"/>
      <c r="AU72" s="320"/>
    </row>
    <row r="73" spans="1:47" ht="18.75" customHeight="1" outlineLevel="1">
      <c r="A73" s="215" t="s">
        <v>125</v>
      </c>
      <c r="B73" s="249"/>
      <c r="C73" s="249"/>
      <c r="D73" s="250"/>
      <c r="E73" s="249"/>
      <c r="F73" s="249"/>
      <c r="G73" s="249"/>
      <c r="H73" s="249"/>
      <c r="I73" s="249"/>
      <c r="J73" s="249"/>
      <c r="K73" s="261"/>
      <c r="L73" s="250"/>
      <c r="M73" s="250"/>
      <c r="N73" s="250"/>
      <c r="O73" s="250"/>
      <c r="P73" s="250"/>
      <c r="Q73" s="261"/>
      <c r="R73" s="283"/>
      <c r="S73" s="283"/>
      <c r="T73" s="283"/>
      <c r="U73" s="283"/>
      <c r="V73" s="283"/>
      <c r="W73" s="283"/>
      <c r="X73" s="283"/>
      <c r="Y73" s="284"/>
      <c r="Z73" s="284"/>
      <c r="AA73" s="301"/>
      <c r="AB73" s="301"/>
      <c r="AC73" s="301"/>
      <c r="AD73" s="301"/>
      <c r="AE73" s="301"/>
      <c r="AF73" s="301"/>
      <c r="AG73" s="301"/>
      <c r="AH73" s="301"/>
      <c r="AI73" s="301"/>
      <c r="AJ73" s="301"/>
      <c r="AK73" s="301"/>
      <c r="AL73" s="301"/>
      <c r="AM73" s="301"/>
      <c r="AN73" s="301"/>
      <c r="AO73" s="301"/>
      <c r="AP73" s="301"/>
      <c r="AQ73" s="301"/>
      <c r="AR73" s="301"/>
      <c r="AS73" s="316"/>
      <c r="AT73" s="316"/>
      <c r="AU73" s="317"/>
    </row>
    <row r="74" spans="1:47" ht="26.25" customHeight="1" outlineLevel="1">
      <c r="A74" s="215" t="s">
        <v>125</v>
      </c>
      <c r="B74" s="249"/>
      <c r="C74" s="249"/>
      <c r="D74" s="250"/>
      <c r="E74" s="249"/>
      <c r="F74" s="249"/>
      <c r="G74" s="249"/>
      <c r="H74" s="249"/>
      <c r="I74" s="249"/>
      <c r="J74" s="249"/>
      <c r="K74" s="261"/>
      <c r="L74" s="250"/>
      <c r="M74" s="250"/>
      <c r="N74" s="250"/>
      <c r="O74" s="250"/>
      <c r="P74" s="250"/>
      <c r="Q74" s="264" t="s">
        <v>268</v>
      </c>
      <c r="R74" s="283"/>
      <c r="S74" s="283"/>
      <c r="T74" s="283"/>
      <c r="U74" s="283"/>
      <c r="V74" s="283"/>
      <c r="W74" s="283"/>
      <c r="X74" s="283"/>
      <c r="Y74" s="284"/>
      <c r="Z74" s="284"/>
      <c r="AA74" s="301"/>
      <c r="AB74" s="301"/>
      <c r="AC74" s="301"/>
      <c r="AD74" s="301"/>
      <c r="AE74" s="301"/>
      <c r="AF74" s="301"/>
      <c r="AG74" s="301"/>
      <c r="AH74" s="301"/>
      <c r="AI74" s="301"/>
      <c r="AJ74" s="301"/>
      <c r="AK74" s="301"/>
      <c r="AL74" s="301"/>
      <c r="AM74" s="301"/>
      <c r="AN74" s="301"/>
      <c r="AO74" s="301"/>
      <c r="AP74" s="301"/>
      <c r="AQ74" s="301"/>
      <c r="AR74" s="301"/>
      <c r="AS74" s="316"/>
      <c r="AT74" s="316"/>
      <c r="AU74" s="317"/>
    </row>
    <row r="75" spans="1:47" s="216" customFormat="1" ht="15" customHeight="1" outlineLevel="1">
      <c r="A75" s="215" t="s">
        <v>125</v>
      </c>
      <c r="B75" s="249"/>
      <c r="C75" s="249"/>
      <c r="D75" s="250"/>
      <c r="E75" s="249"/>
      <c r="F75" s="249"/>
      <c r="G75" s="249"/>
      <c r="H75" s="249"/>
      <c r="I75" s="249"/>
      <c r="J75" s="249"/>
      <c r="K75" s="261"/>
      <c r="L75" s="250"/>
      <c r="M75" s="250"/>
      <c r="N75" s="250"/>
      <c r="O75" s="250"/>
      <c r="P75" s="250"/>
      <c r="Q75" s="255"/>
      <c r="R75" s="283"/>
      <c r="S75" s="283"/>
      <c r="T75" s="283"/>
      <c r="U75" s="283"/>
      <c r="V75" s="283"/>
      <c r="W75" s="283"/>
      <c r="X75" s="283"/>
      <c r="Y75" s="284"/>
      <c r="Z75" s="284"/>
      <c r="AA75" s="301"/>
      <c r="AB75" s="301"/>
      <c r="AC75" s="301"/>
      <c r="AD75" s="301"/>
      <c r="AE75" s="301"/>
      <c r="AF75" s="301"/>
      <c r="AG75" s="301"/>
      <c r="AH75" s="301"/>
      <c r="AI75" s="301"/>
      <c r="AJ75" s="301"/>
      <c r="AK75" s="301"/>
      <c r="AL75" s="301"/>
      <c r="AM75" s="301"/>
      <c r="AN75" s="301"/>
      <c r="AO75" s="301"/>
      <c r="AP75" s="301"/>
      <c r="AQ75" s="301"/>
      <c r="AR75" s="301"/>
      <c r="AS75" s="316"/>
      <c r="AT75" s="316"/>
      <c r="AU75" s="317"/>
    </row>
    <row r="76" spans="1:47" s="217" customFormat="1" ht="25.5" customHeight="1" outlineLevel="1">
      <c r="A76" s="215" t="s">
        <v>125</v>
      </c>
      <c r="B76" s="247"/>
      <c r="C76" s="247"/>
      <c r="D76" s="248"/>
      <c r="E76" s="249"/>
      <c r="F76" s="249"/>
      <c r="G76" s="249"/>
      <c r="H76" s="249"/>
      <c r="I76" s="249"/>
      <c r="J76" s="247"/>
      <c r="K76" s="259"/>
      <c r="L76" s="248"/>
      <c r="M76" s="248"/>
      <c r="N76" s="250"/>
      <c r="O76" s="250"/>
      <c r="P76" s="250"/>
      <c r="Q76" s="99" t="s">
        <v>127</v>
      </c>
      <c r="R76" s="283"/>
      <c r="S76" s="283"/>
      <c r="T76" s="283"/>
      <c r="U76" s="283"/>
      <c r="V76" s="283"/>
      <c r="W76" s="283"/>
      <c r="X76" s="283"/>
      <c r="Y76" s="285"/>
      <c r="Z76" s="285"/>
      <c r="AA76" s="302"/>
      <c r="AB76" s="302"/>
      <c r="AC76" s="302"/>
      <c r="AD76" s="302"/>
      <c r="AE76" s="302"/>
      <c r="AF76" s="302"/>
      <c r="AG76" s="302"/>
      <c r="AH76" s="301"/>
      <c r="AI76" s="301"/>
      <c r="AJ76" s="301"/>
      <c r="AK76" s="301"/>
      <c r="AL76" s="301"/>
      <c r="AM76" s="301"/>
      <c r="AN76" s="301"/>
      <c r="AO76" s="301"/>
      <c r="AP76" s="301"/>
      <c r="AQ76" s="302"/>
      <c r="AR76" s="302"/>
      <c r="AS76" s="315"/>
      <c r="AT76" s="315"/>
      <c r="AU76" s="220"/>
    </row>
    <row r="77" spans="1:47" s="218" customFormat="1" ht="25.5" customHeight="1" outlineLevel="2">
      <c r="A77" s="215" t="s">
        <v>125</v>
      </c>
      <c r="B77" s="151">
        <v>29</v>
      </c>
      <c r="C77" s="151" t="s">
        <v>128</v>
      </c>
      <c r="D77" s="245" t="s">
        <v>149</v>
      </c>
      <c r="E77" s="151" t="s">
        <v>169</v>
      </c>
      <c r="F77" s="151" t="s">
        <v>131</v>
      </c>
      <c r="G77" s="151" t="s">
        <v>32</v>
      </c>
      <c r="H77" s="151" t="s">
        <v>43</v>
      </c>
      <c r="I77" s="256">
        <v>4</v>
      </c>
      <c r="J77" s="151" t="s">
        <v>81</v>
      </c>
      <c r="K77" s="176" t="s">
        <v>132</v>
      </c>
      <c r="L77" s="245">
        <v>40001354</v>
      </c>
      <c r="M77" s="855"/>
      <c r="N77" s="245" t="e">
        <v>#N/A</v>
      </c>
      <c r="O77" s="245" t="s">
        <v>269</v>
      </c>
      <c r="P77" s="245"/>
      <c r="Q77" s="176" t="s">
        <v>270</v>
      </c>
      <c r="R77" s="273" t="s">
        <v>271</v>
      </c>
      <c r="S77" s="274"/>
      <c r="T77" s="273"/>
      <c r="U77" s="273"/>
      <c r="V77" s="273"/>
      <c r="W77" s="273"/>
      <c r="X77" s="274"/>
      <c r="Y77" s="275">
        <v>243145000</v>
      </c>
      <c r="Z77" s="275">
        <v>44350881</v>
      </c>
      <c r="AA77" s="296"/>
      <c r="AB77" s="297">
        <v>198794119</v>
      </c>
      <c r="AC77" s="297">
        <f t="shared" si="17"/>
        <v>176765456</v>
      </c>
      <c r="AD77" s="297">
        <f>+AB77-AC77</f>
        <v>22028663</v>
      </c>
      <c r="AE77" s="297">
        <v>0</v>
      </c>
      <c r="AF77" s="297">
        <v>0</v>
      </c>
      <c r="AG77" s="297">
        <v>0</v>
      </c>
      <c r="AH77" s="297">
        <v>0</v>
      </c>
      <c r="AI77" s="297">
        <v>0</v>
      </c>
      <c r="AJ77" s="297">
        <v>0</v>
      </c>
      <c r="AK77" s="297">
        <v>0</v>
      </c>
      <c r="AL77" s="297">
        <v>176765456</v>
      </c>
      <c r="AM77" s="297">
        <v>0</v>
      </c>
      <c r="AN77" s="297">
        <v>0</v>
      </c>
      <c r="AO77" s="297">
        <v>0</v>
      </c>
      <c r="AP77" s="297">
        <v>0</v>
      </c>
      <c r="AQ77" s="296"/>
      <c r="AR77" s="297">
        <f t="shared" ref="AR77:AR82" si="27">+Y77-Z77-AC77-AD77</f>
        <v>0</v>
      </c>
      <c r="AS77" s="313" t="s">
        <v>148</v>
      </c>
      <c r="AT77" s="313" t="s">
        <v>1464</v>
      </c>
      <c r="AU77" s="176" t="s">
        <v>138</v>
      </c>
    </row>
    <row r="78" spans="1:47" s="218" customFormat="1" ht="25.5" customHeight="1" outlineLevel="2">
      <c r="A78" s="215" t="s">
        <v>125</v>
      </c>
      <c r="B78" s="151">
        <v>31</v>
      </c>
      <c r="C78" s="151" t="s">
        <v>128</v>
      </c>
      <c r="D78" s="245" t="s">
        <v>139</v>
      </c>
      <c r="E78" s="151" t="s">
        <v>169</v>
      </c>
      <c r="F78" s="151" t="s">
        <v>140</v>
      </c>
      <c r="G78" s="151" t="s">
        <v>32</v>
      </c>
      <c r="H78" s="151" t="s">
        <v>43</v>
      </c>
      <c r="I78" s="256">
        <v>4</v>
      </c>
      <c r="J78" s="151" t="s">
        <v>80</v>
      </c>
      <c r="K78" s="176" t="s">
        <v>132</v>
      </c>
      <c r="L78" s="245">
        <v>30067012</v>
      </c>
      <c r="M78" s="855"/>
      <c r="N78" s="245" t="s">
        <v>133</v>
      </c>
      <c r="O78" s="245" t="s">
        <v>272</v>
      </c>
      <c r="P78" s="245"/>
      <c r="Q78" s="176" t="s">
        <v>273</v>
      </c>
      <c r="R78" s="273" t="s">
        <v>274</v>
      </c>
      <c r="S78" s="274"/>
      <c r="T78" s="273"/>
      <c r="U78" s="273"/>
      <c r="V78" s="273"/>
      <c r="W78" s="273"/>
      <c r="X78" s="274"/>
      <c r="Y78" s="275">
        <f>+Z78+30870823</f>
        <v>3101704930</v>
      </c>
      <c r="Z78" s="275">
        <v>3070834107</v>
      </c>
      <c r="AA78" s="296"/>
      <c r="AB78" s="297">
        <f>2142214+678300</f>
        <v>2820514</v>
      </c>
      <c r="AC78" s="297">
        <f t="shared" si="17"/>
        <v>2820514</v>
      </c>
      <c r="AD78" s="297">
        <f>+AB78-AC78</f>
        <v>0</v>
      </c>
      <c r="AE78" s="297"/>
      <c r="AF78" s="297"/>
      <c r="AG78" s="297"/>
      <c r="AH78" s="297"/>
      <c r="AI78" s="297"/>
      <c r="AJ78" s="297">
        <v>0</v>
      </c>
      <c r="AK78" s="297">
        <v>678300</v>
      </c>
      <c r="AL78" s="297">
        <v>2142214</v>
      </c>
      <c r="AM78" s="297">
        <v>0</v>
      </c>
      <c r="AN78" s="297"/>
      <c r="AO78" s="297"/>
      <c r="AP78" s="297"/>
      <c r="AQ78" s="296"/>
      <c r="AR78" s="297">
        <f t="shared" si="27"/>
        <v>28050309</v>
      </c>
      <c r="AS78" s="313" t="s">
        <v>275</v>
      </c>
      <c r="AT78" s="313" t="s">
        <v>275</v>
      </c>
      <c r="AU78" s="176" t="s">
        <v>138</v>
      </c>
    </row>
    <row r="79" spans="1:47" s="218" customFormat="1" ht="25.5" customHeight="1" outlineLevel="2">
      <c r="A79" s="215" t="s">
        <v>125</v>
      </c>
      <c r="B79" s="151">
        <v>29</v>
      </c>
      <c r="C79" s="151" t="s">
        <v>128</v>
      </c>
      <c r="D79" s="245" t="s">
        <v>129</v>
      </c>
      <c r="E79" s="151" t="s">
        <v>130</v>
      </c>
      <c r="F79" s="151" t="s">
        <v>140</v>
      </c>
      <c r="G79" s="151" t="s">
        <v>32</v>
      </c>
      <c r="H79" s="151" t="s">
        <v>43</v>
      </c>
      <c r="I79" s="256">
        <v>4</v>
      </c>
      <c r="J79" s="151" t="s">
        <v>80</v>
      </c>
      <c r="K79" s="176" t="s">
        <v>132</v>
      </c>
      <c r="L79" s="245">
        <v>40018376</v>
      </c>
      <c r="M79" s="855"/>
      <c r="N79" s="245" t="e">
        <v>#N/A</v>
      </c>
      <c r="O79" s="245" t="s">
        <v>276</v>
      </c>
      <c r="P79" s="257" t="s">
        <v>277</v>
      </c>
      <c r="Q79" s="176" t="s">
        <v>278</v>
      </c>
      <c r="R79" s="273" t="s">
        <v>279</v>
      </c>
      <c r="S79" s="274"/>
      <c r="T79" s="327">
        <v>94626000</v>
      </c>
      <c r="U79" s="327" t="s">
        <v>1541</v>
      </c>
      <c r="V79" s="273">
        <v>94626000</v>
      </c>
      <c r="W79" s="273"/>
      <c r="X79" s="274"/>
      <c r="Y79" s="275">
        <v>94625230</v>
      </c>
      <c r="Z79" s="275">
        <v>0</v>
      </c>
      <c r="AA79" s="296"/>
      <c r="AB79" s="297">
        <f>94626000-770</f>
        <v>94625230</v>
      </c>
      <c r="AC79" s="297">
        <f>SUBTOTAL(9,AE79:AP79)</f>
        <v>94625230</v>
      </c>
      <c r="AD79" s="297">
        <f>+AB79-AC79</f>
        <v>0</v>
      </c>
      <c r="AE79" s="297">
        <v>0</v>
      </c>
      <c r="AF79" s="297">
        <v>0</v>
      </c>
      <c r="AG79" s="297">
        <v>0</v>
      </c>
      <c r="AH79" s="297">
        <v>0</v>
      </c>
      <c r="AI79" s="297">
        <v>0</v>
      </c>
      <c r="AJ79" s="297">
        <v>94625230</v>
      </c>
      <c r="AK79" s="297">
        <v>0</v>
      </c>
      <c r="AL79" s="297">
        <v>0</v>
      </c>
      <c r="AM79" s="297">
        <v>0</v>
      </c>
      <c r="AN79" s="297">
        <v>0</v>
      </c>
      <c r="AO79" s="297">
        <v>0</v>
      </c>
      <c r="AP79" s="297">
        <v>0</v>
      </c>
      <c r="AQ79" s="296"/>
      <c r="AR79" s="297">
        <f t="shared" si="27"/>
        <v>0</v>
      </c>
      <c r="AS79" s="313" t="s">
        <v>148</v>
      </c>
      <c r="AT79" s="313" t="s">
        <v>1464</v>
      </c>
      <c r="AU79" s="176" t="s">
        <v>1701</v>
      </c>
    </row>
    <row r="80" spans="1:47" s="218" customFormat="1" ht="25.5" customHeight="1" outlineLevel="2">
      <c r="A80" s="215" t="s">
        <v>125</v>
      </c>
      <c r="B80" s="191">
        <v>33</v>
      </c>
      <c r="C80" s="191" t="s">
        <v>128</v>
      </c>
      <c r="D80" s="246" t="s">
        <v>149</v>
      </c>
      <c r="E80" s="191" t="s">
        <v>130</v>
      </c>
      <c r="F80" s="191" t="s">
        <v>140</v>
      </c>
      <c r="G80" s="191" t="s">
        <v>32</v>
      </c>
      <c r="H80" s="191" t="s">
        <v>43</v>
      </c>
      <c r="I80" s="258">
        <v>4</v>
      </c>
      <c r="J80" s="191" t="s">
        <v>83</v>
      </c>
      <c r="K80" s="192" t="s">
        <v>132</v>
      </c>
      <c r="L80" s="246" t="s">
        <v>83</v>
      </c>
      <c r="M80" s="861" t="s">
        <v>1604</v>
      </c>
      <c r="N80" s="246"/>
      <c r="O80" s="245" t="s">
        <v>183</v>
      </c>
      <c r="P80" s="246"/>
      <c r="Q80" s="192" t="s">
        <v>184</v>
      </c>
      <c r="R80" s="276"/>
      <c r="S80" s="277"/>
      <c r="T80" s="276"/>
      <c r="U80" s="276"/>
      <c r="V80" s="276"/>
      <c r="W80" s="276"/>
      <c r="X80" s="277"/>
      <c r="Y80" s="194">
        <v>100000000</v>
      </c>
      <c r="Z80" s="194">
        <f>+FRIL!J118</f>
        <v>0</v>
      </c>
      <c r="AA80" s="298"/>
      <c r="AB80" s="299">
        <v>100000000</v>
      </c>
      <c r="AC80" s="299">
        <f t="shared" si="17"/>
        <v>0</v>
      </c>
      <c r="AD80" s="299">
        <f>+AB80-AC80</f>
        <v>100000000</v>
      </c>
      <c r="AE80" s="299">
        <v>0</v>
      </c>
      <c r="AF80" s="299">
        <v>0</v>
      </c>
      <c r="AG80" s="299">
        <v>0</v>
      </c>
      <c r="AH80" s="299">
        <v>0</v>
      </c>
      <c r="AI80" s="299">
        <v>0</v>
      </c>
      <c r="AJ80" s="297">
        <v>0</v>
      </c>
      <c r="AK80" s="299">
        <v>0</v>
      </c>
      <c r="AL80" s="299">
        <v>0</v>
      </c>
      <c r="AM80" s="299">
        <v>0</v>
      </c>
      <c r="AN80" s="299">
        <v>0</v>
      </c>
      <c r="AO80" s="297">
        <v>0</v>
      </c>
      <c r="AP80" s="299">
        <v>0</v>
      </c>
      <c r="AQ80" s="298"/>
      <c r="AR80" s="299">
        <f t="shared" si="27"/>
        <v>0</v>
      </c>
      <c r="AS80" s="314" t="s">
        <v>185</v>
      </c>
      <c r="AT80" s="314" t="s">
        <v>83</v>
      </c>
      <c r="AU80" s="192" t="s">
        <v>138</v>
      </c>
    </row>
    <row r="81" spans="1:49" s="218" customFormat="1" ht="25.5" customHeight="1" outlineLevel="2">
      <c r="A81" s="215" t="s">
        <v>125</v>
      </c>
      <c r="B81" s="151">
        <v>33</v>
      </c>
      <c r="C81" s="151" t="s">
        <v>128</v>
      </c>
      <c r="D81" s="245" t="s">
        <v>149</v>
      </c>
      <c r="E81" s="151" t="s">
        <v>130</v>
      </c>
      <c r="F81" s="151" t="s">
        <v>140</v>
      </c>
      <c r="G81" s="151" t="s">
        <v>32</v>
      </c>
      <c r="H81" s="151" t="s">
        <v>43</v>
      </c>
      <c r="I81" s="256">
        <v>4</v>
      </c>
      <c r="J81" s="151" t="s">
        <v>83</v>
      </c>
      <c r="K81" s="176" t="s">
        <v>132</v>
      </c>
      <c r="L81" s="245" t="s">
        <v>83</v>
      </c>
      <c r="M81" s="855"/>
      <c r="N81" s="245"/>
      <c r="O81" s="245" t="s">
        <v>183</v>
      </c>
      <c r="P81" s="245"/>
      <c r="Q81" s="176" t="s">
        <v>186</v>
      </c>
      <c r="R81" s="273"/>
      <c r="S81" s="274"/>
      <c r="T81" s="273"/>
      <c r="U81" s="273"/>
      <c r="V81" s="273"/>
      <c r="W81" s="273"/>
      <c r="X81" s="274"/>
      <c r="Y81" s="275">
        <v>200000000</v>
      </c>
      <c r="Z81" s="275">
        <f>+FRIL!J119</f>
        <v>0</v>
      </c>
      <c r="AA81" s="296"/>
      <c r="AB81" s="297">
        <v>200000000</v>
      </c>
      <c r="AC81" s="297">
        <f t="shared" si="17"/>
        <v>109473218</v>
      </c>
      <c r="AD81" s="297">
        <f>+AB81-AC81</f>
        <v>90526782</v>
      </c>
      <c r="AE81" s="297">
        <v>0</v>
      </c>
      <c r="AF81" s="297">
        <v>0</v>
      </c>
      <c r="AG81" s="297">
        <v>0</v>
      </c>
      <c r="AH81" s="297">
        <v>0</v>
      </c>
      <c r="AI81" s="297">
        <v>0</v>
      </c>
      <c r="AJ81" s="297">
        <v>0</v>
      </c>
      <c r="AK81" s="297">
        <v>54869950</v>
      </c>
      <c r="AL81" s="297">
        <v>0</v>
      </c>
      <c r="AM81" s="297">
        <v>24692135</v>
      </c>
      <c r="AN81" s="297">
        <v>0</v>
      </c>
      <c r="AO81" s="297">
        <f>+FRIL!L44</f>
        <v>29911133</v>
      </c>
      <c r="AP81" s="297">
        <v>0</v>
      </c>
      <c r="AQ81" s="296"/>
      <c r="AR81" s="297">
        <f t="shared" si="27"/>
        <v>0</v>
      </c>
      <c r="AS81" s="313" t="s">
        <v>185</v>
      </c>
      <c r="AT81" s="313" t="s">
        <v>83</v>
      </c>
      <c r="AU81" s="176" t="s">
        <v>138</v>
      </c>
    </row>
    <row r="82" spans="1:49" s="217" customFormat="1" ht="25.5" customHeight="1" outlineLevel="1">
      <c r="A82" s="215" t="s">
        <v>125</v>
      </c>
      <c r="B82" s="247"/>
      <c r="C82" s="247"/>
      <c r="D82" s="248"/>
      <c r="E82" s="249"/>
      <c r="F82" s="249"/>
      <c r="G82" s="249"/>
      <c r="H82" s="249"/>
      <c r="I82" s="249"/>
      <c r="J82" s="247"/>
      <c r="K82" s="259"/>
      <c r="L82" s="248"/>
      <c r="M82" s="248"/>
      <c r="N82" s="250"/>
      <c r="O82" s="250"/>
      <c r="P82" s="250"/>
      <c r="Q82" s="260" t="s">
        <v>187</v>
      </c>
      <c r="R82" s="278"/>
      <c r="S82" s="279"/>
      <c r="T82" s="279"/>
      <c r="U82" s="279"/>
      <c r="V82" s="279"/>
      <c r="W82" s="279"/>
      <c r="X82" s="281"/>
      <c r="Y82" s="286">
        <f>+Y77+Y80+Y81+Y78+Y79</f>
        <v>3739475160</v>
      </c>
      <c r="Z82" s="286">
        <f>+Z77+Z80+Z81+Z78+Z79</f>
        <v>3115184988</v>
      </c>
      <c r="AA82" s="303"/>
      <c r="AB82" s="286">
        <f t="shared" ref="AB82:AP82" si="28">+AB77+AB80+AB81+AB78+AB79</f>
        <v>596239863</v>
      </c>
      <c r="AC82" s="286">
        <f t="shared" si="28"/>
        <v>383684418</v>
      </c>
      <c r="AD82" s="286">
        <f t="shared" si="28"/>
        <v>212555445</v>
      </c>
      <c r="AE82" s="286">
        <f t="shared" si="28"/>
        <v>0</v>
      </c>
      <c r="AF82" s="286">
        <f t="shared" si="28"/>
        <v>0</v>
      </c>
      <c r="AG82" s="286">
        <f t="shared" si="28"/>
        <v>0</v>
      </c>
      <c r="AH82" s="286">
        <f t="shared" si="28"/>
        <v>0</v>
      </c>
      <c r="AI82" s="286">
        <f t="shared" si="28"/>
        <v>0</v>
      </c>
      <c r="AJ82" s="286">
        <f t="shared" si="28"/>
        <v>94625230</v>
      </c>
      <c r="AK82" s="286">
        <f t="shared" si="28"/>
        <v>55548250</v>
      </c>
      <c r="AL82" s="286">
        <f t="shared" si="28"/>
        <v>178907670</v>
      </c>
      <c r="AM82" s="286">
        <f t="shared" si="28"/>
        <v>24692135</v>
      </c>
      <c r="AN82" s="286">
        <f t="shared" si="28"/>
        <v>0</v>
      </c>
      <c r="AO82" s="286">
        <f t="shared" si="28"/>
        <v>29911133</v>
      </c>
      <c r="AP82" s="286">
        <f t="shared" si="28"/>
        <v>0</v>
      </c>
      <c r="AQ82" s="287"/>
      <c r="AR82" s="286">
        <f t="shared" si="27"/>
        <v>28050309</v>
      </c>
      <c r="AS82" s="315"/>
      <c r="AT82" s="315"/>
      <c r="AU82" s="220"/>
    </row>
    <row r="83" spans="1:49" ht="18.75" customHeight="1" outlineLevel="1">
      <c r="A83" s="215" t="s">
        <v>125</v>
      </c>
      <c r="B83" s="249"/>
      <c r="C83" s="249"/>
      <c r="D83" s="250"/>
      <c r="E83" s="249"/>
      <c r="F83" s="249"/>
      <c r="G83" s="249"/>
      <c r="H83" s="249"/>
      <c r="I83" s="249"/>
      <c r="J83" s="249"/>
      <c r="K83" s="261"/>
      <c r="L83" s="250"/>
      <c r="M83" s="250"/>
      <c r="N83" s="250"/>
      <c r="O83" s="250"/>
      <c r="P83" s="250"/>
      <c r="Q83" s="261"/>
      <c r="R83" s="283"/>
      <c r="S83" s="283"/>
      <c r="T83" s="283"/>
      <c r="U83" s="283"/>
      <c r="V83" s="283"/>
      <c r="W83" s="283"/>
      <c r="X83" s="283"/>
      <c r="Y83" s="284"/>
      <c r="Z83" s="284"/>
      <c r="AA83" s="301"/>
      <c r="AB83" s="301"/>
      <c r="AC83" s="301"/>
      <c r="AD83" s="301"/>
      <c r="AE83" s="301"/>
      <c r="AF83" s="301"/>
      <c r="AG83" s="301"/>
      <c r="AH83" s="301"/>
      <c r="AI83" s="301"/>
      <c r="AJ83" s="301"/>
      <c r="AK83" s="301"/>
      <c r="AL83" s="301"/>
      <c r="AM83" s="301"/>
      <c r="AN83" s="301"/>
      <c r="AO83" s="301"/>
      <c r="AP83" s="301"/>
      <c r="AQ83" s="301"/>
      <c r="AR83" s="301"/>
      <c r="AS83" s="316"/>
      <c r="AT83" s="316"/>
      <c r="AU83" s="317"/>
    </row>
    <row r="84" spans="1:49" s="217" customFormat="1" ht="25.5" customHeight="1" outlineLevel="1">
      <c r="A84" s="215" t="s">
        <v>125</v>
      </c>
      <c r="B84" s="247"/>
      <c r="C84" s="247"/>
      <c r="D84" s="248"/>
      <c r="E84" s="249"/>
      <c r="F84" s="249"/>
      <c r="G84" s="249"/>
      <c r="H84" s="249"/>
      <c r="I84" s="249"/>
      <c r="J84" s="247"/>
      <c r="K84" s="259"/>
      <c r="L84" s="248"/>
      <c r="M84" s="248"/>
      <c r="N84" s="250"/>
      <c r="O84" s="250"/>
      <c r="P84" s="250"/>
      <c r="Q84" s="99" t="s">
        <v>188</v>
      </c>
      <c r="R84" s="283"/>
      <c r="S84" s="283"/>
      <c r="T84" s="283"/>
      <c r="U84" s="283"/>
      <c r="V84" s="283"/>
      <c r="W84" s="283"/>
      <c r="X84" s="283"/>
      <c r="Y84" s="285"/>
      <c r="Z84" s="285"/>
      <c r="AA84" s="302"/>
      <c r="AB84" s="302"/>
      <c r="AC84" s="302"/>
      <c r="AD84" s="302"/>
      <c r="AE84" s="302"/>
      <c r="AF84" s="302"/>
      <c r="AG84" s="302"/>
      <c r="AH84" s="301"/>
      <c r="AI84" s="301"/>
      <c r="AJ84" s="301"/>
      <c r="AK84" s="301"/>
      <c r="AL84" s="301"/>
      <c r="AM84" s="301"/>
      <c r="AN84" s="301"/>
      <c r="AO84" s="301"/>
      <c r="AP84" s="301"/>
      <c r="AQ84" s="302"/>
      <c r="AR84" s="302"/>
      <c r="AS84" s="315"/>
      <c r="AT84" s="315"/>
      <c r="AU84" s="220"/>
    </row>
    <row r="85" spans="1:49" s="218" customFormat="1" ht="25.5" customHeight="1" outlineLevel="2">
      <c r="A85" s="215" t="s">
        <v>125</v>
      </c>
      <c r="B85" s="151">
        <v>31</v>
      </c>
      <c r="C85" s="151" t="s">
        <v>128</v>
      </c>
      <c r="D85" s="245" t="s">
        <v>149</v>
      </c>
      <c r="E85" s="151" t="s">
        <v>130</v>
      </c>
      <c r="F85" s="151" t="s">
        <v>131</v>
      </c>
      <c r="G85" s="151" t="s">
        <v>32</v>
      </c>
      <c r="H85" s="151" t="s">
        <v>43</v>
      </c>
      <c r="I85" s="256">
        <v>4</v>
      </c>
      <c r="J85" s="151" t="s">
        <v>80</v>
      </c>
      <c r="K85" s="176" t="s">
        <v>132</v>
      </c>
      <c r="L85" s="245">
        <v>40015603</v>
      </c>
      <c r="M85" s="855"/>
      <c r="N85" s="245"/>
      <c r="O85" s="245" t="s">
        <v>280</v>
      </c>
      <c r="P85" s="257" t="s">
        <v>281</v>
      </c>
      <c r="Q85" s="176" t="s">
        <v>282</v>
      </c>
      <c r="R85" s="273" t="s">
        <v>283</v>
      </c>
      <c r="S85" s="274"/>
      <c r="T85" s="327">
        <v>105695000</v>
      </c>
      <c r="U85" s="327" t="s">
        <v>1542</v>
      </c>
      <c r="V85" s="273">
        <v>103016000</v>
      </c>
      <c r="W85" s="273"/>
      <c r="X85" s="274"/>
      <c r="Y85" s="275">
        <v>103016000</v>
      </c>
      <c r="Z85" s="275">
        <v>0</v>
      </c>
      <c r="AA85" s="296"/>
      <c r="AB85" s="297">
        <v>103016000</v>
      </c>
      <c r="AC85" s="297">
        <f t="shared" si="17"/>
        <v>0</v>
      </c>
      <c r="AD85" s="297">
        <f>+AB85-AC85</f>
        <v>103016000</v>
      </c>
      <c r="AE85" s="297">
        <v>0</v>
      </c>
      <c r="AF85" s="297">
        <v>0</v>
      </c>
      <c r="AG85" s="297">
        <v>0</v>
      </c>
      <c r="AH85" s="297">
        <v>0</v>
      </c>
      <c r="AI85" s="297">
        <v>0</v>
      </c>
      <c r="AJ85" s="297">
        <v>0</v>
      </c>
      <c r="AK85" s="297">
        <v>0</v>
      </c>
      <c r="AL85" s="297">
        <v>0</v>
      </c>
      <c r="AM85" s="297">
        <v>0</v>
      </c>
      <c r="AN85" s="297">
        <v>0</v>
      </c>
      <c r="AO85" s="297">
        <v>0</v>
      </c>
      <c r="AP85" s="297">
        <v>0</v>
      </c>
      <c r="AQ85" s="296"/>
      <c r="AR85" s="297">
        <f>+Y85-Z85-AC85-AD85</f>
        <v>0</v>
      </c>
      <c r="AS85" s="313" t="s">
        <v>137</v>
      </c>
      <c r="AT85" s="313" t="s">
        <v>137</v>
      </c>
      <c r="AU85" s="176" t="s">
        <v>1547</v>
      </c>
      <c r="AW85" s="334"/>
    </row>
    <row r="86" spans="1:49" s="218" customFormat="1" ht="25.5" customHeight="1" outlineLevel="2">
      <c r="A86" s="215" t="s">
        <v>125</v>
      </c>
      <c r="B86" s="151">
        <v>31</v>
      </c>
      <c r="C86" s="151" t="s">
        <v>128</v>
      </c>
      <c r="D86" s="245" t="s">
        <v>164</v>
      </c>
      <c r="E86" s="151" t="s">
        <v>169</v>
      </c>
      <c r="F86" s="151" t="s">
        <v>164</v>
      </c>
      <c r="G86" s="151" t="s">
        <v>32</v>
      </c>
      <c r="H86" s="151" t="s">
        <v>43</v>
      </c>
      <c r="I86" s="256">
        <v>4</v>
      </c>
      <c r="J86" s="151" t="s">
        <v>80</v>
      </c>
      <c r="K86" s="176" t="s">
        <v>202</v>
      </c>
      <c r="L86" s="245">
        <v>40007052</v>
      </c>
      <c r="M86" s="855"/>
      <c r="N86" s="245" t="e">
        <v>#N/A</v>
      </c>
      <c r="O86" s="245" t="s">
        <v>284</v>
      </c>
      <c r="P86" s="257" t="s">
        <v>285</v>
      </c>
      <c r="Q86" s="176" t="s">
        <v>286</v>
      </c>
      <c r="R86" s="273" t="s">
        <v>287</v>
      </c>
      <c r="S86" s="274"/>
      <c r="T86" s="273"/>
      <c r="U86" s="273" t="s">
        <v>1540</v>
      </c>
      <c r="V86" s="273">
        <v>26527000</v>
      </c>
      <c r="W86" s="273"/>
      <c r="X86" s="274"/>
      <c r="Y86" s="275">
        <v>26527000</v>
      </c>
      <c r="Z86" s="275">
        <v>0</v>
      </c>
      <c r="AA86" s="296"/>
      <c r="AB86" s="297">
        <f>13250000+770</f>
        <v>13250770</v>
      </c>
      <c r="AC86" s="297">
        <f t="shared" si="17"/>
        <v>0</v>
      </c>
      <c r="AD86" s="297">
        <f>+AB86-AC86</f>
        <v>13250770</v>
      </c>
      <c r="AE86" s="297">
        <v>0</v>
      </c>
      <c r="AF86" s="297">
        <v>0</v>
      </c>
      <c r="AG86" s="297">
        <v>0</v>
      </c>
      <c r="AH86" s="297">
        <v>0</v>
      </c>
      <c r="AI86" s="297">
        <v>0</v>
      </c>
      <c r="AJ86" s="297">
        <v>0</v>
      </c>
      <c r="AK86" s="297">
        <v>0</v>
      </c>
      <c r="AL86" s="297">
        <v>0</v>
      </c>
      <c r="AM86" s="297">
        <v>0</v>
      </c>
      <c r="AN86" s="297">
        <v>0</v>
      </c>
      <c r="AO86" s="297">
        <v>0</v>
      </c>
      <c r="AP86" s="297">
        <v>0</v>
      </c>
      <c r="AQ86" s="296"/>
      <c r="AR86" s="297">
        <f>+Y86-Z86-AC86-AD86</f>
        <v>13276230</v>
      </c>
      <c r="AS86" s="313" t="s">
        <v>137</v>
      </c>
      <c r="AT86" s="313" t="s">
        <v>137</v>
      </c>
      <c r="AU86" s="176" t="s">
        <v>394</v>
      </c>
    </row>
    <row r="87" spans="1:49" s="217" customFormat="1" ht="25.5" customHeight="1" outlineLevel="1">
      <c r="A87" s="215" t="s">
        <v>125</v>
      </c>
      <c r="B87" s="247"/>
      <c r="C87" s="247"/>
      <c r="D87" s="248"/>
      <c r="E87" s="249"/>
      <c r="F87" s="249"/>
      <c r="G87" s="249"/>
      <c r="H87" s="249"/>
      <c r="I87" s="249"/>
      <c r="J87" s="247"/>
      <c r="K87" s="259"/>
      <c r="L87" s="248"/>
      <c r="M87" s="248"/>
      <c r="N87" s="250"/>
      <c r="O87" s="250"/>
      <c r="P87" s="250"/>
      <c r="Q87" s="260" t="s">
        <v>201</v>
      </c>
      <c r="R87" s="278"/>
      <c r="S87" s="279"/>
      <c r="T87" s="279"/>
      <c r="U87" s="279"/>
      <c r="V87" s="279"/>
      <c r="W87" s="279"/>
      <c r="X87" s="281"/>
      <c r="Y87" s="286">
        <f>SUM(Y85:Y86)</f>
        <v>129543000</v>
      </c>
      <c r="Z87" s="286">
        <f>SUM(Z85:Z86)</f>
        <v>0</v>
      </c>
      <c r="AA87" s="303"/>
      <c r="AB87" s="286">
        <f t="shared" ref="AB87:AP87" si="29">SUM(AB85:AB86)</f>
        <v>116266770</v>
      </c>
      <c r="AC87" s="286">
        <f t="shared" si="29"/>
        <v>0</v>
      </c>
      <c r="AD87" s="286">
        <f t="shared" si="29"/>
        <v>116266770</v>
      </c>
      <c r="AE87" s="286">
        <f t="shared" si="29"/>
        <v>0</v>
      </c>
      <c r="AF87" s="286">
        <f t="shared" si="29"/>
        <v>0</v>
      </c>
      <c r="AG87" s="286">
        <f t="shared" si="29"/>
        <v>0</v>
      </c>
      <c r="AH87" s="286">
        <f t="shared" si="29"/>
        <v>0</v>
      </c>
      <c r="AI87" s="286">
        <f t="shared" si="29"/>
        <v>0</v>
      </c>
      <c r="AJ87" s="286">
        <f t="shared" si="29"/>
        <v>0</v>
      </c>
      <c r="AK87" s="286">
        <f t="shared" si="29"/>
        <v>0</v>
      </c>
      <c r="AL87" s="286">
        <f t="shared" si="29"/>
        <v>0</v>
      </c>
      <c r="AM87" s="286">
        <f t="shared" si="29"/>
        <v>0</v>
      </c>
      <c r="AN87" s="286">
        <f t="shared" si="29"/>
        <v>0</v>
      </c>
      <c r="AO87" s="286">
        <f t="shared" si="29"/>
        <v>0</v>
      </c>
      <c r="AP87" s="286">
        <f t="shared" si="29"/>
        <v>0</v>
      </c>
      <c r="AQ87" s="287"/>
      <c r="AR87" s="286">
        <f>+Y87-Z87-AC87-AD87</f>
        <v>13276230</v>
      </c>
      <c r="AS87" s="315"/>
      <c r="AT87" s="315"/>
      <c r="AU87" s="220"/>
    </row>
    <row r="88" spans="1:49" ht="18.75" customHeight="1" outlineLevel="1">
      <c r="A88" s="215" t="s">
        <v>125</v>
      </c>
      <c r="B88" s="249"/>
      <c r="C88" s="249"/>
      <c r="D88" s="250"/>
      <c r="E88" s="249"/>
      <c r="F88" s="249"/>
      <c r="G88" s="249"/>
      <c r="H88" s="249"/>
      <c r="I88" s="249"/>
      <c r="J88" s="249"/>
      <c r="K88" s="261"/>
      <c r="L88" s="250"/>
      <c r="M88" s="250"/>
      <c r="N88" s="250"/>
      <c r="O88" s="250"/>
      <c r="P88" s="250"/>
      <c r="Q88" s="261"/>
      <c r="R88" s="283"/>
      <c r="S88" s="283"/>
      <c r="T88" s="283"/>
      <c r="U88" s="283"/>
      <c r="V88" s="283"/>
      <c r="W88" s="283"/>
      <c r="X88" s="283"/>
      <c r="Y88" s="284"/>
      <c r="Z88" s="284"/>
      <c r="AA88" s="301"/>
      <c r="AB88" s="301"/>
      <c r="AC88" s="301"/>
      <c r="AD88" s="301"/>
      <c r="AE88" s="301"/>
      <c r="AF88" s="301"/>
      <c r="AG88" s="301"/>
      <c r="AH88" s="301"/>
      <c r="AI88" s="301"/>
      <c r="AJ88" s="301"/>
      <c r="AK88" s="301"/>
      <c r="AL88" s="301"/>
      <c r="AM88" s="301"/>
      <c r="AN88" s="301"/>
      <c r="AO88" s="301"/>
      <c r="AP88" s="301"/>
      <c r="AQ88" s="301"/>
      <c r="AR88" s="301"/>
      <c r="AS88" s="316"/>
      <c r="AT88" s="316"/>
      <c r="AU88" s="317"/>
    </row>
    <row r="89" spans="1:49" s="219" customFormat="1" ht="24.75" customHeight="1" outlineLevel="1">
      <c r="A89" s="215" t="s">
        <v>125</v>
      </c>
      <c r="B89" s="251"/>
      <c r="C89" s="249"/>
      <c r="D89" s="250"/>
      <c r="E89" s="249"/>
      <c r="F89" s="249"/>
      <c r="G89" s="249"/>
      <c r="H89" s="249"/>
      <c r="I89" s="249"/>
      <c r="J89" s="251"/>
      <c r="K89" s="263"/>
      <c r="L89" s="252"/>
      <c r="M89" s="252"/>
      <c r="N89" s="252"/>
      <c r="O89" s="252"/>
      <c r="P89" s="252"/>
      <c r="Q89" s="117" t="s">
        <v>291</v>
      </c>
      <c r="R89" s="288"/>
      <c r="S89" s="289"/>
      <c r="T89" s="289"/>
      <c r="U89" s="289"/>
      <c r="V89" s="289"/>
      <c r="W89" s="289"/>
      <c r="X89" s="290"/>
      <c r="Y89" s="118">
        <f>+Y82+Y87</f>
        <v>3869018160</v>
      </c>
      <c r="Z89" s="118">
        <f>+Z82+Z87</f>
        <v>3115184988</v>
      </c>
      <c r="AA89" s="304"/>
      <c r="AB89" s="118">
        <f t="shared" ref="AB89:AI89" si="30">+AB82+AB87</f>
        <v>712506633</v>
      </c>
      <c r="AC89" s="118">
        <f t="shared" si="30"/>
        <v>383684418</v>
      </c>
      <c r="AD89" s="118">
        <f t="shared" si="30"/>
        <v>328822215</v>
      </c>
      <c r="AE89" s="118">
        <f t="shared" si="30"/>
        <v>0</v>
      </c>
      <c r="AF89" s="118">
        <f t="shared" si="30"/>
        <v>0</v>
      </c>
      <c r="AG89" s="118">
        <f t="shared" si="30"/>
        <v>0</v>
      </c>
      <c r="AH89" s="118">
        <f t="shared" si="30"/>
        <v>0</v>
      </c>
      <c r="AI89" s="118">
        <f t="shared" si="30"/>
        <v>0</v>
      </c>
      <c r="AJ89" s="118">
        <v>94625230</v>
      </c>
      <c r="AK89" s="118">
        <f t="shared" ref="AK89:AP89" si="31">+AK82+AK87</f>
        <v>55548250</v>
      </c>
      <c r="AL89" s="118">
        <f t="shared" si="31"/>
        <v>178907670</v>
      </c>
      <c r="AM89" s="118">
        <f t="shared" si="31"/>
        <v>24692135</v>
      </c>
      <c r="AN89" s="118">
        <f t="shared" si="31"/>
        <v>0</v>
      </c>
      <c r="AO89" s="118">
        <f t="shared" si="31"/>
        <v>29911133</v>
      </c>
      <c r="AP89" s="118">
        <f t="shared" si="31"/>
        <v>0</v>
      </c>
      <c r="AQ89" s="318"/>
      <c r="AR89" s="118">
        <f>+Y89-Z89-AC89-AD89</f>
        <v>41326539</v>
      </c>
      <c r="AS89" s="333"/>
      <c r="AT89" s="333"/>
      <c r="AU89" s="320"/>
    </row>
    <row r="90" spans="1:49" ht="18.75" customHeight="1" outlineLevel="1">
      <c r="A90" s="215" t="s">
        <v>125</v>
      </c>
      <c r="B90" s="249"/>
      <c r="C90" s="249"/>
      <c r="D90" s="250"/>
      <c r="E90" s="249"/>
      <c r="F90" s="249"/>
      <c r="G90" s="249"/>
      <c r="H90" s="249"/>
      <c r="I90" s="249"/>
      <c r="J90" s="249"/>
      <c r="K90" s="261"/>
      <c r="L90" s="250"/>
      <c r="M90" s="250"/>
      <c r="N90" s="250"/>
      <c r="O90" s="250"/>
      <c r="P90" s="250"/>
      <c r="Q90" s="261"/>
      <c r="R90" s="283"/>
      <c r="S90" s="283"/>
      <c r="T90" s="283"/>
      <c r="U90" s="283"/>
      <c r="V90" s="283"/>
      <c r="W90" s="283"/>
      <c r="X90" s="283"/>
      <c r="Y90" s="284"/>
      <c r="Z90" s="284"/>
      <c r="AA90" s="301"/>
      <c r="AB90" s="301"/>
      <c r="AC90" s="301"/>
      <c r="AD90" s="301"/>
      <c r="AE90" s="301"/>
      <c r="AF90" s="301"/>
      <c r="AG90" s="301"/>
      <c r="AH90" s="301"/>
      <c r="AI90" s="301"/>
      <c r="AJ90" s="301"/>
      <c r="AK90" s="301"/>
      <c r="AL90" s="301"/>
      <c r="AM90" s="301"/>
      <c r="AN90" s="301"/>
      <c r="AO90" s="301"/>
      <c r="AP90" s="301"/>
      <c r="AQ90" s="301"/>
      <c r="AR90" s="301"/>
      <c r="AS90" s="316"/>
      <c r="AT90" s="316"/>
      <c r="AU90" s="317"/>
    </row>
    <row r="91" spans="1:49" ht="26.25" customHeight="1" outlineLevel="1">
      <c r="A91" s="215" t="s">
        <v>125</v>
      </c>
      <c r="B91" s="249"/>
      <c r="C91" s="249"/>
      <c r="D91" s="250"/>
      <c r="E91" s="249"/>
      <c r="F91" s="249"/>
      <c r="G91" s="249"/>
      <c r="H91" s="249"/>
      <c r="I91" s="249"/>
      <c r="J91" s="249"/>
      <c r="K91" s="261"/>
      <c r="L91" s="250"/>
      <c r="M91" s="250"/>
      <c r="N91" s="250"/>
      <c r="O91" s="250"/>
      <c r="P91" s="250"/>
      <c r="Q91" s="264" t="s">
        <v>292</v>
      </c>
      <c r="R91" s="283"/>
      <c r="S91" s="283"/>
      <c r="T91" s="283"/>
      <c r="U91" s="283"/>
      <c r="V91" s="283"/>
      <c r="W91" s="283"/>
      <c r="X91" s="283"/>
      <c r="Y91" s="284"/>
      <c r="Z91" s="284"/>
      <c r="AA91" s="301"/>
      <c r="AB91" s="301"/>
      <c r="AC91" s="301"/>
      <c r="AD91" s="301"/>
      <c r="AE91" s="301"/>
      <c r="AF91" s="301"/>
      <c r="AG91" s="301"/>
      <c r="AH91" s="301"/>
      <c r="AI91" s="301"/>
      <c r="AJ91" s="301"/>
      <c r="AK91" s="301"/>
      <c r="AL91" s="301"/>
      <c r="AM91" s="301"/>
      <c r="AN91" s="301"/>
      <c r="AO91" s="301"/>
      <c r="AP91" s="301"/>
      <c r="AQ91" s="301"/>
      <c r="AR91" s="301"/>
      <c r="AS91" s="316"/>
      <c r="AT91" s="316"/>
      <c r="AU91" s="317"/>
    </row>
    <row r="92" spans="1:49" s="216" customFormat="1" ht="15" customHeight="1" outlineLevel="1">
      <c r="A92" s="215" t="s">
        <v>125</v>
      </c>
      <c r="B92" s="249"/>
      <c r="C92" s="249"/>
      <c r="D92" s="250"/>
      <c r="E92" s="249"/>
      <c r="F92" s="249"/>
      <c r="G92" s="249"/>
      <c r="H92" s="249"/>
      <c r="I92" s="249"/>
      <c r="J92" s="249"/>
      <c r="K92" s="261"/>
      <c r="L92" s="250"/>
      <c r="M92" s="250"/>
      <c r="N92" s="250"/>
      <c r="O92" s="250"/>
      <c r="P92" s="250"/>
      <c r="Q92" s="255"/>
      <c r="R92" s="283"/>
      <c r="S92" s="283"/>
      <c r="T92" s="283"/>
      <c r="U92" s="283"/>
      <c r="V92" s="283"/>
      <c r="W92" s="283"/>
      <c r="X92" s="283"/>
      <c r="Y92" s="284"/>
      <c r="Z92" s="284"/>
      <c r="AA92" s="301"/>
      <c r="AB92" s="301"/>
      <c r="AC92" s="301"/>
      <c r="AD92" s="301"/>
      <c r="AE92" s="301"/>
      <c r="AF92" s="301"/>
      <c r="AG92" s="301"/>
      <c r="AH92" s="301"/>
      <c r="AI92" s="301"/>
      <c r="AJ92" s="301"/>
      <c r="AK92" s="301"/>
      <c r="AL92" s="301"/>
      <c r="AM92" s="301"/>
      <c r="AN92" s="301"/>
      <c r="AO92" s="301"/>
      <c r="AP92" s="301"/>
      <c r="AQ92" s="301"/>
      <c r="AR92" s="301"/>
      <c r="AS92" s="316"/>
      <c r="AT92" s="316"/>
      <c r="AU92" s="317"/>
    </row>
    <row r="93" spans="1:49" s="217" customFormat="1" ht="25.5" customHeight="1" outlineLevel="1">
      <c r="A93" s="215" t="s">
        <v>125</v>
      </c>
      <c r="B93" s="247"/>
      <c r="C93" s="247"/>
      <c r="D93" s="248"/>
      <c r="E93" s="249"/>
      <c r="F93" s="249"/>
      <c r="G93" s="249"/>
      <c r="H93" s="249"/>
      <c r="I93" s="249"/>
      <c r="J93" s="247"/>
      <c r="K93" s="259"/>
      <c r="L93" s="248"/>
      <c r="M93" s="248"/>
      <c r="N93" s="250"/>
      <c r="O93" s="250"/>
      <c r="P93" s="250"/>
      <c r="Q93" s="99" t="s">
        <v>127</v>
      </c>
      <c r="R93" s="283"/>
      <c r="S93" s="283"/>
      <c r="T93" s="283"/>
      <c r="U93" s="283"/>
      <c r="V93" s="283"/>
      <c r="W93" s="283"/>
      <c r="X93" s="283"/>
      <c r="Y93" s="285"/>
      <c r="Z93" s="285"/>
      <c r="AA93" s="302"/>
      <c r="AB93" s="302"/>
      <c r="AC93" s="302"/>
      <c r="AD93" s="302"/>
      <c r="AE93" s="302"/>
      <c r="AF93" s="302"/>
      <c r="AG93" s="302"/>
      <c r="AH93" s="301"/>
      <c r="AI93" s="301"/>
      <c r="AJ93" s="301"/>
      <c r="AK93" s="301"/>
      <c r="AL93" s="301"/>
      <c r="AM93" s="301"/>
      <c r="AN93" s="301"/>
      <c r="AO93" s="301"/>
      <c r="AP93" s="301"/>
      <c r="AQ93" s="302"/>
      <c r="AR93" s="302"/>
      <c r="AS93" s="315"/>
      <c r="AT93" s="315"/>
      <c r="AU93" s="220"/>
    </row>
    <row r="94" spans="1:49" s="218" customFormat="1" ht="25.5" customHeight="1" outlineLevel="2">
      <c r="A94" s="215" t="s">
        <v>125</v>
      </c>
      <c r="B94" s="151">
        <v>31</v>
      </c>
      <c r="C94" s="151" t="s">
        <v>128</v>
      </c>
      <c r="D94" s="245" t="s">
        <v>139</v>
      </c>
      <c r="E94" s="151" t="s">
        <v>169</v>
      </c>
      <c r="F94" s="151" t="s">
        <v>140</v>
      </c>
      <c r="G94" s="151" t="s">
        <v>32</v>
      </c>
      <c r="H94" s="151" t="s">
        <v>44</v>
      </c>
      <c r="I94" s="256">
        <v>5</v>
      </c>
      <c r="J94" s="151" t="s">
        <v>80</v>
      </c>
      <c r="K94" s="176" t="s">
        <v>202</v>
      </c>
      <c r="L94" s="245">
        <v>30088194</v>
      </c>
      <c r="M94" s="855"/>
      <c r="N94" s="245" t="s">
        <v>133</v>
      </c>
      <c r="O94" s="245" t="s">
        <v>293</v>
      </c>
      <c r="P94" s="245"/>
      <c r="Q94" s="176" t="s">
        <v>294</v>
      </c>
      <c r="R94" s="273"/>
      <c r="S94" s="274"/>
      <c r="T94" s="273"/>
      <c r="U94" s="273"/>
      <c r="V94" s="273"/>
      <c r="W94" s="273"/>
      <c r="X94" s="274"/>
      <c r="Y94" s="275">
        <v>168868000</v>
      </c>
      <c r="Z94" s="275">
        <v>112337477</v>
      </c>
      <c r="AA94" s="296"/>
      <c r="AB94" s="297">
        <f>+Y94-Z94</f>
        <v>56530523</v>
      </c>
      <c r="AC94" s="297">
        <f t="shared" si="17"/>
        <v>42216590</v>
      </c>
      <c r="AD94" s="297">
        <f t="shared" ref="AD94:AD99" si="32">+AB94-AC94</f>
        <v>14313933</v>
      </c>
      <c r="AE94" s="297">
        <v>0</v>
      </c>
      <c r="AF94" s="297">
        <v>0</v>
      </c>
      <c r="AG94" s="297">
        <v>0</v>
      </c>
      <c r="AH94" s="297">
        <v>0</v>
      </c>
      <c r="AI94" s="297">
        <v>0</v>
      </c>
      <c r="AJ94" s="297">
        <v>0</v>
      </c>
      <c r="AK94" s="297">
        <v>0</v>
      </c>
      <c r="AL94" s="297">
        <v>42216590</v>
      </c>
      <c r="AM94" s="297">
        <v>0</v>
      </c>
      <c r="AN94" s="297">
        <v>0</v>
      </c>
      <c r="AO94" s="297">
        <v>0</v>
      </c>
      <c r="AP94" s="297">
        <v>0</v>
      </c>
      <c r="AQ94" s="296"/>
      <c r="AR94" s="297">
        <f t="shared" ref="AR94:AR99" si="33">+Y94-Z94-AC94-AD94</f>
        <v>0</v>
      </c>
      <c r="AS94" s="313" t="s">
        <v>137</v>
      </c>
      <c r="AT94" s="313" t="s">
        <v>137</v>
      </c>
      <c r="AU94" s="176" t="s">
        <v>138</v>
      </c>
    </row>
    <row r="95" spans="1:49" s="218" customFormat="1" ht="25.5" customHeight="1" outlineLevel="2">
      <c r="A95" s="215" t="s">
        <v>125</v>
      </c>
      <c r="B95" s="151">
        <v>31</v>
      </c>
      <c r="C95" s="151" t="s">
        <v>128</v>
      </c>
      <c r="D95" s="245" t="s">
        <v>149</v>
      </c>
      <c r="E95" s="151" t="s">
        <v>130</v>
      </c>
      <c r="F95" s="151" t="s">
        <v>140</v>
      </c>
      <c r="G95" s="151" t="s">
        <v>32</v>
      </c>
      <c r="H95" s="151" t="s">
        <v>44</v>
      </c>
      <c r="I95" s="256">
        <v>5</v>
      </c>
      <c r="J95" s="151" t="s">
        <v>81</v>
      </c>
      <c r="K95" s="176" t="s">
        <v>132</v>
      </c>
      <c r="L95" s="245">
        <v>30284622</v>
      </c>
      <c r="M95" s="855"/>
      <c r="N95" s="245" t="e">
        <v>#N/A</v>
      </c>
      <c r="O95" s="245" t="s">
        <v>295</v>
      </c>
      <c r="P95" s="257" t="s">
        <v>296</v>
      </c>
      <c r="Q95" s="176" t="s">
        <v>297</v>
      </c>
      <c r="R95" s="273"/>
      <c r="S95" s="274"/>
      <c r="T95" s="273"/>
      <c r="U95" s="273"/>
      <c r="V95" s="273"/>
      <c r="W95" s="273"/>
      <c r="X95" s="274"/>
      <c r="Y95" s="275">
        <v>692739000</v>
      </c>
      <c r="Z95" s="275">
        <v>0</v>
      </c>
      <c r="AA95" s="296"/>
      <c r="AB95" s="297">
        <f>543249605+6385064+113353943+1714285+8864696</f>
        <v>673567593</v>
      </c>
      <c r="AC95" s="297">
        <f t="shared" si="17"/>
        <v>666417182</v>
      </c>
      <c r="AD95" s="297">
        <f t="shared" si="32"/>
        <v>7150411</v>
      </c>
      <c r="AE95" s="297">
        <v>0</v>
      </c>
      <c r="AF95" s="297">
        <v>0</v>
      </c>
      <c r="AG95" s="297">
        <v>0</v>
      </c>
      <c r="AH95" s="297">
        <v>0</v>
      </c>
      <c r="AI95" s="297">
        <v>0</v>
      </c>
      <c r="AJ95" s="297">
        <v>1714285</v>
      </c>
      <c r="AK95" s="297">
        <v>1714285</v>
      </c>
      <c r="AL95" s="297">
        <v>113353943</v>
      </c>
      <c r="AM95" s="297">
        <v>245651400</v>
      </c>
      <c r="AN95" s="297">
        <v>181100621</v>
      </c>
      <c r="AO95" s="297">
        <v>122882648</v>
      </c>
      <c r="AP95" s="297">
        <v>0</v>
      </c>
      <c r="AQ95" s="296"/>
      <c r="AR95" s="297">
        <f t="shared" si="33"/>
        <v>19171407</v>
      </c>
      <c r="AS95" s="313" t="s">
        <v>137</v>
      </c>
      <c r="AT95" s="313" t="s">
        <v>137</v>
      </c>
      <c r="AU95" s="176" t="s">
        <v>138</v>
      </c>
    </row>
    <row r="96" spans="1:49" s="218" customFormat="1" ht="25.5" customHeight="1" outlineLevel="2">
      <c r="A96" s="215" t="s">
        <v>125</v>
      </c>
      <c r="B96" s="191">
        <v>33</v>
      </c>
      <c r="C96" s="191" t="s">
        <v>128</v>
      </c>
      <c r="D96" s="246" t="s">
        <v>149</v>
      </c>
      <c r="E96" s="191" t="s">
        <v>130</v>
      </c>
      <c r="F96" s="191" t="s">
        <v>140</v>
      </c>
      <c r="G96" s="191" t="s">
        <v>32</v>
      </c>
      <c r="H96" s="191" t="s">
        <v>44</v>
      </c>
      <c r="I96" s="258">
        <v>5</v>
      </c>
      <c r="J96" s="191" t="s">
        <v>83</v>
      </c>
      <c r="K96" s="192" t="s">
        <v>132</v>
      </c>
      <c r="L96" s="246" t="s">
        <v>83</v>
      </c>
      <c r="M96" s="861" t="s">
        <v>1604</v>
      </c>
      <c r="N96" s="246"/>
      <c r="O96" s="245" t="s">
        <v>183</v>
      </c>
      <c r="P96" s="246"/>
      <c r="Q96" s="192" t="s">
        <v>184</v>
      </c>
      <c r="R96" s="276"/>
      <c r="S96" s="277"/>
      <c r="T96" s="276"/>
      <c r="U96" s="276"/>
      <c r="V96" s="276"/>
      <c r="W96" s="276"/>
      <c r="X96" s="277"/>
      <c r="Y96" s="194">
        <v>100000000</v>
      </c>
      <c r="Z96" s="194">
        <f>+FRIL!J148</f>
        <v>0</v>
      </c>
      <c r="AA96" s="298"/>
      <c r="AB96" s="299">
        <v>100000000</v>
      </c>
      <c r="AC96" s="299">
        <f t="shared" si="17"/>
        <v>0</v>
      </c>
      <c r="AD96" s="299">
        <f t="shared" si="32"/>
        <v>100000000</v>
      </c>
      <c r="AE96" s="299">
        <v>0</v>
      </c>
      <c r="AF96" s="299">
        <v>0</v>
      </c>
      <c r="AG96" s="299">
        <v>0</v>
      </c>
      <c r="AH96" s="299">
        <v>0</v>
      </c>
      <c r="AI96" s="299">
        <v>0</v>
      </c>
      <c r="AJ96" s="297">
        <v>0</v>
      </c>
      <c r="AK96" s="299">
        <v>0</v>
      </c>
      <c r="AL96" s="299">
        <v>0</v>
      </c>
      <c r="AM96" s="299">
        <v>0</v>
      </c>
      <c r="AN96" s="299">
        <v>0</v>
      </c>
      <c r="AO96" s="297">
        <v>0</v>
      </c>
      <c r="AP96" s="299">
        <v>0</v>
      </c>
      <c r="AQ96" s="298"/>
      <c r="AR96" s="299">
        <f t="shared" si="33"/>
        <v>0</v>
      </c>
      <c r="AS96" s="314" t="s">
        <v>185</v>
      </c>
      <c r="AT96" s="314" t="s">
        <v>83</v>
      </c>
      <c r="AU96" s="192" t="s">
        <v>138</v>
      </c>
    </row>
    <row r="97" spans="1:47" s="218" customFormat="1" ht="25.5" customHeight="1" outlineLevel="2">
      <c r="A97" s="215" t="s">
        <v>125</v>
      </c>
      <c r="B97" s="151">
        <v>33</v>
      </c>
      <c r="C97" s="151" t="s">
        <v>128</v>
      </c>
      <c r="D97" s="245" t="s">
        <v>149</v>
      </c>
      <c r="E97" s="151" t="s">
        <v>130</v>
      </c>
      <c r="F97" s="151" t="s">
        <v>140</v>
      </c>
      <c r="G97" s="151" t="s">
        <v>32</v>
      </c>
      <c r="H97" s="151" t="s">
        <v>44</v>
      </c>
      <c r="I97" s="256">
        <v>5</v>
      </c>
      <c r="J97" s="151" t="s">
        <v>83</v>
      </c>
      <c r="K97" s="176" t="s">
        <v>132</v>
      </c>
      <c r="L97" s="245" t="s">
        <v>83</v>
      </c>
      <c r="M97" s="855"/>
      <c r="N97" s="245"/>
      <c r="O97" s="245" t="s">
        <v>183</v>
      </c>
      <c r="P97" s="245"/>
      <c r="Q97" s="176" t="s">
        <v>298</v>
      </c>
      <c r="R97" s="273"/>
      <c r="S97" s="274"/>
      <c r="T97" s="273"/>
      <c r="U97" s="273"/>
      <c r="V97" s="273"/>
      <c r="W97" s="273"/>
      <c r="X97" s="274"/>
      <c r="Y97" s="275">
        <v>200000000</v>
      </c>
      <c r="Z97" s="275">
        <f>+FRIL!J149</f>
        <v>0</v>
      </c>
      <c r="AA97" s="296"/>
      <c r="AB97" s="297">
        <v>200000000</v>
      </c>
      <c r="AC97" s="297">
        <f t="shared" si="17"/>
        <v>179859710</v>
      </c>
      <c r="AD97" s="297">
        <f t="shared" si="32"/>
        <v>20140290</v>
      </c>
      <c r="AE97" s="297">
        <v>0</v>
      </c>
      <c r="AF97" s="297">
        <v>0</v>
      </c>
      <c r="AG97" s="297">
        <v>0</v>
      </c>
      <c r="AH97" s="297">
        <v>0</v>
      </c>
      <c r="AI97" s="297">
        <v>0</v>
      </c>
      <c r="AJ97" s="297">
        <v>24259524</v>
      </c>
      <c r="AK97" s="297">
        <v>44987754</v>
      </c>
      <c r="AL97" s="297">
        <v>0</v>
      </c>
      <c r="AM97" s="297">
        <v>0</v>
      </c>
      <c r="AN97" s="297">
        <v>110612432</v>
      </c>
      <c r="AO97" s="297">
        <f>+FRIL!L55</f>
        <v>0</v>
      </c>
      <c r="AP97" s="297">
        <v>0</v>
      </c>
      <c r="AQ97" s="296"/>
      <c r="AR97" s="297">
        <f t="shared" si="33"/>
        <v>0</v>
      </c>
      <c r="AS97" s="313" t="s">
        <v>185</v>
      </c>
      <c r="AT97" s="313" t="s">
        <v>83</v>
      </c>
      <c r="AU97" s="176" t="s">
        <v>138</v>
      </c>
    </row>
    <row r="98" spans="1:47" s="218" customFormat="1" ht="25.5" customHeight="1" outlineLevel="2">
      <c r="A98" s="215" t="s">
        <v>125</v>
      </c>
      <c r="B98" s="854">
        <v>31</v>
      </c>
      <c r="C98" s="854" t="s">
        <v>128</v>
      </c>
      <c r="D98" s="245" t="s">
        <v>149</v>
      </c>
      <c r="E98" s="151" t="s">
        <v>130</v>
      </c>
      <c r="F98" s="151" t="s">
        <v>140</v>
      </c>
      <c r="G98" s="151" t="s">
        <v>32</v>
      </c>
      <c r="H98" s="151" t="s">
        <v>44</v>
      </c>
      <c r="I98" s="256">
        <v>5</v>
      </c>
      <c r="J98" s="854" t="s">
        <v>80</v>
      </c>
      <c r="K98" s="856" t="s">
        <v>132</v>
      </c>
      <c r="L98" s="855">
        <v>30102235</v>
      </c>
      <c r="M98" s="855"/>
      <c r="N98" s="855"/>
      <c r="O98" s="855"/>
      <c r="P98" s="855"/>
      <c r="Q98" s="856" t="s">
        <v>1647</v>
      </c>
      <c r="R98" s="857" t="s">
        <v>1648</v>
      </c>
      <c r="S98" s="274"/>
      <c r="T98" s="857"/>
      <c r="U98" s="857"/>
      <c r="V98" s="857"/>
      <c r="W98" s="857"/>
      <c r="X98" s="274"/>
      <c r="Y98" s="858">
        <f>373536000+24244901</f>
        <v>397780901</v>
      </c>
      <c r="Z98" s="858">
        <v>352822901</v>
      </c>
      <c r="AA98" s="296"/>
      <c r="AB98" s="859">
        <f>44958000-8864696</f>
        <v>36093304</v>
      </c>
      <c r="AC98" s="297">
        <f t="shared" si="17"/>
        <v>0</v>
      </c>
      <c r="AD98" s="297">
        <f t="shared" si="32"/>
        <v>36093304</v>
      </c>
      <c r="AE98" s="859"/>
      <c r="AF98" s="859"/>
      <c r="AG98" s="859"/>
      <c r="AH98" s="859"/>
      <c r="AI98" s="859"/>
      <c r="AJ98" s="297">
        <v>0</v>
      </c>
      <c r="AK98" s="859"/>
      <c r="AL98" s="859"/>
      <c r="AM98" s="859"/>
      <c r="AN98" s="859"/>
      <c r="AO98" s="859"/>
      <c r="AP98" s="859"/>
      <c r="AQ98" s="296"/>
      <c r="AR98" s="297">
        <f t="shared" si="33"/>
        <v>8864696</v>
      </c>
      <c r="AS98" s="860" t="s">
        <v>148</v>
      </c>
      <c r="AT98" s="313" t="s">
        <v>1464</v>
      </c>
      <c r="AU98" s="176" t="s">
        <v>138</v>
      </c>
    </row>
    <row r="99" spans="1:47" s="217" customFormat="1" ht="25.5" customHeight="1" outlineLevel="1">
      <c r="A99" s="215" t="s">
        <v>125</v>
      </c>
      <c r="B99" s="151">
        <v>29</v>
      </c>
      <c r="C99" s="151" t="s">
        <v>196</v>
      </c>
      <c r="D99" s="245" t="s">
        <v>129</v>
      </c>
      <c r="E99" s="151" t="s">
        <v>169</v>
      </c>
      <c r="F99" s="151" t="s">
        <v>131</v>
      </c>
      <c r="G99" s="151" t="s">
        <v>32</v>
      </c>
      <c r="H99" s="151" t="s">
        <v>44</v>
      </c>
      <c r="I99" s="256">
        <v>5</v>
      </c>
      <c r="J99" s="151" t="s">
        <v>81</v>
      </c>
      <c r="K99" s="176" t="s">
        <v>132</v>
      </c>
      <c r="L99" s="245">
        <v>40008792</v>
      </c>
      <c r="M99" s="855"/>
      <c r="N99" s="245"/>
      <c r="O99" s="245" t="s">
        <v>299</v>
      </c>
      <c r="P99" s="245"/>
      <c r="Q99" s="176" t="s">
        <v>300</v>
      </c>
      <c r="R99" s="273"/>
      <c r="S99" s="274"/>
      <c r="T99" s="273"/>
      <c r="U99" s="273"/>
      <c r="V99" s="273"/>
      <c r="W99" s="273"/>
      <c r="X99" s="274"/>
      <c r="Y99" s="275">
        <v>447872986</v>
      </c>
      <c r="Z99" s="275">
        <v>447872986</v>
      </c>
      <c r="AA99" s="296"/>
      <c r="AB99" s="297">
        <v>0</v>
      </c>
      <c r="AC99" s="297">
        <f t="shared" si="17"/>
        <v>0</v>
      </c>
      <c r="AD99" s="297">
        <f t="shared" si="32"/>
        <v>0</v>
      </c>
      <c r="AE99" s="297">
        <v>0</v>
      </c>
      <c r="AF99" s="297">
        <v>0</v>
      </c>
      <c r="AG99" s="297">
        <v>0</v>
      </c>
      <c r="AH99" s="297">
        <v>0</v>
      </c>
      <c r="AI99" s="297">
        <v>0</v>
      </c>
      <c r="AJ99" s="297">
        <v>0</v>
      </c>
      <c r="AK99" s="297">
        <v>0</v>
      </c>
      <c r="AL99" s="297">
        <v>0</v>
      </c>
      <c r="AM99" s="297">
        <v>0</v>
      </c>
      <c r="AN99" s="297">
        <v>0</v>
      </c>
      <c r="AO99" s="297">
        <v>0</v>
      </c>
      <c r="AP99" s="297">
        <v>0</v>
      </c>
      <c r="AQ99" s="296"/>
      <c r="AR99" s="297">
        <f t="shared" si="33"/>
        <v>0</v>
      </c>
      <c r="AS99" s="313" t="s">
        <v>148</v>
      </c>
      <c r="AT99" s="313" t="s">
        <v>1464</v>
      </c>
      <c r="AU99" s="176" t="s">
        <v>301</v>
      </c>
    </row>
    <row r="100" spans="1:47" s="217" customFormat="1" ht="25.5" customHeight="1" outlineLevel="1">
      <c r="A100" s="215" t="s">
        <v>125</v>
      </c>
      <c r="B100" s="247"/>
      <c r="C100" s="247"/>
      <c r="D100" s="248"/>
      <c r="E100" s="249"/>
      <c r="F100" s="249"/>
      <c r="G100" s="249"/>
      <c r="H100" s="249"/>
      <c r="I100" s="249"/>
      <c r="J100" s="247"/>
      <c r="K100" s="259"/>
      <c r="L100" s="248"/>
      <c r="M100" s="248"/>
      <c r="N100" s="250"/>
      <c r="O100" s="250"/>
      <c r="P100" s="250"/>
      <c r="Q100" s="260" t="s">
        <v>187</v>
      </c>
      <c r="R100" s="278"/>
      <c r="S100" s="279"/>
      <c r="T100" s="279"/>
      <c r="U100" s="279"/>
      <c r="V100" s="279"/>
      <c r="W100" s="279"/>
      <c r="X100" s="281"/>
      <c r="Y100" s="286">
        <f>+Y94+Y95+Y96+Y97+Y98+Y99</f>
        <v>2007260887</v>
      </c>
      <c r="Z100" s="286">
        <f>+Z94+Z95+Z96+Z97+Z98+Z99</f>
        <v>913033364</v>
      </c>
      <c r="AA100" s="303"/>
      <c r="AB100" s="286">
        <f t="shared" ref="AB100:AD100" si="34">+AB94+AB95+AB96+AB97+AB98+AB99</f>
        <v>1066191420</v>
      </c>
      <c r="AC100" s="286">
        <f t="shared" si="34"/>
        <v>888493482</v>
      </c>
      <c r="AD100" s="286">
        <f t="shared" si="34"/>
        <v>177697938</v>
      </c>
      <c r="AE100" s="286">
        <f t="shared" ref="AE100:AP100" si="35">+AE94+AE96+AE97+AE99+AE95</f>
        <v>0</v>
      </c>
      <c r="AF100" s="286">
        <f t="shared" si="35"/>
        <v>0</v>
      </c>
      <c r="AG100" s="286">
        <f t="shared" si="35"/>
        <v>0</v>
      </c>
      <c r="AH100" s="286">
        <f t="shared" si="35"/>
        <v>0</v>
      </c>
      <c r="AI100" s="286">
        <f t="shared" si="35"/>
        <v>0</v>
      </c>
      <c r="AJ100" s="286">
        <v>25973809</v>
      </c>
      <c r="AK100" s="286">
        <f t="shared" si="35"/>
        <v>46702039</v>
      </c>
      <c r="AL100" s="286">
        <f t="shared" si="35"/>
        <v>155570533</v>
      </c>
      <c r="AM100" s="286">
        <f t="shared" si="35"/>
        <v>245651400</v>
      </c>
      <c r="AN100" s="286">
        <f t="shared" si="35"/>
        <v>291713053</v>
      </c>
      <c r="AO100" s="286">
        <f t="shared" si="35"/>
        <v>122882648</v>
      </c>
      <c r="AP100" s="286">
        <f t="shared" si="35"/>
        <v>0</v>
      </c>
      <c r="AQ100" s="287"/>
      <c r="AR100" s="286">
        <f t="shared" ref="AR100" si="36">+AR94+AR96+AR97+AR99+AR95</f>
        <v>19171407</v>
      </c>
      <c r="AS100" s="315"/>
      <c r="AT100" s="315"/>
      <c r="AU100" s="220"/>
    </row>
    <row r="101" spans="1:47" ht="18.75" customHeight="1" outlineLevel="1">
      <c r="A101" s="215" t="s">
        <v>125</v>
      </c>
      <c r="B101" s="249"/>
      <c r="C101" s="249"/>
      <c r="D101" s="250"/>
      <c r="E101" s="249"/>
      <c r="F101" s="249"/>
      <c r="G101" s="249"/>
      <c r="H101" s="249"/>
      <c r="I101" s="249"/>
      <c r="J101" s="249"/>
      <c r="K101" s="261"/>
      <c r="L101" s="250"/>
      <c r="M101" s="250"/>
      <c r="N101" s="250"/>
      <c r="O101" s="250"/>
      <c r="P101" s="250"/>
      <c r="Q101" s="261"/>
      <c r="R101" s="283"/>
      <c r="S101" s="283"/>
      <c r="T101" s="283"/>
      <c r="U101" s="283"/>
      <c r="V101" s="283"/>
      <c r="W101" s="283"/>
      <c r="X101" s="283"/>
      <c r="Y101" s="284"/>
      <c r="Z101" s="284"/>
      <c r="AA101" s="301"/>
      <c r="AB101" s="301"/>
      <c r="AC101" s="301"/>
      <c r="AD101" s="301"/>
      <c r="AE101" s="301"/>
      <c r="AF101" s="301"/>
      <c r="AG101" s="301"/>
      <c r="AH101" s="301"/>
      <c r="AI101" s="301"/>
      <c r="AJ101" s="301"/>
      <c r="AK101" s="301"/>
      <c r="AL101" s="301"/>
      <c r="AM101" s="301"/>
      <c r="AN101" s="301"/>
      <c r="AO101" s="301"/>
      <c r="AP101" s="301"/>
      <c r="AQ101" s="301"/>
      <c r="AR101" s="301"/>
      <c r="AS101" s="316"/>
      <c r="AT101" s="316"/>
      <c r="AU101" s="317"/>
    </row>
    <row r="102" spans="1:47" s="217" customFormat="1" ht="25.5" customHeight="1" outlineLevel="1">
      <c r="A102" s="215" t="s">
        <v>125</v>
      </c>
      <c r="B102" s="247"/>
      <c r="C102" s="247"/>
      <c r="D102" s="248"/>
      <c r="E102" s="249"/>
      <c r="F102" s="249"/>
      <c r="G102" s="249"/>
      <c r="H102" s="249"/>
      <c r="I102" s="249"/>
      <c r="J102" s="247"/>
      <c r="K102" s="259"/>
      <c r="L102" s="248"/>
      <c r="M102" s="248"/>
      <c r="N102" s="250"/>
      <c r="O102" s="250"/>
      <c r="P102" s="250"/>
      <c r="Q102" s="99" t="s">
        <v>188</v>
      </c>
      <c r="R102" s="283"/>
      <c r="S102" s="283"/>
      <c r="T102" s="283"/>
      <c r="U102" s="283"/>
      <c r="V102" s="283"/>
      <c r="W102" s="283"/>
      <c r="X102" s="283"/>
      <c r="Y102" s="285"/>
      <c r="Z102" s="285"/>
      <c r="AA102" s="302"/>
      <c r="AB102" s="302"/>
      <c r="AC102" s="302"/>
      <c r="AD102" s="302"/>
      <c r="AE102" s="302"/>
      <c r="AF102" s="302"/>
      <c r="AG102" s="302"/>
      <c r="AH102" s="301"/>
      <c r="AI102" s="301"/>
      <c r="AJ102" s="301"/>
      <c r="AK102" s="301"/>
      <c r="AL102" s="301"/>
      <c r="AM102" s="301"/>
      <c r="AN102" s="301"/>
      <c r="AO102" s="301"/>
      <c r="AP102" s="301"/>
      <c r="AQ102" s="302"/>
      <c r="AR102" s="302"/>
      <c r="AS102" s="315"/>
      <c r="AT102" s="315"/>
      <c r="AU102" s="220"/>
    </row>
    <row r="103" spans="1:47" s="217" customFormat="1" ht="25.5" customHeight="1" outlineLevel="1">
      <c r="A103" s="215" t="s">
        <v>125</v>
      </c>
      <c r="B103" s="151">
        <v>31</v>
      </c>
      <c r="C103" s="151" t="s">
        <v>196</v>
      </c>
      <c r="D103" s="245" t="s">
        <v>164</v>
      </c>
      <c r="E103" s="151" t="s">
        <v>169</v>
      </c>
      <c r="F103" s="151" t="s">
        <v>140</v>
      </c>
      <c r="G103" s="151" t="s">
        <v>32</v>
      </c>
      <c r="H103" s="151" t="s">
        <v>44</v>
      </c>
      <c r="I103" s="256">
        <v>5</v>
      </c>
      <c r="J103" s="151" t="s">
        <v>80</v>
      </c>
      <c r="K103" s="176" t="s">
        <v>202</v>
      </c>
      <c r="L103" s="245">
        <v>40010103</v>
      </c>
      <c r="M103" s="855"/>
      <c r="N103" s="245"/>
      <c r="O103" s="245" t="s">
        <v>302</v>
      </c>
      <c r="P103" s="245"/>
      <c r="Q103" s="176" t="s">
        <v>303</v>
      </c>
      <c r="R103" s="273"/>
      <c r="S103" s="274"/>
      <c r="T103" s="273"/>
      <c r="U103" s="273" t="s">
        <v>304</v>
      </c>
      <c r="V103" s="275">
        <v>28497000</v>
      </c>
      <c r="W103" s="273"/>
      <c r="X103" s="274"/>
      <c r="Y103" s="275">
        <v>34340000</v>
      </c>
      <c r="Z103" s="275">
        <v>0</v>
      </c>
      <c r="AA103" s="296"/>
      <c r="AB103" s="297">
        <v>5000000</v>
      </c>
      <c r="AC103" s="297">
        <f t="shared" ref="AC103:AC133" si="37">SUBTOTAL(9,AE103:AP103)</f>
        <v>0</v>
      </c>
      <c r="AD103" s="297">
        <f>+AB103-AC103</f>
        <v>5000000</v>
      </c>
      <c r="AE103" s="297">
        <v>0</v>
      </c>
      <c r="AF103" s="297">
        <v>0</v>
      </c>
      <c r="AG103" s="297">
        <v>0</v>
      </c>
      <c r="AH103" s="297">
        <v>0</v>
      </c>
      <c r="AI103" s="297">
        <v>0</v>
      </c>
      <c r="AJ103" s="297">
        <v>0</v>
      </c>
      <c r="AK103" s="297">
        <v>0</v>
      </c>
      <c r="AL103" s="297">
        <v>0</v>
      </c>
      <c r="AM103" s="297">
        <v>0</v>
      </c>
      <c r="AN103" s="297">
        <v>0</v>
      </c>
      <c r="AO103" s="297">
        <v>0</v>
      </c>
      <c r="AP103" s="297">
        <v>0</v>
      </c>
      <c r="AQ103" s="296"/>
      <c r="AR103" s="297">
        <f>+Y103-Z103-AC103-AD103</f>
        <v>29340000</v>
      </c>
      <c r="AS103" s="313" t="s">
        <v>137</v>
      </c>
      <c r="AT103" s="313" t="s">
        <v>137</v>
      </c>
      <c r="AU103" s="176" t="s">
        <v>195</v>
      </c>
    </row>
    <row r="104" spans="1:47" s="217" customFormat="1" ht="25.5" customHeight="1" outlineLevel="1">
      <c r="A104" s="215" t="s">
        <v>125</v>
      </c>
      <c r="B104" s="247"/>
      <c r="C104" s="247"/>
      <c r="D104" s="248"/>
      <c r="E104" s="249"/>
      <c r="F104" s="249"/>
      <c r="G104" s="249"/>
      <c r="H104" s="249"/>
      <c r="I104" s="249"/>
      <c r="J104" s="247"/>
      <c r="K104" s="259"/>
      <c r="L104" s="248"/>
      <c r="M104" s="248"/>
      <c r="N104" s="250"/>
      <c r="O104" s="250"/>
      <c r="P104" s="250"/>
      <c r="Q104" s="260" t="s">
        <v>201</v>
      </c>
      <c r="R104" s="278"/>
      <c r="S104" s="279"/>
      <c r="T104" s="279"/>
      <c r="U104" s="279"/>
      <c r="V104" s="279"/>
      <c r="W104" s="279"/>
      <c r="X104" s="281"/>
      <c r="Y104" s="286">
        <f>+Y103</f>
        <v>34340000</v>
      </c>
      <c r="Z104" s="286">
        <f>+Z103</f>
        <v>0</v>
      </c>
      <c r="AA104" s="303"/>
      <c r="AB104" s="286">
        <f>+AB103</f>
        <v>5000000</v>
      </c>
      <c r="AC104" s="286">
        <f t="shared" si="37"/>
        <v>0</v>
      </c>
      <c r="AD104" s="286">
        <f t="shared" ref="AD104" si="38">+AD103</f>
        <v>5000000</v>
      </c>
      <c r="AE104" s="286">
        <f t="shared" ref="AE104:AP104" si="39">+AE103</f>
        <v>0</v>
      </c>
      <c r="AF104" s="286">
        <f t="shared" si="39"/>
        <v>0</v>
      </c>
      <c r="AG104" s="286">
        <f t="shared" si="39"/>
        <v>0</v>
      </c>
      <c r="AH104" s="286">
        <f t="shared" si="39"/>
        <v>0</v>
      </c>
      <c r="AI104" s="286">
        <f t="shared" si="39"/>
        <v>0</v>
      </c>
      <c r="AJ104" s="286">
        <v>0</v>
      </c>
      <c r="AK104" s="286">
        <f t="shared" si="39"/>
        <v>0</v>
      </c>
      <c r="AL104" s="286">
        <f t="shared" si="39"/>
        <v>0</v>
      </c>
      <c r="AM104" s="286">
        <f t="shared" si="39"/>
        <v>0</v>
      </c>
      <c r="AN104" s="286">
        <f t="shared" si="39"/>
        <v>0</v>
      </c>
      <c r="AO104" s="286">
        <f t="shared" si="39"/>
        <v>0</v>
      </c>
      <c r="AP104" s="286">
        <f t="shared" si="39"/>
        <v>0</v>
      </c>
      <c r="AQ104" s="287"/>
      <c r="AR104" s="286">
        <f t="shared" ref="AR104" si="40">+AR103</f>
        <v>29340000</v>
      </c>
      <c r="AS104" s="315"/>
      <c r="AT104" s="315"/>
      <c r="AU104" s="220"/>
    </row>
    <row r="105" spans="1:47" ht="18.75" customHeight="1" outlineLevel="1">
      <c r="A105" s="215" t="s">
        <v>125</v>
      </c>
      <c r="B105" s="249"/>
      <c r="C105" s="249"/>
      <c r="D105" s="250"/>
      <c r="E105" s="249"/>
      <c r="F105" s="249"/>
      <c r="G105" s="249"/>
      <c r="H105" s="249"/>
      <c r="I105" s="249"/>
      <c r="J105" s="249"/>
      <c r="K105" s="261"/>
      <c r="L105" s="250"/>
      <c r="M105" s="250"/>
      <c r="N105" s="250"/>
      <c r="O105" s="250"/>
      <c r="P105" s="250"/>
      <c r="Q105" s="261"/>
      <c r="R105" s="283"/>
      <c r="S105" s="283"/>
      <c r="T105" s="283"/>
      <c r="U105" s="283"/>
      <c r="V105" s="283"/>
      <c r="W105" s="283"/>
      <c r="X105" s="283"/>
      <c r="Y105" s="284"/>
      <c r="Z105" s="284"/>
      <c r="AA105" s="301"/>
      <c r="AB105" s="301"/>
      <c r="AC105" s="301"/>
      <c r="AD105" s="301"/>
      <c r="AE105" s="301"/>
      <c r="AF105" s="301"/>
      <c r="AG105" s="301"/>
      <c r="AH105" s="301"/>
      <c r="AI105" s="301"/>
      <c r="AJ105" s="301"/>
      <c r="AK105" s="301"/>
      <c r="AL105" s="301"/>
      <c r="AM105" s="301"/>
      <c r="AN105" s="301"/>
      <c r="AO105" s="301"/>
      <c r="AP105" s="301"/>
      <c r="AQ105" s="301"/>
      <c r="AR105" s="301"/>
      <c r="AS105" s="316"/>
      <c r="AT105" s="316"/>
      <c r="AU105" s="317"/>
    </row>
    <row r="106" spans="1:47" s="219" customFormat="1" ht="24.75" customHeight="1" outlineLevel="1">
      <c r="A106" s="215" t="s">
        <v>125</v>
      </c>
      <c r="B106" s="251"/>
      <c r="C106" s="249"/>
      <c r="D106" s="250"/>
      <c r="E106" s="249"/>
      <c r="F106" s="249"/>
      <c r="G106" s="249"/>
      <c r="H106" s="249"/>
      <c r="I106" s="249"/>
      <c r="J106" s="251"/>
      <c r="K106" s="263"/>
      <c r="L106" s="252"/>
      <c r="M106" s="252"/>
      <c r="N106" s="252"/>
      <c r="O106" s="252"/>
      <c r="P106" s="252"/>
      <c r="Q106" s="117" t="s">
        <v>305</v>
      </c>
      <c r="R106" s="288"/>
      <c r="S106" s="289"/>
      <c r="T106" s="289"/>
      <c r="U106" s="289"/>
      <c r="V106" s="289"/>
      <c r="W106" s="289"/>
      <c r="X106" s="290"/>
      <c r="Y106" s="118">
        <f>+Y100+Y104</f>
        <v>2041600887</v>
      </c>
      <c r="Z106" s="118">
        <f>+Z100+Z104</f>
        <v>913033364</v>
      </c>
      <c r="AA106" s="304"/>
      <c r="AB106" s="118">
        <f t="shared" ref="AB106:AD106" si="41">+AB100+AB104</f>
        <v>1071191420</v>
      </c>
      <c r="AC106" s="118">
        <f t="shared" si="41"/>
        <v>888493482</v>
      </c>
      <c r="AD106" s="118">
        <f t="shared" si="41"/>
        <v>182697938</v>
      </c>
      <c r="AE106" s="118">
        <f t="shared" ref="AE106:AP106" si="42">+AE100+AE104</f>
        <v>0</v>
      </c>
      <c r="AF106" s="118">
        <f t="shared" si="42"/>
        <v>0</v>
      </c>
      <c r="AG106" s="118">
        <f t="shared" si="42"/>
        <v>0</v>
      </c>
      <c r="AH106" s="118">
        <f t="shared" si="42"/>
        <v>0</v>
      </c>
      <c r="AI106" s="118">
        <f t="shared" si="42"/>
        <v>0</v>
      </c>
      <c r="AJ106" s="118">
        <v>25973809</v>
      </c>
      <c r="AK106" s="118">
        <f t="shared" si="42"/>
        <v>46702039</v>
      </c>
      <c r="AL106" s="118">
        <f t="shared" si="42"/>
        <v>155570533</v>
      </c>
      <c r="AM106" s="118">
        <f t="shared" si="42"/>
        <v>245651400</v>
      </c>
      <c r="AN106" s="118">
        <f t="shared" si="42"/>
        <v>291713053</v>
      </c>
      <c r="AO106" s="118">
        <f t="shared" si="42"/>
        <v>122882648</v>
      </c>
      <c r="AP106" s="118">
        <f t="shared" si="42"/>
        <v>0</v>
      </c>
      <c r="AQ106" s="318"/>
      <c r="AR106" s="118">
        <f>+Y106-Z106-AC106-AD106</f>
        <v>57376103</v>
      </c>
      <c r="AS106" s="333"/>
      <c r="AT106" s="333"/>
      <c r="AU106" s="320"/>
    </row>
    <row r="107" spans="1:47" ht="18.75" customHeight="1" outlineLevel="1">
      <c r="A107" s="215" t="s">
        <v>125</v>
      </c>
      <c r="B107" s="249"/>
      <c r="C107" s="249"/>
      <c r="D107" s="250"/>
      <c r="E107" s="249"/>
      <c r="F107" s="249"/>
      <c r="G107" s="249"/>
      <c r="H107" s="249"/>
      <c r="I107" s="249"/>
      <c r="J107" s="249"/>
      <c r="K107" s="261"/>
      <c r="L107" s="250"/>
      <c r="M107" s="250"/>
      <c r="N107" s="250"/>
      <c r="O107" s="250"/>
      <c r="P107" s="250"/>
      <c r="Q107" s="261"/>
      <c r="R107" s="283"/>
      <c r="S107" s="283"/>
      <c r="T107" s="283"/>
      <c r="U107" s="283"/>
      <c r="V107" s="283"/>
      <c r="W107" s="283"/>
      <c r="X107" s="283"/>
      <c r="Y107" s="284"/>
      <c r="Z107" s="284"/>
      <c r="AA107" s="301"/>
      <c r="AB107" s="301"/>
      <c r="AC107" s="301"/>
      <c r="AD107" s="301"/>
      <c r="AE107" s="301"/>
      <c r="AF107" s="301"/>
      <c r="AG107" s="301"/>
      <c r="AH107" s="301"/>
      <c r="AI107" s="301"/>
      <c r="AJ107" s="301"/>
      <c r="AK107" s="301"/>
      <c r="AL107" s="301"/>
      <c r="AM107" s="301"/>
      <c r="AN107" s="301"/>
      <c r="AO107" s="301"/>
      <c r="AP107" s="301"/>
      <c r="AQ107" s="301"/>
      <c r="AR107" s="301"/>
      <c r="AS107" s="316"/>
      <c r="AT107" s="316"/>
      <c r="AU107" s="317"/>
    </row>
    <row r="108" spans="1:47" ht="26.25" customHeight="1" outlineLevel="1">
      <c r="A108" s="215" t="s">
        <v>125</v>
      </c>
      <c r="B108" s="249"/>
      <c r="C108" s="249"/>
      <c r="D108" s="250"/>
      <c r="E108" s="249"/>
      <c r="F108" s="249"/>
      <c r="G108" s="249"/>
      <c r="H108" s="249"/>
      <c r="I108" s="249"/>
      <c r="J108" s="249"/>
      <c r="K108" s="261"/>
      <c r="L108" s="250"/>
      <c r="M108" s="250"/>
      <c r="N108" s="250"/>
      <c r="O108" s="250"/>
      <c r="P108" s="250"/>
      <c r="Q108" s="264" t="s">
        <v>306</v>
      </c>
      <c r="R108" s="283"/>
      <c r="S108" s="283"/>
      <c r="T108" s="283"/>
      <c r="U108" s="283"/>
      <c r="V108" s="283"/>
      <c r="W108" s="283"/>
      <c r="X108" s="283"/>
      <c r="Y108" s="284"/>
      <c r="Z108" s="284"/>
      <c r="AA108" s="301"/>
      <c r="AB108" s="301"/>
      <c r="AC108" s="301"/>
      <c r="AD108" s="301"/>
      <c r="AE108" s="301"/>
      <c r="AF108" s="301"/>
      <c r="AG108" s="301"/>
      <c r="AH108" s="301"/>
      <c r="AI108" s="301"/>
      <c r="AJ108" s="301"/>
      <c r="AK108" s="301"/>
      <c r="AL108" s="301"/>
      <c r="AM108" s="301"/>
      <c r="AN108" s="301"/>
      <c r="AO108" s="301"/>
      <c r="AP108" s="301"/>
      <c r="AQ108" s="301"/>
      <c r="AR108" s="301"/>
      <c r="AS108" s="316"/>
      <c r="AT108" s="316"/>
      <c r="AU108" s="317"/>
    </row>
    <row r="109" spans="1:47" s="216" customFormat="1" ht="15" customHeight="1" outlineLevel="1">
      <c r="A109" s="215" t="s">
        <v>125</v>
      </c>
      <c r="B109" s="249"/>
      <c r="C109" s="249"/>
      <c r="D109" s="250"/>
      <c r="E109" s="249"/>
      <c r="F109" s="249"/>
      <c r="G109" s="249"/>
      <c r="H109" s="249"/>
      <c r="I109" s="249"/>
      <c r="J109" s="249"/>
      <c r="K109" s="261"/>
      <c r="L109" s="250"/>
      <c r="M109" s="250"/>
      <c r="N109" s="250"/>
      <c r="O109" s="250"/>
      <c r="P109" s="250"/>
      <c r="Q109" s="255"/>
      <c r="R109" s="283"/>
      <c r="S109" s="283"/>
      <c r="T109" s="283"/>
      <c r="U109" s="283"/>
      <c r="V109" s="283"/>
      <c r="W109" s="283"/>
      <c r="X109" s="283"/>
      <c r="Y109" s="284"/>
      <c r="Z109" s="284"/>
      <c r="AA109" s="301"/>
      <c r="AB109" s="301"/>
      <c r="AC109" s="301"/>
      <c r="AD109" s="301"/>
      <c r="AE109" s="301"/>
      <c r="AF109" s="301"/>
      <c r="AG109" s="301"/>
      <c r="AH109" s="301"/>
      <c r="AI109" s="301"/>
      <c r="AJ109" s="301"/>
      <c r="AK109" s="301"/>
      <c r="AL109" s="301"/>
      <c r="AM109" s="301"/>
      <c r="AN109" s="301"/>
      <c r="AO109" s="301"/>
      <c r="AP109" s="301"/>
      <c r="AQ109" s="301"/>
      <c r="AR109" s="301"/>
      <c r="AS109" s="316"/>
      <c r="AT109" s="316"/>
      <c r="AU109" s="317"/>
    </row>
    <row r="110" spans="1:47" s="217" customFormat="1" ht="25.5" customHeight="1" outlineLevel="1">
      <c r="A110" s="215" t="s">
        <v>125</v>
      </c>
      <c r="B110" s="247"/>
      <c r="C110" s="247"/>
      <c r="D110" s="248"/>
      <c r="E110" s="249"/>
      <c r="F110" s="249"/>
      <c r="G110" s="249"/>
      <c r="H110" s="249"/>
      <c r="I110" s="249"/>
      <c r="J110" s="247"/>
      <c r="K110" s="259"/>
      <c r="L110" s="248"/>
      <c r="M110" s="248"/>
      <c r="N110" s="250"/>
      <c r="O110" s="250"/>
      <c r="P110" s="250"/>
      <c r="Q110" s="99" t="s">
        <v>127</v>
      </c>
      <c r="R110" s="283"/>
      <c r="S110" s="283"/>
      <c r="T110" s="283"/>
      <c r="U110" s="283"/>
      <c r="V110" s="283"/>
      <c r="W110" s="283"/>
      <c r="X110" s="283"/>
      <c r="Y110" s="285"/>
      <c r="Z110" s="285"/>
      <c r="AA110" s="302"/>
      <c r="AB110" s="302"/>
      <c r="AC110" s="302"/>
      <c r="AD110" s="302"/>
      <c r="AE110" s="302"/>
      <c r="AF110" s="302"/>
      <c r="AG110" s="302"/>
      <c r="AH110" s="301"/>
      <c r="AI110" s="301"/>
      <c r="AJ110" s="301"/>
      <c r="AK110" s="301"/>
      <c r="AL110" s="301"/>
      <c r="AM110" s="301"/>
      <c r="AN110" s="301"/>
      <c r="AO110" s="301"/>
      <c r="AP110" s="301"/>
      <c r="AQ110" s="302"/>
      <c r="AR110" s="302"/>
      <c r="AS110" s="315"/>
      <c r="AT110" s="315"/>
      <c r="AU110" s="220"/>
    </row>
    <row r="111" spans="1:47" s="218" customFormat="1" ht="25.5" customHeight="1" outlineLevel="2">
      <c r="A111" s="215" t="s">
        <v>125</v>
      </c>
      <c r="B111" s="151">
        <v>31</v>
      </c>
      <c r="C111" s="151" t="s">
        <v>128</v>
      </c>
      <c r="D111" s="245" t="s">
        <v>139</v>
      </c>
      <c r="E111" s="151" t="s">
        <v>169</v>
      </c>
      <c r="F111" s="151" t="s">
        <v>140</v>
      </c>
      <c r="G111" s="151" t="s">
        <v>32</v>
      </c>
      <c r="H111" s="151" t="s">
        <v>45</v>
      </c>
      <c r="I111" s="256">
        <v>6</v>
      </c>
      <c r="J111" s="151" t="s">
        <v>85</v>
      </c>
      <c r="K111" s="176" t="s">
        <v>132</v>
      </c>
      <c r="L111" s="245">
        <v>30110580</v>
      </c>
      <c r="M111" s="855"/>
      <c r="N111" s="245" t="s">
        <v>133</v>
      </c>
      <c r="O111" s="245" t="s">
        <v>307</v>
      </c>
      <c r="P111" s="245"/>
      <c r="Q111" s="176" t="s">
        <v>308</v>
      </c>
      <c r="R111" s="273"/>
      <c r="S111" s="274"/>
      <c r="T111" s="273"/>
      <c r="U111" s="273"/>
      <c r="V111" s="273"/>
      <c r="W111" s="273"/>
      <c r="X111" s="274"/>
      <c r="Y111" s="275">
        <v>3406943000</v>
      </c>
      <c r="Z111" s="275">
        <v>3059398659</v>
      </c>
      <c r="AA111" s="296"/>
      <c r="AB111" s="297">
        <f>347544341-59346538</f>
        <v>288197803</v>
      </c>
      <c r="AC111" s="297">
        <f t="shared" si="37"/>
        <v>145505558</v>
      </c>
      <c r="AD111" s="297">
        <f>+AB111-AC111</f>
        <v>142692245</v>
      </c>
      <c r="AE111" s="297">
        <v>0</v>
      </c>
      <c r="AF111" s="297">
        <v>0</v>
      </c>
      <c r="AG111" s="297">
        <v>0</v>
      </c>
      <c r="AH111" s="297">
        <v>0</v>
      </c>
      <c r="AI111" s="297">
        <v>0</v>
      </c>
      <c r="AJ111" s="297">
        <v>0</v>
      </c>
      <c r="AK111" s="297">
        <v>0</v>
      </c>
      <c r="AL111" s="297">
        <v>142672223</v>
      </c>
      <c r="AM111" s="297">
        <v>0</v>
      </c>
      <c r="AN111" s="297">
        <v>0</v>
      </c>
      <c r="AO111" s="297">
        <v>0</v>
      </c>
      <c r="AP111" s="297">
        <v>2833335</v>
      </c>
      <c r="AQ111" s="296"/>
      <c r="AR111" s="297">
        <f t="shared" ref="AR111:AR116" si="43">+Y111-Z111-AC111-AD111</f>
        <v>59346538</v>
      </c>
      <c r="AS111" s="313" t="s">
        <v>1611</v>
      </c>
      <c r="AT111" s="313" t="s">
        <v>1611</v>
      </c>
      <c r="AU111" s="176" t="s">
        <v>1612</v>
      </c>
    </row>
    <row r="112" spans="1:47" s="217" customFormat="1" ht="25.5" customHeight="1" outlineLevel="1">
      <c r="A112" s="215" t="s">
        <v>125</v>
      </c>
      <c r="B112" s="151">
        <v>31</v>
      </c>
      <c r="C112" s="151" t="s">
        <v>196</v>
      </c>
      <c r="D112" s="245" t="s">
        <v>251</v>
      </c>
      <c r="E112" s="151" t="s">
        <v>169</v>
      </c>
      <c r="F112" s="151" t="s">
        <v>140</v>
      </c>
      <c r="G112" s="151" t="s">
        <v>32</v>
      </c>
      <c r="H112" s="151" t="s">
        <v>45</v>
      </c>
      <c r="I112" s="256">
        <v>6</v>
      </c>
      <c r="J112" s="151" t="s">
        <v>84</v>
      </c>
      <c r="K112" s="176" t="s">
        <v>132</v>
      </c>
      <c r="L112" s="245">
        <v>30124368</v>
      </c>
      <c r="M112" s="855"/>
      <c r="N112" s="245"/>
      <c r="O112" s="245" t="s">
        <v>311</v>
      </c>
      <c r="P112" s="245"/>
      <c r="Q112" s="336" t="s">
        <v>312</v>
      </c>
      <c r="R112" s="273"/>
      <c r="S112" s="274"/>
      <c r="T112" s="273"/>
      <c r="U112" s="273"/>
      <c r="V112" s="273"/>
      <c r="W112" s="273"/>
      <c r="X112" s="274"/>
      <c r="Y112" s="275">
        <v>320930000</v>
      </c>
      <c r="Z112" s="275">
        <v>0</v>
      </c>
      <c r="AA112" s="296"/>
      <c r="AB112" s="297">
        <f>32093000+70000000+203537000</f>
        <v>305630000</v>
      </c>
      <c r="AC112" s="297">
        <f t="shared" si="37"/>
        <v>305630000</v>
      </c>
      <c r="AD112" s="297">
        <f>+AB112-AC112</f>
        <v>0</v>
      </c>
      <c r="AE112" s="297">
        <v>0</v>
      </c>
      <c r="AF112" s="297">
        <v>0</v>
      </c>
      <c r="AG112" s="297">
        <v>0</v>
      </c>
      <c r="AH112" s="297">
        <v>0</v>
      </c>
      <c r="AI112" s="297">
        <v>0</v>
      </c>
      <c r="AJ112" s="297">
        <v>0</v>
      </c>
      <c r="AK112" s="297">
        <v>0</v>
      </c>
      <c r="AL112" s="297">
        <v>305630000</v>
      </c>
      <c r="AM112" s="297">
        <v>0</v>
      </c>
      <c r="AN112" s="297">
        <v>0</v>
      </c>
      <c r="AO112" s="297">
        <v>0</v>
      </c>
      <c r="AP112" s="297">
        <v>0</v>
      </c>
      <c r="AQ112" s="296"/>
      <c r="AR112" s="297">
        <f t="shared" si="43"/>
        <v>15300000</v>
      </c>
      <c r="AS112" s="313" t="s">
        <v>137</v>
      </c>
      <c r="AT112" s="313" t="s">
        <v>137</v>
      </c>
      <c r="AU112" s="176" t="s">
        <v>138</v>
      </c>
    </row>
    <row r="113" spans="1:47" s="218" customFormat="1" ht="25.5" customHeight="1" outlineLevel="2">
      <c r="A113" s="215" t="s">
        <v>125</v>
      </c>
      <c r="B113" s="151">
        <v>31</v>
      </c>
      <c r="C113" s="151" t="s">
        <v>128</v>
      </c>
      <c r="D113" s="245" t="s">
        <v>164</v>
      </c>
      <c r="E113" s="151" t="s">
        <v>169</v>
      </c>
      <c r="F113" s="151" t="s">
        <v>140</v>
      </c>
      <c r="G113" s="151" t="s">
        <v>32</v>
      </c>
      <c r="H113" s="151" t="s">
        <v>45</v>
      </c>
      <c r="I113" s="256">
        <v>6</v>
      </c>
      <c r="J113" s="151" t="s">
        <v>80</v>
      </c>
      <c r="K113" s="176" t="s">
        <v>132</v>
      </c>
      <c r="L113" s="245">
        <v>30071878</v>
      </c>
      <c r="M113" s="855" t="s">
        <v>164</v>
      </c>
      <c r="N113" s="245" t="s">
        <v>145</v>
      </c>
      <c r="O113" s="245" t="s">
        <v>309</v>
      </c>
      <c r="P113" s="245"/>
      <c r="Q113" s="176" t="s">
        <v>310</v>
      </c>
      <c r="R113" s="273"/>
      <c r="S113" s="274"/>
      <c r="T113" s="273"/>
      <c r="U113" s="273"/>
      <c r="V113" s="273"/>
      <c r="W113" s="273"/>
      <c r="X113" s="274"/>
      <c r="Y113" s="275">
        <v>2587228000</v>
      </c>
      <c r="Z113" s="275">
        <v>0</v>
      </c>
      <c r="AA113" s="296"/>
      <c r="AB113" s="297">
        <f>500000000-135952000</f>
        <v>364048000</v>
      </c>
      <c r="AC113" s="297">
        <f t="shared" si="37"/>
        <v>26644784</v>
      </c>
      <c r="AD113" s="297">
        <f>+AB113-AC113</f>
        <v>337403216</v>
      </c>
      <c r="AE113" s="297">
        <v>0</v>
      </c>
      <c r="AF113" s="297">
        <v>0</v>
      </c>
      <c r="AG113" s="297">
        <v>0</v>
      </c>
      <c r="AH113" s="297">
        <v>0</v>
      </c>
      <c r="AI113" s="297">
        <v>0</v>
      </c>
      <c r="AJ113" s="297">
        <v>0</v>
      </c>
      <c r="AK113" s="297">
        <v>12994362</v>
      </c>
      <c r="AL113" s="297">
        <v>0</v>
      </c>
      <c r="AM113" s="297">
        <v>901728</v>
      </c>
      <c r="AN113" s="297">
        <v>12748694</v>
      </c>
      <c r="AO113" s="297">
        <v>0</v>
      </c>
      <c r="AP113" s="297">
        <v>0</v>
      </c>
      <c r="AQ113" s="296"/>
      <c r="AR113" s="297">
        <f t="shared" si="43"/>
        <v>2223180000</v>
      </c>
      <c r="AS113" s="313" t="s">
        <v>137</v>
      </c>
      <c r="AT113" s="313" t="s">
        <v>137</v>
      </c>
      <c r="AU113" s="176" t="s">
        <v>138</v>
      </c>
    </row>
    <row r="114" spans="1:47" s="218" customFormat="1" ht="25.5" customHeight="1" outlineLevel="2">
      <c r="A114" s="215" t="s">
        <v>125</v>
      </c>
      <c r="B114" s="191">
        <v>33</v>
      </c>
      <c r="C114" s="191" t="s">
        <v>128</v>
      </c>
      <c r="D114" s="246" t="s">
        <v>149</v>
      </c>
      <c r="E114" s="191" t="s">
        <v>130</v>
      </c>
      <c r="F114" s="191" t="s">
        <v>140</v>
      </c>
      <c r="G114" s="191" t="s">
        <v>32</v>
      </c>
      <c r="H114" s="191" t="s">
        <v>45</v>
      </c>
      <c r="I114" s="258">
        <v>6</v>
      </c>
      <c r="J114" s="191" t="s">
        <v>83</v>
      </c>
      <c r="K114" s="192" t="s">
        <v>132</v>
      </c>
      <c r="L114" s="246" t="s">
        <v>83</v>
      </c>
      <c r="M114" s="861" t="s">
        <v>1604</v>
      </c>
      <c r="N114" s="246"/>
      <c r="O114" s="245" t="s">
        <v>183</v>
      </c>
      <c r="P114" s="246"/>
      <c r="Q114" s="192" t="s">
        <v>184</v>
      </c>
      <c r="R114" s="276"/>
      <c r="S114" s="277"/>
      <c r="T114" s="276"/>
      <c r="U114" s="276"/>
      <c r="V114" s="276"/>
      <c r="W114" s="276"/>
      <c r="X114" s="277"/>
      <c r="Y114" s="194">
        <v>100000000</v>
      </c>
      <c r="Z114" s="194">
        <f>+FRIL!J177</f>
        <v>0</v>
      </c>
      <c r="AA114" s="298"/>
      <c r="AB114" s="299">
        <v>100000000</v>
      </c>
      <c r="AC114" s="299">
        <f t="shared" si="37"/>
        <v>0</v>
      </c>
      <c r="AD114" s="299">
        <f>+AB114-AC114</f>
        <v>100000000</v>
      </c>
      <c r="AE114" s="299">
        <v>0</v>
      </c>
      <c r="AF114" s="299">
        <v>0</v>
      </c>
      <c r="AG114" s="299">
        <v>0</v>
      </c>
      <c r="AH114" s="299">
        <v>0</v>
      </c>
      <c r="AI114" s="299">
        <v>0</v>
      </c>
      <c r="AJ114" s="297">
        <v>0</v>
      </c>
      <c r="AK114" s="299">
        <v>0</v>
      </c>
      <c r="AL114" s="299">
        <v>0</v>
      </c>
      <c r="AM114" s="299">
        <v>0</v>
      </c>
      <c r="AN114" s="299">
        <v>0</v>
      </c>
      <c r="AO114" s="297">
        <v>0</v>
      </c>
      <c r="AP114" s="299">
        <v>0</v>
      </c>
      <c r="AQ114" s="298"/>
      <c r="AR114" s="299">
        <f t="shared" si="43"/>
        <v>0</v>
      </c>
      <c r="AS114" s="314" t="s">
        <v>185</v>
      </c>
      <c r="AT114" s="314" t="s">
        <v>83</v>
      </c>
      <c r="AU114" s="192" t="s">
        <v>138</v>
      </c>
    </row>
    <row r="115" spans="1:47" s="218" customFormat="1" ht="25.5" customHeight="1" outlineLevel="2">
      <c r="A115" s="215" t="s">
        <v>125</v>
      </c>
      <c r="B115" s="151">
        <v>33</v>
      </c>
      <c r="C115" s="151" t="s">
        <v>128</v>
      </c>
      <c r="D115" s="245" t="s">
        <v>149</v>
      </c>
      <c r="E115" s="151" t="s">
        <v>130</v>
      </c>
      <c r="F115" s="151" t="s">
        <v>140</v>
      </c>
      <c r="G115" s="151" t="s">
        <v>32</v>
      </c>
      <c r="H115" s="151" t="s">
        <v>45</v>
      </c>
      <c r="I115" s="256">
        <v>6</v>
      </c>
      <c r="J115" s="151" t="s">
        <v>83</v>
      </c>
      <c r="K115" s="176" t="s">
        <v>132</v>
      </c>
      <c r="L115" s="245" t="s">
        <v>83</v>
      </c>
      <c r="M115" s="855"/>
      <c r="N115" s="245"/>
      <c r="O115" s="245" t="s">
        <v>183</v>
      </c>
      <c r="P115" s="245"/>
      <c r="Q115" s="176" t="s">
        <v>298</v>
      </c>
      <c r="R115" s="273"/>
      <c r="S115" s="274"/>
      <c r="T115" s="273"/>
      <c r="U115" s="273"/>
      <c r="V115" s="273"/>
      <c r="W115" s="273"/>
      <c r="X115" s="274"/>
      <c r="Y115" s="275">
        <v>200000000</v>
      </c>
      <c r="Z115" s="275">
        <f>+FRIL!J178</f>
        <v>0</v>
      </c>
      <c r="AA115" s="296"/>
      <c r="AB115" s="297">
        <v>200000000</v>
      </c>
      <c r="AC115" s="297">
        <f t="shared" si="37"/>
        <v>119980911</v>
      </c>
      <c r="AD115" s="297">
        <f>+AB115-AC115</f>
        <v>80019089</v>
      </c>
      <c r="AE115" s="297">
        <v>0</v>
      </c>
      <c r="AF115" s="297">
        <v>0</v>
      </c>
      <c r="AG115" s="297">
        <v>0</v>
      </c>
      <c r="AH115" s="297">
        <v>0</v>
      </c>
      <c r="AI115" s="297">
        <v>0</v>
      </c>
      <c r="AJ115" s="297">
        <v>7574094</v>
      </c>
      <c r="AK115" s="297">
        <v>23293344</v>
      </c>
      <c r="AL115" s="297">
        <v>0</v>
      </c>
      <c r="AM115" s="297">
        <v>62159365</v>
      </c>
      <c r="AN115" s="297">
        <v>0</v>
      </c>
      <c r="AO115" s="297">
        <f>+FRIL!L67</f>
        <v>26954108</v>
      </c>
      <c r="AP115" s="297">
        <v>0</v>
      </c>
      <c r="AQ115" s="296"/>
      <c r="AR115" s="297">
        <f t="shared" si="43"/>
        <v>0</v>
      </c>
      <c r="AS115" s="313" t="s">
        <v>185</v>
      </c>
      <c r="AT115" s="313" t="s">
        <v>83</v>
      </c>
      <c r="AU115" s="176" t="s">
        <v>138</v>
      </c>
    </row>
    <row r="116" spans="1:47" s="217" customFormat="1" ht="25.5" customHeight="1" outlineLevel="1">
      <c r="A116" s="215" t="s">
        <v>125</v>
      </c>
      <c r="B116" s="247"/>
      <c r="C116" s="247"/>
      <c r="D116" s="248"/>
      <c r="E116" s="249"/>
      <c r="F116" s="249"/>
      <c r="G116" s="249"/>
      <c r="H116" s="249"/>
      <c r="I116" s="249"/>
      <c r="J116" s="247"/>
      <c r="K116" s="259"/>
      <c r="L116" s="248"/>
      <c r="M116" s="248"/>
      <c r="N116" s="250"/>
      <c r="O116" s="250"/>
      <c r="P116" s="250"/>
      <c r="Q116" s="260" t="s">
        <v>187</v>
      </c>
      <c r="R116" s="278"/>
      <c r="S116" s="279"/>
      <c r="T116" s="279"/>
      <c r="U116" s="279"/>
      <c r="V116" s="279"/>
      <c r="W116" s="279"/>
      <c r="X116" s="281"/>
      <c r="Y116" s="286">
        <f>+Y111+Y113+Y114+Y115+Y112</f>
        <v>6615101000</v>
      </c>
      <c r="Z116" s="286">
        <f>+Z111+Z113+Z114+Z115+Z112</f>
        <v>3059398659</v>
      </c>
      <c r="AA116" s="303"/>
      <c r="AB116" s="286">
        <f>+AB111+AB113+AB114+AB115+AB112</f>
        <v>1257875803</v>
      </c>
      <c r="AC116" s="286">
        <f t="shared" si="37"/>
        <v>597761253</v>
      </c>
      <c r="AD116" s="286">
        <f>+AD111+AD113+AD114+AD115+AD112</f>
        <v>660114550</v>
      </c>
      <c r="AE116" s="286">
        <f t="shared" ref="AE116:AP116" si="44">+AE111+AE113+AE114+AE115+AE112</f>
        <v>0</v>
      </c>
      <c r="AF116" s="286">
        <f t="shared" si="44"/>
        <v>0</v>
      </c>
      <c r="AG116" s="286">
        <f t="shared" si="44"/>
        <v>0</v>
      </c>
      <c r="AH116" s="286">
        <f t="shared" si="44"/>
        <v>0</v>
      </c>
      <c r="AI116" s="286">
        <f t="shared" si="44"/>
        <v>0</v>
      </c>
      <c r="AJ116" s="286">
        <v>7574094</v>
      </c>
      <c r="AK116" s="286">
        <f t="shared" si="44"/>
        <v>36287706</v>
      </c>
      <c r="AL116" s="286">
        <f t="shared" si="44"/>
        <v>448302223</v>
      </c>
      <c r="AM116" s="286">
        <f t="shared" si="44"/>
        <v>63061093</v>
      </c>
      <c r="AN116" s="286">
        <f t="shared" si="44"/>
        <v>12748694</v>
      </c>
      <c r="AO116" s="286">
        <f t="shared" si="44"/>
        <v>26954108</v>
      </c>
      <c r="AP116" s="286">
        <f t="shared" si="44"/>
        <v>2833335</v>
      </c>
      <c r="AQ116" s="287"/>
      <c r="AR116" s="286">
        <f t="shared" si="43"/>
        <v>2297826538</v>
      </c>
      <c r="AS116" s="315"/>
      <c r="AT116" s="315"/>
      <c r="AU116" s="220"/>
    </row>
    <row r="117" spans="1:47" ht="18.75" customHeight="1" outlineLevel="1">
      <c r="A117" s="215" t="s">
        <v>125</v>
      </c>
      <c r="B117" s="249"/>
      <c r="C117" s="249"/>
      <c r="D117" s="250"/>
      <c r="E117" s="249"/>
      <c r="F117" s="249"/>
      <c r="G117" s="249"/>
      <c r="H117" s="249"/>
      <c r="I117" s="249"/>
      <c r="J117" s="249"/>
      <c r="K117" s="261"/>
      <c r="L117" s="250"/>
      <c r="M117" s="250"/>
      <c r="N117" s="250"/>
      <c r="O117" s="250"/>
      <c r="P117" s="250"/>
      <c r="Q117" s="261"/>
      <c r="R117" s="283"/>
      <c r="S117" s="283"/>
      <c r="T117" s="283"/>
      <c r="U117" s="283"/>
      <c r="V117" s="283"/>
      <c r="W117" s="283"/>
      <c r="X117" s="283"/>
      <c r="Y117" s="284"/>
      <c r="Z117" s="284"/>
      <c r="AA117" s="301"/>
      <c r="AB117" s="301"/>
      <c r="AC117" s="301"/>
      <c r="AD117" s="301"/>
      <c r="AE117" s="301"/>
      <c r="AF117" s="301"/>
      <c r="AG117" s="301"/>
      <c r="AH117" s="301"/>
      <c r="AI117" s="301"/>
      <c r="AJ117" s="301"/>
      <c r="AK117" s="301"/>
      <c r="AL117" s="301"/>
      <c r="AM117" s="301"/>
      <c r="AN117" s="301"/>
      <c r="AO117" s="301"/>
      <c r="AP117" s="301"/>
      <c r="AQ117" s="301"/>
      <c r="AR117" s="301"/>
      <c r="AS117" s="316"/>
      <c r="AT117" s="316"/>
      <c r="AU117" s="317"/>
    </row>
    <row r="118" spans="1:47" s="219" customFormat="1" ht="24.75" customHeight="1" outlineLevel="1">
      <c r="A118" s="215" t="s">
        <v>125</v>
      </c>
      <c r="B118" s="251"/>
      <c r="C118" s="249"/>
      <c r="D118" s="250"/>
      <c r="E118" s="249"/>
      <c r="F118" s="249"/>
      <c r="G118" s="249"/>
      <c r="H118" s="249"/>
      <c r="I118" s="249"/>
      <c r="J118" s="251"/>
      <c r="K118" s="263"/>
      <c r="L118" s="252"/>
      <c r="M118" s="252"/>
      <c r="N118" s="252"/>
      <c r="O118" s="252"/>
      <c r="P118" s="252"/>
      <c r="Q118" s="117" t="s">
        <v>315</v>
      </c>
      <c r="R118" s="288"/>
      <c r="S118" s="289"/>
      <c r="T118" s="289"/>
      <c r="U118" s="289"/>
      <c r="V118" s="289"/>
      <c r="W118" s="289"/>
      <c r="X118" s="290"/>
      <c r="Y118" s="118">
        <f>+Y116</f>
        <v>6615101000</v>
      </c>
      <c r="Z118" s="118">
        <f>+Z116</f>
        <v>3059398659</v>
      </c>
      <c r="AA118" s="304"/>
      <c r="AB118" s="118">
        <f t="shared" ref="AB118:AD118" si="45">+AB116</f>
        <v>1257875803</v>
      </c>
      <c r="AC118" s="118">
        <f t="shared" si="45"/>
        <v>597761253</v>
      </c>
      <c r="AD118" s="118">
        <f t="shared" si="45"/>
        <v>660114550</v>
      </c>
      <c r="AE118" s="118">
        <f t="shared" ref="AE118:AP118" si="46">+AE116</f>
        <v>0</v>
      </c>
      <c r="AF118" s="118">
        <f t="shared" si="46"/>
        <v>0</v>
      </c>
      <c r="AG118" s="118">
        <f t="shared" si="46"/>
        <v>0</v>
      </c>
      <c r="AH118" s="118">
        <f t="shared" si="46"/>
        <v>0</v>
      </c>
      <c r="AI118" s="118">
        <f t="shared" si="46"/>
        <v>0</v>
      </c>
      <c r="AJ118" s="118">
        <v>7574094</v>
      </c>
      <c r="AK118" s="118">
        <f t="shared" si="46"/>
        <v>36287706</v>
      </c>
      <c r="AL118" s="118">
        <f t="shared" si="46"/>
        <v>448302223</v>
      </c>
      <c r="AM118" s="118">
        <f t="shared" si="46"/>
        <v>63061093</v>
      </c>
      <c r="AN118" s="118">
        <f t="shared" si="46"/>
        <v>12748694</v>
      </c>
      <c r="AO118" s="118">
        <f t="shared" si="46"/>
        <v>26954108</v>
      </c>
      <c r="AP118" s="118">
        <f t="shared" si="46"/>
        <v>2833335</v>
      </c>
      <c r="AQ118" s="318"/>
      <c r="AR118" s="118">
        <f>+Y118-Z118-AC118-AD118</f>
        <v>2297826538</v>
      </c>
      <c r="AS118" s="333"/>
      <c r="AT118" s="333"/>
      <c r="AU118" s="320"/>
    </row>
    <row r="119" spans="1:47" ht="18.75" customHeight="1" outlineLevel="1">
      <c r="A119" s="215" t="s">
        <v>125</v>
      </c>
      <c r="B119" s="249"/>
      <c r="C119" s="249"/>
      <c r="D119" s="250"/>
      <c r="E119" s="249"/>
      <c r="F119" s="249"/>
      <c r="G119" s="249"/>
      <c r="H119" s="249"/>
      <c r="I119" s="249"/>
      <c r="J119" s="249"/>
      <c r="K119" s="261"/>
      <c r="L119" s="250"/>
      <c r="M119" s="250"/>
      <c r="N119" s="250"/>
      <c r="O119" s="250"/>
      <c r="P119" s="250"/>
      <c r="Q119" s="261"/>
      <c r="R119" s="283"/>
      <c r="S119" s="283"/>
      <c r="T119" s="283"/>
      <c r="U119" s="283"/>
      <c r="V119" s="283"/>
      <c r="W119" s="283"/>
      <c r="X119" s="283"/>
      <c r="Y119" s="284"/>
      <c r="Z119" s="284"/>
      <c r="AA119" s="301"/>
      <c r="AB119" s="301"/>
      <c r="AC119" s="301"/>
      <c r="AD119" s="301"/>
      <c r="AE119" s="301"/>
      <c r="AF119" s="301"/>
      <c r="AG119" s="301"/>
      <c r="AH119" s="301"/>
      <c r="AI119" s="301"/>
      <c r="AJ119" s="301"/>
      <c r="AK119" s="301"/>
      <c r="AL119" s="301"/>
      <c r="AM119" s="301"/>
      <c r="AN119" s="301"/>
      <c r="AO119" s="301"/>
      <c r="AP119" s="301"/>
      <c r="AQ119" s="301"/>
      <c r="AR119" s="301"/>
      <c r="AS119" s="316"/>
      <c r="AT119" s="316"/>
      <c r="AU119" s="317"/>
    </row>
    <row r="120" spans="1:47" ht="26.25" customHeight="1" outlineLevel="1">
      <c r="A120" s="215" t="s">
        <v>125</v>
      </c>
      <c r="B120" s="249"/>
      <c r="C120" s="249"/>
      <c r="D120" s="250"/>
      <c r="E120" s="249"/>
      <c r="F120" s="249"/>
      <c r="G120" s="249"/>
      <c r="H120" s="249"/>
      <c r="I120" s="249"/>
      <c r="J120" s="249"/>
      <c r="K120" s="261"/>
      <c r="L120" s="250"/>
      <c r="M120" s="250"/>
      <c r="N120" s="250"/>
      <c r="O120" s="250"/>
      <c r="P120" s="250"/>
      <c r="Q120" s="264" t="s">
        <v>316</v>
      </c>
      <c r="R120" s="283"/>
      <c r="S120" s="283"/>
      <c r="T120" s="283"/>
      <c r="U120" s="283"/>
      <c r="V120" s="283"/>
      <c r="W120" s="283"/>
      <c r="X120" s="283"/>
      <c r="Y120" s="284"/>
      <c r="Z120" s="284"/>
      <c r="AA120" s="301"/>
      <c r="AB120" s="301"/>
      <c r="AC120" s="301"/>
      <c r="AD120" s="301"/>
      <c r="AE120" s="301"/>
      <c r="AF120" s="301"/>
      <c r="AG120" s="301"/>
      <c r="AH120" s="301"/>
      <c r="AI120" s="301"/>
      <c r="AJ120" s="301"/>
      <c r="AK120" s="301"/>
      <c r="AL120" s="301"/>
      <c r="AM120" s="301"/>
      <c r="AN120" s="301"/>
      <c r="AO120" s="301"/>
      <c r="AP120" s="301"/>
      <c r="AQ120" s="301"/>
      <c r="AR120" s="301"/>
      <c r="AS120" s="316"/>
      <c r="AT120" s="316"/>
      <c r="AU120" s="317"/>
    </row>
    <row r="121" spans="1:47" s="216" customFormat="1" ht="15" customHeight="1" outlineLevel="1">
      <c r="A121" s="215" t="s">
        <v>125</v>
      </c>
      <c r="B121" s="249"/>
      <c r="C121" s="249"/>
      <c r="D121" s="250"/>
      <c r="E121" s="249"/>
      <c r="F121" s="249"/>
      <c r="G121" s="249"/>
      <c r="H121" s="249"/>
      <c r="I121" s="249"/>
      <c r="J121" s="249"/>
      <c r="K121" s="261"/>
      <c r="L121" s="250"/>
      <c r="M121" s="250"/>
      <c r="N121" s="250"/>
      <c r="O121" s="250"/>
      <c r="P121" s="250"/>
      <c r="Q121" s="255"/>
      <c r="R121" s="283"/>
      <c r="S121" s="283"/>
      <c r="T121" s="283"/>
      <c r="U121" s="283"/>
      <c r="V121" s="283"/>
      <c r="W121" s="283"/>
      <c r="X121" s="283"/>
      <c r="Y121" s="284"/>
      <c r="Z121" s="284"/>
      <c r="AA121" s="301"/>
      <c r="AB121" s="301"/>
      <c r="AC121" s="301"/>
      <c r="AD121" s="301"/>
      <c r="AE121" s="301"/>
      <c r="AF121" s="301"/>
      <c r="AG121" s="301"/>
      <c r="AH121" s="301"/>
      <c r="AI121" s="301"/>
      <c r="AJ121" s="301"/>
      <c r="AK121" s="301"/>
      <c r="AL121" s="301"/>
      <c r="AM121" s="301"/>
      <c r="AN121" s="301"/>
      <c r="AO121" s="301"/>
      <c r="AP121" s="301"/>
      <c r="AQ121" s="301"/>
      <c r="AR121" s="301"/>
      <c r="AS121" s="316"/>
      <c r="AT121" s="316"/>
      <c r="AU121" s="317"/>
    </row>
    <row r="122" spans="1:47" s="217" customFormat="1" ht="25.5" customHeight="1" outlineLevel="1">
      <c r="A122" s="215" t="s">
        <v>125</v>
      </c>
      <c r="B122" s="247"/>
      <c r="C122" s="247"/>
      <c r="D122" s="248"/>
      <c r="E122" s="249"/>
      <c r="F122" s="249"/>
      <c r="G122" s="249"/>
      <c r="H122" s="249"/>
      <c r="I122" s="249"/>
      <c r="J122" s="247"/>
      <c r="K122" s="259"/>
      <c r="L122" s="248"/>
      <c r="M122" s="248"/>
      <c r="N122" s="250"/>
      <c r="O122" s="250"/>
      <c r="P122" s="250"/>
      <c r="Q122" s="99" t="s">
        <v>127</v>
      </c>
      <c r="R122" s="283"/>
      <c r="S122" s="283"/>
      <c r="T122" s="283"/>
      <c r="U122" s="283"/>
      <c r="V122" s="283"/>
      <c r="W122" s="283"/>
      <c r="X122" s="283"/>
      <c r="Y122" s="285"/>
      <c r="Z122" s="285"/>
      <c r="AA122" s="302"/>
      <c r="AB122" s="302"/>
      <c r="AC122" s="302"/>
      <c r="AD122" s="302"/>
      <c r="AE122" s="302"/>
      <c r="AF122" s="302"/>
      <c r="AG122" s="302"/>
      <c r="AH122" s="301"/>
      <c r="AI122" s="301"/>
      <c r="AJ122" s="301"/>
      <c r="AK122" s="301"/>
      <c r="AL122" s="301"/>
      <c r="AM122" s="301"/>
      <c r="AN122" s="301"/>
      <c r="AO122" s="301"/>
      <c r="AP122" s="301"/>
      <c r="AQ122" s="302"/>
      <c r="AR122" s="302"/>
      <c r="AS122" s="315"/>
      <c r="AT122" s="315"/>
      <c r="AU122" s="220"/>
    </row>
    <row r="123" spans="1:47" s="218" customFormat="1" ht="25.5" customHeight="1" outlineLevel="2">
      <c r="A123" s="215" t="s">
        <v>125</v>
      </c>
      <c r="B123" s="151">
        <v>31</v>
      </c>
      <c r="C123" s="151" t="s">
        <v>128</v>
      </c>
      <c r="D123" s="245" t="s">
        <v>164</v>
      </c>
      <c r="E123" s="151" t="s">
        <v>169</v>
      </c>
      <c r="F123" s="151" t="s">
        <v>140</v>
      </c>
      <c r="G123" s="151" t="s">
        <v>32</v>
      </c>
      <c r="H123" s="151" t="s">
        <v>46</v>
      </c>
      <c r="I123" s="256">
        <v>7</v>
      </c>
      <c r="J123" s="151" t="s">
        <v>80</v>
      </c>
      <c r="K123" s="176" t="s">
        <v>202</v>
      </c>
      <c r="L123" s="245">
        <v>30405773</v>
      </c>
      <c r="M123" s="855"/>
      <c r="N123" s="245" t="s">
        <v>145</v>
      </c>
      <c r="O123" s="245" t="s">
        <v>317</v>
      </c>
      <c r="P123" s="245"/>
      <c r="Q123" s="176" t="s">
        <v>318</v>
      </c>
      <c r="R123" s="273"/>
      <c r="S123" s="274"/>
      <c r="T123" s="273"/>
      <c r="U123" s="273"/>
      <c r="V123" s="273"/>
      <c r="W123" s="273"/>
      <c r="X123" s="274"/>
      <c r="Y123" s="275">
        <v>24900000</v>
      </c>
      <c r="Z123" s="275">
        <v>6679000</v>
      </c>
      <c r="AA123" s="296"/>
      <c r="AB123" s="297">
        <f>17000000+792999+154700</f>
        <v>17947699</v>
      </c>
      <c r="AC123" s="297">
        <f t="shared" si="37"/>
        <v>5050500</v>
      </c>
      <c r="AD123" s="297">
        <f t="shared" ref="AD123:AD129" si="47">+AB123-AC123</f>
        <v>12897199</v>
      </c>
      <c r="AE123" s="297">
        <v>0</v>
      </c>
      <c r="AF123" s="297">
        <v>0</v>
      </c>
      <c r="AG123" s="297">
        <v>0</v>
      </c>
      <c r="AH123" s="297">
        <v>0</v>
      </c>
      <c r="AI123" s="297">
        <v>0</v>
      </c>
      <c r="AJ123" s="297">
        <v>0</v>
      </c>
      <c r="AK123" s="297">
        <v>5050500</v>
      </c>
      <c r="AL123" s="297">
        <v>0</v>
      </c>
      <c r="AM123" s="297">
        <v>0</v>
      </c>
      <c r="AN123" s="297">
        <v>0</v>
      </c>
      <c r="AO123" s="297">
        <v>0</v>
      </c>
      <c r="AP123" s="297">
        <v>0</v>
      </c>
      <c r="AQ123" s="296"/>
      <c r="AR123" s="297">
        <f t="shared" ref="AR123:AR130" si="48">+Y123-Z123-AC123-AD123</f>
        <v>273301</v>
      </c>
      <c r="AS123" s="313" t="s">
        <v>137</v>
      </c>
      <c r="AT123" s="313" t="s">
        <v>137</v>
      </c>
      <c r="AU123" s="176" t="s">
        <v>138</v>
      </c>
    </row>
    <row r="124" spans="1:47" s="218" customFormat="1" ht="25.5" customHeight="1" outlineLevel="2">
      <c r="A124" s="215" t="s">
        <v>125</v>
      </c>
      <c r="B124" s="151">
        <v>29</v>
      </c>
      <c r="C124" s="151" t="s">
        <v>128</v>
      </c>
      <c r="D124" s="245" t="s">
        <v>139</v>
      </c>
      <c r="E124" s="151" t="s">
        <v>130</v>
      </c>
      <c r="F124" s="151" t="s">
        <v>140</v>
      </c>
      <c r="G124" s="151" t="s">
        <v>32</v>
      </c>
      <c r="H124" s="151" t="s">
        <v>46</v>
      </c>
      <c r="I124" s="256">
        <v>7</v>
      </c>
      <c r="J124" s="151" t="s">
        <v>85</v>
      </c>
      <c r="K124" s="176" t="s">
        <v>132</v>
      </c>
      <c r="L124" s="245">
        <v>40000985</v>
      </c>
      <c r="M124" s="855"/>
      <c r="N124" s="245" t="s">
        <v>145</v>
      </c>
      <c r="O124" s="245" t="s">
        <v>319</v>
      </c>
      <c r="P124" s="245"/>
      <c r="Q124" s="176" t="s">
        <v>320</v>
      </c>
      <c r="R124" s="273" t="s">
        <v>321</v>
      </c>
      <c r="S124" s="274"/>
      <c r="T124" s="273"/>
      <c r="U124" s="273"/>
      <c r="V124" s="273"/>
      <c r="W124" s="273"/>
      <c r="X124" s="274"/>
      <c r="Y124" s="275">
        <v>300881000</v>
      </c>
      <c r="Z124" s="275">
        <v>137471258</v>
      </c>
      <c r="AA124" s="296"/>
      <c r="AB124" s="297">
        <v>163409014</v>
      </c>
      <c r="AC124" s="297">
        <f t="shared" si="37"/>
        <v>163408107</v>
      </c>
      <c r="AD124" s="297">
        <f t="shared" si="47"/>
        <v>907</v>
      </c>
      <c r="AE124" s="297">
        <v>0</v>
      </c>
      <c r="AF124" s="297">
        <v>0</v>
      </c>
      <c r="AG124" s="297">
        <v>0</v>
      </c>
      <c r="AH124" s="297">
        <v>0</v>
      </c>
      <c r="AI124" s="297">
        <v>0</v>
      </c>
      <c r="AJ124" s="297">
        <v>0</v>
      </c>
      <c r="AK124" s="297">
        <v>0</v>
      </c>
      <c r="AL124" s="297">
        <v>0</v>
      </c>
      <c r="AM124" s="297">
        <v>105255061</v>
      </c>
      <c r="AN124" s="297">
        <v>58153046</v>
      </c>
      <c r="AO124" s="297">
        <v>0</v>
      </c>
      <c r="AP124" s="297">
        <v>0</v>
      </c>
      <c r="AQ124" s="296"/>
      <c r="AR124" s="297">
        <f t="shared" si="48"/>
        <v>728</v>
      </c>
      <c r="AS124" s="313" t="s">
        <v>148</v>
      </c>
      <c r="AT124" s="313" t="s">
        <v>1464</v>
      </c>
      <c r="AU124" s="176" t="s">
        <v>138</v>
      </c>
    </row>
    <row r="125" spans="1:47" s="217" customFormat="1" ht="25.5" customHeight="1" outlineLevel="1">
      <c r="A125" s="215" t="s">
        <v>125</v>
      </c>
      <c r="B125" s="151">
        <v>29</v>
      </c>
      <c r="C125" s="151" t="s">
        <v>196</v>
      </c>
      <c r="D125" s="245" t="s">
        <v>164</v>
      </c>
      <c r="E125" s="151" t="s">
        <v>130</v>
      </c>
      <c r="F125" s="151" t="s">
        <v>140</v>
      </c>
      <c r="G125" s="151" t="s">
        <v>32</v>
      </c>
      <c r="H125" s="151" t="s">
        <v>46</v>
      </c>
      <c r="I125" s="256">
        <v>7</v>
      </c>
      <c r="J125" s="151" t="s">
        <v>81</v>
      </c>
      <c r="K125" s="176" t="s">
        <v>132</v>
      </c>
      <c r="L125" s="245">
        <v>40012048</v>
      </c>
      <c r="M125" s="855"/>
      <c r="N125" s="245"/>
      <c r="O125" s="245" t="s">
        <v>328</v>
      </c>
      <c r="P125" s="257" t="s">
        <v>329</v>
      </c>
      <c r="Q125" s="176" t="s">
        <v>330</v>
      </c>
      <c r="R125" s="273" t="s">
        <v>331</v>
      </c>
      <c r="S125" s="274"/>
      <c r="T125" s="273"/>
      <c r="U125" s="273"/>
      <c r="V125" s="273"/>
      <c r="W125" s="273"/>
      <c r="X125" s="274"/>
      <c r="Y125" s="275">
        <v>40500001</v>
      </c>
      <c r="Z125" s="275">
        <v>0</v>
      </c>
      <c r="AA125" s="296"/>
      <c r="AB125" s="297">
        <v>40500001</v>
      </c>
      <c r="AC125" s="297">
        <f t="shared" si="37"/>
        <v>40500001</v>
      </c>
      <c r="AD125" s="297">
        <f t="shared" si="47"/>
        <v>0</v>
      </c>
      <c r="AE125" s="297">
        <v>0</v>
      </c>
      <c r="AF125" s="297">
        <v>0</v>
      </c>
      <c r="AG125" s="297">
        <v>0</v>
      </c>
      <c r="AH125" s="297">
        <v>0</v>
      </c>
      <c r="AI125" s="297">
        <v>0</v>
      </c>
      <c r="AJ125" s="297">
        <v>0</v>
      </c>
      <c r="AK125" s="297">
        <v>0</v>
      </c>
      <c r="AL125" s="297">
        <v>40500001</v>
      </c>
      <c r="AM125" s="297">
        <v>0</v>
      </c>
      <c r="AN125" s="297">
        <v>0</v>
      </c>
      <c r="AO125" s="297">
        <v>0</v>
      </c>
      <c r="AP125" s="297">
        <v>0</v>
      </c>
      <c r="AQ125" s="296"/>
      <c r="AR125" s="297">
        <f>+Y125-Z125-AC125-AD125</f>
        <v>0</v>
      </c>
      <c r="AS125" s="313" t="s">
        <v>148</v>
      </c>
      <c r="AT125" s="313" t="s">
        <v>1464</v>
      </c>
      <c r="AU125" s="176" t="s">
        <v>301</v>
      </c>
    </row>
    <row r="126" spans="1:47" s="217" customFormat="1" ht="25.5" customHeight="1" outlineLevel="1">
      <c r="A126" s="215" t="s">
        <v>125</v>
      </c>
      <c r="B126" s="151">
        <v>29</v>
      </c>
      <c r="C126" s="151" t="s">
        <v>196</v>
      </c>
      <c r="D126" s="245" t="s">
        <v>149</v>
      </c>
      <c r="E126" s="151" t="s">
        <v>130</v>
      </c>
      <c r="F126" s="151" t="s">
        <v>140</v>
      </c>
      <c r="G126" s="151" t="s">
        <v>32</v>
      </c>
      <c r="H126" s="151" t="s">
        <v>46</v>
      </c>
      <c r="I126" s="256">
        <v>7</v>
      </c>
      <c r="J126" s="151" t="s">
        <v>80</v>
      </c>
      <c r="K126" s="176" t="s">
        <v>132</v>
      </c>
      <c r="L126" s="245">
        <v>40013525</v>
      </c>
      <c r="M126" s="855"/>
      <c r="N126" s="245"/>
      <c r="O126" s="245" t="s">
        <v>332</v>
      </c>
      <c r="P126" s="257" t="s">
        <v>1557</v>
      </c>
      <c r="Q126" s="176" t="s">
        <v>333</v>
      </c>
      <c r="R126" s="273" t="s">
        <v>334</v>
      </c>
      <c r="S126" s="274"/>
      <c r="T126" s="273"/>
      <c r="U126" s="273"/>
      <c r="V126" s="273"/>
      <c r="W126" s="273"/>
      <c r="X126" s="274"/>
      <c r="Y126" s="275">
        <v>89690300</v>
      </c>
      <c r="Z126" s="275">
        <v>0</v>
      </c>
      <c r="AA126" s="296"/>
      <c r="AB126" s="297">
        <f>89845000-154700</f>
        <v>89690300</v>
      </c>
      <c r="AC126" s="297">
        <f>SUBTOTAL(9,AE126:AP126)</f>
        <v>89690300</v>
      </c>
      <c r="AD126" s="297">
        <f>+AB126-AC126</f>
        <v>0</v>
      </c>
      <c r="AE126" s="297">
        <v>0</v>
      </c>
      <c r="AF126" s="297">
        <v>0</v>
      </c>
      <c r="AG126" s="297">
        <v>0</v>
      </c>
      <c r="AH126" s="297">
        <v>0</v>
      </c>
      <c r="AI126" s="297">
        <v>0</v>
      </c>
      <c r="AJ126" s="297">
        <v>89690300</v>
      </c>
      <c r="AK126" s="297">
        <v>0</v>
      </c>
      <c r="AL126" s="297">
        <v>0</v>
      </c>
      <c r="AM126" s="297">
        <v>0</v>
      </c>
      <c r="AN126" s="297">
        <v>0</v>
      </c>
      <c r="AO126" s="297">
        <v>0</v>
      </c>
      <c r="AP126" s="297">
        <v>0</v>
      </c>
      <c r="AQ126" s="296"/>
      <c r="AR126" s="297">
        <f>+Y126-Z126-AC126-AD126</f>
        <v>0</v>
      </c>
      <c r="AS126" s="313" t="s">
        <v>148</v>
      </c>
      <c r="AT126" s="313" t="s">
        <v>1464</v>
      </c>
      <c r="AU126" s="176" t="s">
        <v>301</v>
      </c>
    </row>
    <row r="127" spans="1:47" s="218" customFormat="1" ht="25.5" customHeight="1" outlineLevel="2">
      <c r="A127" s="215" t="s">
        <v>125</v>
      </c>
      <c r="B127" s="191">
        <v>33</v>
      </c>
      <c r="C127" s="191" t="s">
        <v>128</v>
      </c>
      <c r="D127" s="246" t="s">
        <v>149</v>
      </c>
      <c r="E127" s="191" t="s">
        <v>130</v>
      </c>
      <c r="F127" s="191" t="s">
        <v>140</v>
      </c>
      <c r="G127" s="191" t="s">
        <v>32</v>
      </c>
      <c r="H127" s="191" t="s">
        <v>46</v>
      </c>
      <c r="I127" s="258">
        <v>7</v>
      </c>
      <c r="J127" s="191" t="s">
        <v>83</v>
      </c>
      <c r="K127" s="192" t="s">
        <v>132</v>
      </c>
      <c r="L127" s="246" t="s">
        <v>83</v>
      </c>
      <c r="M127" s="861" t="s">
        <v>1604</v>
      </c>
      <c r="N127" s="246"/>
      <c r="O127" s="245" t="s">
        <v>183</v>
      </c>
      <c r="P127" s="246"/>
      <c r="Q127" s="192" t="s">
        <v>184</v>
      </c>
      <c r="R127" s="276"/>
      <c r="S127" s="277"/>
      <c r="T127" s="276"/>
      <c r="U127" s="276"/>
      <c r="V127" s="276"/>
      <c r="W127" s="276"/>
      <c r="X127" s="277"/>
      <c r="Y127" s="194">
        <v>100000000</v>
      </c>
      <c r="Z127" s="194">
        <v>0</v>
      </c>
      <c r="AA127" s="298"/>
      <c r="AB127" s="194">
        <v>100000000</v>
      </c>
      <c r="AC127" s="299">
        <f t="shared" si="37"/>
        <v>0</v>
      </c>
      <c r="AD127" s="299">
        <f t="shared" si="47"/>
        <v>100000000</v>
      </c>
      <c r="AE127" s="299">
        <v>0</v>
      </c>
      <c r="AF127" s="299">
        <v>0</v>
      </c>
      <c r="AG127" s="299">
        <v>0</v>
      </c>
      <c r="AH127" s="299">
        <v>0</v>
      </c>
      <c r="AI127" s="299">
        <v>0</v>
      </c>
      <c r="AJ127" s="297">
        <v>0</v>
      </c>
      <c r="AK127" s="299">
        <v>0</v>
      </c>
      <c r="AL127" s="299">
        <v>0</v>
      </c>
      <c r="AM127" s="299">
        <v>0</v>
      </c>
      <c r="AN127" s="299">
        <v>0</v>
      </c>
      <c r="AO127" s="297">
        <v>0</v>
      </c>
      <c r="AP127" s="299">
        <v>0</v>
      </c>
      <c r="AQ127" s="298"/>
      <c r="AR127" s="299">
        <f t="shared" si="48"/>
        <v>0</v>
      </c>
      <c r="AS127" s="314" t="s">
        <v>185</v>
      </c>
      <c r="AT127" s="314" t="s">
        <v>83</v>
      </c>
      <c r="AU127" s="192" t="s">
        <v>138</v>
      </c>
    </row>
    <row r="128" spans="1:47" s="218" customFormat="1" ht="25.5" customHeight="1" outlineLevel="2">
      <c r="A128" s="215" t="s">
        <v>125</v>
      </c>
      <c r="B128" s="151">
        <v>33</v>
      </c>
      <c r="C128" s="151" t="s">
        <v>128</v>
      </c>
      <c r="D128" s="245" t="s">
        <v>149</v>
      </c>
      <c r="E128" s="151" t="s">
        <v>130</v>
      </c>
      <c r="F128" s="151" t="s">
        <v>140</v>
      </c>
      <c r="G128" s="151" t="s">
        <v>32</v>
      </c>
      <c r="H128" s="151" t="s">
        <v>46</v>
      </c>
      <c r="I128" s="256">
        <v>7</v>
      </c>
      <c r="J128" s="151" t="s">
        <v>83</v>
      </c>
      <c r="K128" s="176" t="s">
        <v>132</v>
      </c>
      <c r="L128" s="245" t="s">
        <v>83</v>
      </c>
      <c r="M128" s="855"/>
      <c r="N128" s="245"/>
      <c r="O128" s="245" t="s">
        <v>183</v>
      </c>
      <c r="P128" s="245"/>
      <c r="Q128" s="176" t="s">
        <v>298</v>
      </c>
      <c r="R128" s="273"/>
      <c r="S128" s="274"/>
      <c r="T128" s="273"/>
      <c r="U128" s="273"/>
      <c r="V128" s="273"/>
      <c r="W128" s="273"/>
      <c r="X128" s="274"/>
      <c r="Y128" s="275">
        <v>200000000</v>
      </c>
      <c r="Z128" s="275">
        <v>0</v>
      </c>
      <c r="AA128" s="296"/>
      <c r="AB128" s="297">
        <v>200000000</v>
      </c>
      <c r="AC128" s="297">
        <f t="shared" si="37"/>
        <v>80049584</v>
      </c>
      <c r="AD128" s="297">
        <f t="shared" si="47"/>
        <v>119950416</v>
      </c>
      <c r="AE128" s="297">
        <v>0</v>
      </c>
      <c r="AF128" s="297">
        <v>0</v>
      </c>
      <c r="AG128" s="297">
        <v>0</v>
      </c>
      <c r="AH128" s="297">
        <v>0</v>
      </c>
      <c r="AI128" s="297">
        <v>0</v>
      </c>
      <c r="AJ128" s="297">
        <v>0</v>
      </c>
      <c r="AK128" s="297">
        <v>0</v>
      </c>
      <c r="AL128" s="297">
        <v>3706026</v>
      </c>
      <c r="AM128" s="297">
        <v>44076261</v>
      </c>
      <c r="AN128" s="297">
        <v>0</v>
      </c>
      <c r="AO128" s="297">
        <f>+FRIL!L79</f>
        <v>32267297</v>
      </c>
      <c r="AP128" s="297">
        <v>0</v>
      </c>
      <c r="AQ128" s="296"/>
      <c r="AR128" s="297">
        <f t="shared" si="48"/>
        <v>0</v>
      </c>
      <c r="AS128" s="313" t="s">
        <v>185</v>
      </c>
      <c r="AT128" s="313" t="s">
        <v>83</v>
      </c>
      <c r="AU128" s="176" t="s">
        <v>138</v>
      </c>
    </row>
    <row r="129" spans="1:47" s="217" customFormat="1" ht="25.5" customHeight="1" outlineLevel="1">
      <c r="A129" s="215" t="s">
        <v>125</v>
      </c>
      <c r="B129" s="151">
        <v>31</v>
      </c>
      <c r="C129" s="151" t="s">
        <v>196</v>
      </c>
      <c r="D129" s="245" t="s">
        <v>129</v>
      </c>
      <c r="E129" s="151" t="s">
        <v>130</v>
      </c>
      <c r="F129" s="151" t="s">
        <v>131</v>
      </c>
      <c r="G129" s="151" t="s">
        <v>32</v>
      </c>
      <c r="H129" s="151" t="s">
        <v>46</v>
      </c>
      <c r="I129" s="256">
        <v>7</v>
      </c>
      <c r="J129" s="151" t="s">
        <v>81</v>
      </c>
      <c r="K129" s="176" t="s">
        <v>132</v>
      </c>
      <c r="L129" s="245">
        <v>30247072</v>
      </c>
      <c r="M129" s="855"/>
      <c r="N129" s="245"/>
      <c r="O129" s="245" t="s">
        <v>322</v>
      </c>
      <c r="P129" s="257"/>
      <c r="Q129" s="176" t="s">
        <v>323</v>
      </c>
      <c r="R129" s="273"/>
      <c r="S129" s="274"/>
      <c r="T129" s="273"/>
      <c r="U129" s="273"/>
      <c r="V129" s="273"/>
      <c r="W129" s="273"/>
      <c r="X129" s="274"/>
      <c r="Y129" s="275">
        <v>14960000</v>
      </c>
      <c r="Z129" s="275">
        <v>14960000</v>
      </c>
      <c r="AA129" s="296"/>
      <c r="AB129" s="297">
        <f>+Y129-Z129</f>
        <v>0</v>
      </c>
      <c r="AC129" s="297">
        <f t="shared" si="37"/>
        <v>0</v>
      </c>
      <c r="AD129" s="297">
        <f t="shared" si="47"/>
        <v>0</v>
      </c>
      <c r="AE129" s="297">
        <v>0</v>
      </c>
      <c r="AF129" s="297">
        <v>0</v>
      </c>
      <c r="AG129" s="297">
        <v>0</v>
      </c>
      <c r="AH129" s="297">
        <v>0</v>
      </c>
      <c r="AI129" s="297">
        <v>0</v>
      </c>
      <c r="AJ129" s="297">
        <v>0</v>
      </c>
      <c r="AK129" s="297">
        <v>0</v>
      </c>
      <c r="AL129" s="297">
        <v>0</v>
      </c>
      <c r="AM129" s="297">
        <v>0</v>
      </c>
      <c r="AN129" s="297">
        <v>0</v>
      </c>
      <c r="AO129" s="297">
        <v>0</v>
      </c>
      <c r="AP129" s="297">
        <v>0</v>
      </c>
      <c r="AQ129" s="296"/>
      <c r="AR129" s="297">
        <f t="shared" si="48"/>
        <v>0</v>
      </c>
      <c r="AS129" s="313" t="s">
        <v>137</v>
      </c>
      <c r="AT129" s="313" t="s">
        <v>137</v>
      </c>
      <c r="AU129" s="176" t="s">
        <v>301</v>
      </c>
    </row>
    <row r="130" spans="1:47" s="217" customFormat="1" ht="25.5" customHeight="1" outlineLevel="1">
      <c r="A130" s="215" t="s">
        <v>125</v>
      </c>
      <c r="B130" s="247"/>
      <c r="C130" s="247"/>
      <c r="D130" s="248"/>
      <c r="E130" s="249"/>
      <c r="F130" s="249"/>
      <c r="G130" s="249"/>
      <c r="H130" s="249"/>
      <c r="I130" s="249"/>
      <c r="J130" s="247"/>
      <c r="K130" s="259"/>
      <c r="L130" s="248"/>
      <c r="M130" s="248"/>
      <c r="N130" s="250"/>
      <c r="O130" s="250"/>
      <c r="P130" s="250"/>
      <c r="Q130" s="260" t="s">
        <v>187</v>
      </c>
      <c r="R130" s="278"/>
      <c r="S130" s="279"/>
      <c r="T130" s="279"/>
      <c r="U130" s="279"/>
      <c r="V130" s="279"/>
      <c r="W130" s="279"/>
      <c r="X130" s="281"/>
      <c r="Y130" s="286">
        <f>+Y123+Y124+Y127+Y128+Y129+Y125+Y126</f>
        <v>770931301</v>
      </c>
      <c r="Z130" s="286">
        <f>+Z123+Z124+Z127+Z128+Z129+Z125+Z126</f>
        <v>159110258</v>
      </c>
      <c r="AA130" s="303"/>
      <c r="AB130" s="286">
        <f t="shared" ref="AB130:AP130" si="49">+AB123+AB124+AB127+AB128+AB129+AB125+AB126</f>
        <v>611547014</v>
      </c>
      <c r="AC130" s="286">
        <f t="shared" si="49"/>
        <v>378698492</v>
      </c>
      <c r="AD130" s="286">
        <f t="shared" si="49"/>
        <v>232848522</v>
      </c>
      <c r="AE130" s="286">
        <f t="shared" si="49"/>
        <v>0</v>
      </c>
      <c r="AF130" s="286">
        <f t="shared" si="49"/>
        <v>0</v>
      </c>
      <c r="AG130" s="286">
        <f t="shared" si="49"/>
        <v>0</v>
      </c>
      <c r="AH130" s="286">
        <f t="shared" si="49"/>
        <v>0</v>
      </c>
      <c r="AI130" s="286">
        <f t="shared" si="49"/>
        <v>0</v>
      </c>
      <c r="AJ130" s="286">
        <f t="shared" si="49"/>
        <v>89690300</v>
      </c>
      <c r="AK130" s="286">
        <f t="shared" si="49"/>
        <v>5050500</v>
      </c>
      <c r="AL130" s="286">
        <f t="shared" si="49"/>
        <v>44206027</v>
      </c>
      <c r="AM130" s="286">
        <f t="shared" si="49"/>
        <v>149331322</v>
      </c>
      <c r="AN130" s="286">
        <f t="shared" si="49"/>
        <v>58153046</v>
      </c>
      <c r="AO130" s="286">
        <f t="shared" si="49"/>
        <v>32267297</v>
      </c>
      <c r="AP130" s="286">
        <f t="shared" si="49"/>
        <v>0</v>
      </c>
      <c r="AQ130" s="287"/>
      <c r="AR130" s="286">
        <f t="shared" si="48"/>
        <v>274029</v>
      </c>
      <c r="AS130" s="315"/>
      <c r="AT130" s="315"/>
      <c r="AU130" s="220"/>
    </row>
    <row r="131" spans="1:47" ht="18.75" customHeight="1" outlineLevel="1">
      <c r="A131" s="215" t="s">
        <v>125</v>
      </c>
      <c r="B131" s="249"/>
      <c r="C131" s="249"/>
      <c r="D131" s="250"/>
      <c r="E131" s="249"/>
      <c r="F131" s="249"/>
      <c r="G131" s="249"/>
      <c r="H131" s="249"/>
      <c r="I131" s="249"/>
      <c r="J131" s="249"/>
      <c r="K131" s="261"/>
      <c r="L131" s="250"/>
      <c r="M131" s="250"/>
      <c r="N131" s="250"/>
      <c r="O131" s="250"/>
      <c r="P131" s="250"/>
      <c r="Q131" s="261"/>
      <c r="R131" s="283"/>
      <c r="S131" s="283"/>
      <c r="T131" s="283"/>
      <c r="U131" s="283"/>
      <c r="V131" s="283"/>
      <c r="W131" s="283"/>
      <c r="X131" s="283"/>
      <c r="Y131" s="284"/>
      <c r="Z131" s="284"/>
      <c r="AA131" s="301"/>
      <c r="AB131" s="301"/>
      <c r="AC131" s="301"/>
      <c r="AD131" s="301"/>
      <c r="AE131" s="301"/>
      <c r="AF131" s="301"/>
      <c r="AG131" s="301"/>
      <c r="AH131" s="301"/>
      <c r="AI131" s="301"/>
      <c r="AJ131" s="301"/>
      <c r="AK131" s="301"/>
      <c r="AL131" s="301"/>
      <c r="AM131" s="301"/>
      <c r="AN131" s="301"/>
      <c r="AO131" s="301"/>
      <c r="AP131" s="301"/>
      <c r="AQ131" s="301"/>
      <c r="AR131" s="301"/>
      <c r="AS131" s="316"/>
      <c r="AT131" s="316"/>
      <c r="AU131" s="317"/>
    </row>
    <row r="132" spans="1:47" s="217" customFormat="1" ht="25.5" customHeight="1" outlineLevel="1">
      <c r="A132" s="215" t="s">
        <v>125</v>
      </c>
      <c r="B132" s="247"/>
      <c r="C132" s="247"/>
      <c r="D132" s="248"/>
      <c r="E132" s="249"/>
      <c r="F132" s="249"/>
      <c r="G132" s="249"/>
      <c r="H132" s="249"/>
      <c r="I132" s="249"/>
      <c r="J132" s="247"/>
      <c r="K132" s="259"/>
      <c r="L132" s="248"/>
      <c r="M132" s="248"/>
      <c r="N132" s="250"/>
      <c r="O132" s="250"/>
      <c r="P132" s="250"/>
      <c r="Q132" s="99" t="s">
        <v>188</v>
      </c>
      <c r="R132" s="283"/>
      <c r="S132" s="283"/>
      <c r="T132" s="283"/>
      <c r="U132" s="283"/>
      <c r="V132" s="283"/>
      <c r="W132" s="283"/>
      <c r="X132" s="283"/>
      <c r="Y132" s="285"/>
      <c r="Z132" s="285"/>
      <c r="AA132" s="302"/>
      <c r="AB132" s="302"/>
      <c r="AC132" s="302"/>
      <c r="AD132" s="302"/>
      <c r="AE132" s="302"/>
      <c r="AF132" s="302"/>
      <c r="AG132" s="302"/>
      <c r="AH132" s="301"/>
      <c r="AI132" s="301"/>
      <c r="AJ132" s="301"/>
      <c r="AK132" s="301"/>
      <c r="AL132" s="301"/>
      <c r="AM132" s="301"/>
      <c r="AN132" s="301"/>
      <c r="AO132" s="301"/>
      <c r="AP132" s="301"/>
      <c r="AQ132" s="302"/>
      <c r="AR132" s="302"/>
      <c r="AS132" s="315"/>
      <c r="AT132" s="315"/>
      <c r="AU132" s="220"/>
    </row>
    <row r="133" spans="1:47" s="218" customFormat="1" ht="25.5" customHeight="1" outlineLevel="2">
      <c r="A133" s="215" t="s">
        <v>125</v>
      </c>
      <c r="B133" s="151">
        <v>29</v>
      </c>
      <c r="C133" s="151" t="s">
        <v>128</v>
      </c>
      <c r="D133" s="245" t="s">
        <v>139</v>
      </c>
      <c r="E133" s="151" t="s">
        <v>130</v>
      </c>
      <c r="F133" s="151" t="s">
        <v>140</v>
      </c>
      <c r="G133" s="151" t="s">
        <v>32</v>
      </c>
      <c r="H133" s="151" t="s">
        <v>46</v>
      </c>
      <c r="I133" s="256">
        <v>7</v>
      </c>
      <c r="J133" s="151" t="s">
        <v>85</v>
      </c>
      <c r="K133" s="176" t="s">
        <v>132</v>
      </c>
      <c r="L133" s="245">
        <v>40000986</v>
      </c>
      <c r="M133" s="855"/>
      <c r="N133" s="245" t="e">
        <v>#N/A</v>
      </c>
      <c r="O133" s="245" t="s">
        <v>324</v>
      </c>
      <c r="P133" s="257" t="s">
        <v>325</v>
      </c>
      <c r="Q133" s="176" t="s">
        <v>326</v>
      </c>
      <c r="R133" s="273" t="s">
        <v>327</v>
      </c>
      <c r="S133" s="274"/>
      <c r="T133" s="273"/>
      <c r="U133" s="273"/>
      <c r="V133" s="273"/>
      <c r="W133" s="273"/>
      <c r="X133" s="274"/>
      <c r="Y133" s="275">
        <v>299605000</v>
      </c>
      <c r="Z133" s="275">
        <v>0</v>
      </c>
      <c r="AA133" s="296"/>
      <c r="AB133" s="297">
        <v>299605000</v>
      </c>
      <c r="AC133" s="297">
        <f t="shared" si="37"/>
        <v>0</v>
      </c>
      <c r="AD133" s="297">
        <f>+AB133-AC133</f>
        <v>299605000</v>
      </c>
      <c r="AE133" s="297">
        <v>0</v>
      </c>
      <c r="AF133" s="297">
        <v>0</v>
      </c>
      <c r="AG133" s="297">
        <v>0</v>
      </c>
      <c r="AH133" s="297">
        <v>0</v>
      </c>
      <c r="AI133" s="297">
        <v>0</v>
      </c>
      <c r="AJ133" s="297">
        <v>0</v>
      </c>
      <c r="AK133" s="297">
        <v>0</v>
      </c>
      <c r="AL133" s="297">
        <v>0</v>
      </c>
      <c r="AM133" s="297">
        <v>0</v>
      </c>
      <c r="AN133" s="297">
        <v>0</v>
      </c>
      <c r="AO133" s="297">
        <v>0</v>
      </c>
      <c r="AP133" s="297">
        <v>0</v>
      </c>
      <c r="AQ133" s="296"/>
      <c r="AR133" s="297">
        <f>+Y133-Z133-AC133-AD133</f>
        <v>0</v>
      </c>
      <c r="AS133" s="313" t="s">
        <v>148</v>
      </c>
      <c r="AT133" s="313" t="s">
        <v>1464</v>
      </c>
      <c r="AU133" s="176" t="s">
        <v>158</v>
      </c>
    </row>
    <row r="134" spans="1:47" s="217" customFormat="1" ht="25.5" customHeight="1" outlineLevel="1">
      <c r="A134" s="215" t="s">
        <v>125</v>
      </c>
      <c r="B134" s="247"/>
      <c r="C134" s="247"/>
      <c r="D134" s="248"/>
      <c r="E134" s="249"/>
      <c r="F134" s="249"/>
      <c r="G134" s="249"/>
      <c r="H134" s="249"/>
      <c r="I134" s="249"/>
      <c r="J134" s="247"/>
      <c r="K134" s="259"/>
      <c r="L134" s="248"/>
      <c r="M134" s="248"/>
      <c r="N134" s="250"/>
      <c r="O134" s="250"/>
      <c r="P134" s="250"/>
      <c r="Q134" s="260" t="s">
        <v>201</v>
      </c>
      <c r="R134" s="278"/>
      <c r="S134" s="279"/>
      <c r="T134" s="279"/>
      <c r="U134" s="279"/>
      <c r="V134" s="279"/>
      <c r="W134" s="279"/>
      <c r="X134" s="281"/>
      <c r="Y134" s="286">
        <f>SUM(Y133:Y133)</f>
        <v>299605000</v>
      </c>
      <c r="Z134" s="286">
        <f>SUM(Z133:Z133)</f>
        <v>0</v>
      </c>
      <c r="AA134" s="303"/>
      <c r="AB134" s="286">
        <f t="shared" ref="AB134:AP134" si="50">SUM(AB133:AB133)</f>
        <v>299605000</v>
      </c>
      <c r="AC134" s="286">
        <f t="shared" si="50"/>
        <v>0</v>
      </c>
      <c r="AD134" s="286">
        <f t="shared" si="50"/>
        <v>299605000</v>
      </c>
      <c r="AE134" s="286">
        <f t="shared" si="50"/>
        <v>0</v>
      </c>
      <c r="AF134" s="286">
        <f t="shared" si="50"/>
        <v>0</v>
      </c>
      <c r="AG134" s="286">
        <f t="shared" si="50"/>
        <v>0</v>
      </c>
      <c r="AH134" s="286">
        <f t="shared" si="50"/>
        <v>0</v>
      </c>
      <c r="AI134" s="286">
        <f t="shared" si="50"/>
        <v>0</v>
      </c>
      <c r="AJ134" s="286">
        <f t="shared" si="50"/>
        <v>0</v>
      </c>
      <c r="AK134" s="286">
        <f t="shared" si="50"/>
        <v>0</v>
      </c>
      <c r="AL134" s="286">
        <f t="shared" si="50"/>
        <v>0</v>
      </c>
      <c r="AM134" s="286">
        <f t="shared" si="50"/>
        <v>0</v>
      </c>
      <c r="AN134" s="286">
        <f t="shared" si="50"/>
        <v>0</v>
      </c>
      <c r="AO134" s="286">
        <f t="shared" si="50"/>
        <v>0</v>
      </c>
      <c r="AP134" s="286">
        <f t="shared" si="50"/>
        <v>0</v>
      </c>
      <c r="AQ134" s="287"/>
      <c r="AR134" s="286">
        <f>+Y134-Z134-AC134-AD134</f>
        <v>0</v>
      </c>
      <c r="AS134" s="315"/>
      <c r="AT134" s="315"/>
      <c r="AU134" s="220"/>
    </row>
    <row r="135" spans="1:47" ht="18.75" customHeight="1" outlineLevel="1">
      <c r="A135" s="215" t="s">
        <v>125</v>
      </c>
      <c r="B135" s="249"/>
      <c r="C135" s="249"/>
      <c r="D135" s="250"/>
      <c r="E135" s="249"/>
      <c r="F135" s="249"/>
      <c r="G135" s="249"/>
      <c r="H135" s="249"/>
      <c r="I135" s="249"/>
      <c r="J135" s="249"/>
      <c r="K135" s="261"/>
      <c r="L135" s="250"/>
      <c r="M135" s="250"/>
      <c r="N135" s="250"/>
      <c r="O135" s="250"/>
      <c r="P135" s="250"/>
      <c r="Q135" s="261"/>
      <c r="R135" s="283"/>
      <c r="S135" s="283"/>
      <c r="T135" s="283"/>
      <c r="U135" s="283"/>
      <c r="V135" s="283"/>
      <c r="W135" s="283"/>
      <c r="X135" s="283"/>
      <c r="Y135" s="284"/>
      <c r="Z135" s="284"/>
      <c r="AA135" s="301"/>
      <c r="AB135" s="301"/>
      <c r="AC135" s="301"/>
      <c r="AD135" s="301"/>
      <c r="AE135" s="301"/>
      <c r="AF135" s="301"/>
      <c r="AG135" s="301"/>
      <c r="AH135" s="301"/>
      <c r="AI135" s="301"/>
      <c r="AJ135" s="301"/>
      <c r="AK135" s="301"/>
      <c r="AL135" s="301"/>
      <c r="AM135" s="301"/>
      <c r="AN135" s="301"/>
      <c r="AO135" s="301"/>
      <c r="AP135" s="301"/>
      <c r="AQ135" s="301"/>
      <c r="AR135" s="301"/>
      <c r="AS135" s="316"/>
      <c r="AT135" s="316"/>
      <c r="AU135" s="317"/>
    </row>
    <row r="136" spans="1:47" s="219" customFormat="1" ht="24.75" customHeight="1" outlineLevel="1">
      <c r="A136" s="215" t="s">
        <v>125</v>
      </c>
      <c r="B136" s="251"/>
      <c r="C136" s="249"/>
      <c r="D136" s="250"/>
      <c r="E136" s="249"/>
      <c r="F136" s="249"/>
      <c r="G136" s="249"/>
      <c r="H136" s="249"/>
      <c r="I136" s="249"/>
      <c r="J136" s="251"/>
      <c r="K136" s="263"/>
      <c r="L136" s="252"/>
      <c r="M136" s="252"/>
      <c r="N136" s="252"/>
      <c r="O136" s="252"/>
      <c r="P136" s="252"/>
      <c r="Q136" s="117" t="s">
        <v>335</v>
      </c>
      <c r="R136" s="288"/>
      <c r="S136" s="289"/>
      <c r="T136" s="289"/>
      <c r="U136" s="289"/>
      <c r="V136" s="289"/>
      <c r="W136" s="289"/>
      <c r="X136" s="290"/>
      <c r="Y136" s="118">
        <f>+Y130+Y134</f>
        <v>1070536301</v>
      </c>
      <c r="Z136" s="118">
        <f>+Z130+Z134</f>
        <v>159110258</v>
      </c>
      <c r="AA136" s="304"/>
      <c r="AB136" s="118">
        <f t="shared" ref="AB136:AI136" si="51">+AB130+AB134</f>
        <v>911152014</v>
      </c>
      <c r="AC136" s="118">
        <f t="shared" si="51"/>
        <v>378698492</v>
      </c>
      <c r="AD136" s="118">
        <f t="shared" si="51"/>
        <v>532453522</v>
      </c>
      <c r="AE136" s="118">
        <f t="shared" si="51"/>
        <v>0</v>
      </c>
      <c r="AF136" s="118">
        <f t="shared" si="51"/>
        <v>0</v>
      </c>
      <c r="AG136" s="118">
        <f t="shared" si="51"/>
        <v>0</v>
      </c>
      <c r="AH136" s="118">
        <f t="shared" si="51"/>
        <v>0</v>
      </c>
      <c r="AI136" s="118">
        <f t="shared" si="51"/>
        <v>0</v>
      </c>
      <c r="AJ136" s="118">
        <v>89690300</v>
      </c>
      <c r="AK136" s="118">
        <f t="shared" ref="AK136:AP136" si="52">+AK130+AK134</f>
        <v>5050500</v>
      </c>
      <c r="AL136" s="118">
        <f t="shared" si="52"/>
        <v>44206027</v>
      </c>
      <c r="AM136" s="118">
        <f t="shared" si="52"/>
        <v>149331322</v>
      </c>
      <c r="AN136" s="118">
        <f t="shared" si="52"/>
        <v>58153046</v>
      </c>
      <c r="AO136" s="118">
        <f t="shared" si="52"/>
        <v>32267297</v>
      </c>
      <c r="AP136" s="118">
        <f t="shared" si="52"/>
        <v>0</v>
      </c>
      <c r="AQ136" s="318"/>
      <c r="AR136" s="118">
        <f>+Y136-Z136-AC136-AD136</f>
        <v>274029</v>
      </c>
      <c r="AS136" s="333"/>
      <c r="AT136" s="333"/>
      <c r="AU136" s="320"/>
    </row>
    <row r="137" spans="1:47" ht="18.75" customHeight="1" outlineLevel="1">
      <c r="A137" s="215" t="s">
        <v>125</v>
      </c>
      <c r="B137" s="249"/>
      <c r="C137" s="249"/>
      <c r="D137" s="250"/>
      <c r="E137" s="249"/>
      <c r="F137" s="249"/>
      <c r="G137" s="249"/>
      <c r="H137" s="249"/>
      <c r="I137" s="249"/>
      <c r="J137" s="249"/>
      <c r="K137" s="261"/>
      <c r="L137" s="250"/>
      <c r="M137" s="250"/>
      <c r="N137" s="250"/>
      <c r="O137" s="250"/>
      <c r="P137" s="250"/>
      <c r="Q137" s="261"/>
      <c r="R137" s="283"/>
      <c r="S137" s="283"/>
      <c r="T137" s="283"/>
      <c r="U137" s="283"/>
      <c r="V137" s="283"/>
      <c r="W137" s="283"/>
      <c r="X137" s="283"/>
      <c r="Y137" s="284"/>
      <c r="Z137" s="284"/>
      <c r="AA137" s="301"/>
      <c r="AB137" s="301"/>
      <c r="AC137" s="301"/>
      <c r="AD137" s="301"/>
      <c r="AE137" s="301"/>
      <c r="AF137" s="301"/>
      <c r="AG137" s="301"/>
      <c r="AH137" s="301"/>
      <c r="AI137" s="301"/>
      <c r="AJ137" s="301"/>
      <c r="AK137" s="301"/>
      <c r="AL137" s="301"/>
      <c r="AM137" s="301"/>
      <c r="AN137" s="301"/>
      <c r="AO137" s="301"/>
      <c r="AP137" s="301"/>
      <c r="AQ137" s="301"/>
      <c r="AR137" s="301"/>
      <c r="AS137" s="316"/>
      <c r="AT137" s="316"/>
      <c r="AU137" s="317"/>
    </row>
    <row r="138" spans="1:47" ht="21" customHeight="1" outlineLevel="1">
      <c r="A138" s="215" t="s">
        <v>125</v>
      </c>
      <c r="B138" s="249"/>
      <c r="C138" s="249"/>
      <c r="D138" s="250"/>
      <c r="E138" s="249"/>
      <c r="F138" s="249"/>
      <c r="G138" s="249"/>
      <c r="H138" s="249"/>
      <c r="I138" s="249"/>
      <c r="J138" s="249"/>
      <c r="K138" s="261"/>
      <c r="L138" s="250"/>
      <c r="M138" s="250"/>
      <c r="N138" s="250"/>
      <c r="O138" s="250"/>
      <c r="P138" s="250"/>
      <c r="Q138" s="339" t="s">
        <v>336</v>
      </c>
      <c r="R138" s="283"/>
      <c r="S138" s="283"/>
      <c r="T138" s="283"/>
      <c r="U138" s="283"/>
      <c r="V138" s="283"/>
      <c r="W138" s="283"/>
      <c r="X138" s="283"/>
      <c r="Y138" s="284"/>
      <c r="Z138" s="284"/>
      <c r="AA138" s="301"/>
      <c r="AB138" s="301"/>
      <c r="AC138" s="301"/>
      <c r="AD138" s="301"/>
      <c r="AE138" s="301"/>
      <c r="AF138" s="301"/>
      <c r="AG138" s="301"/>
      <c r="AH138" s="301"/>
      <c r="AI138" s="301"/>
      <c r="AJ138" s="301"/>
      <c r="AK138" s="301"/>
      <c r="AL138" s="301"/>
      <c r="AM138" s="301"/>
      <c r="AN138" s="301"/>
      <c r="AO138" s="301"/>
      <c r="AP138" s="301"/>
      <c r="AQ138" s="301"/>
      <c r="AR138" s="301"/>
      <c r="AS138" s="316"/>
      <c r="AT138" s="316"/>
      <c r="AU138" s="317"/>
    </row>
    <row r="139" spans="1:47" s="216" customFormat="1" ht="15" customHeight="1" outlineLevel="1">
      <c r="A139" s="215" t="s">
        <v>125</v>
      </c>
      <c r="B139" s="249"/>
      <c r="C139" s="249"/>
      <c r="D139" s="250"/>
      <c r="E139" s="249"/>
      <c r="F139" s="249"/>
      <c r="G139" s="249"/>
      <c r="H139" s="249"/>
      <c r="I139" s="249"/>
      <c r="J139" s="249"/>
      <c r="K139" s="261"/>
      <c r="L139" s="250"/>
      <c r="M139" s="250"/>
      <c r="N139" s="250"/>
      <c r="O139" s="250"/>
      <c r="P139" s="250"/>
      <c r="Q139" s="340"/>
      <c r="R139" s="283"/>
      <c r="S139" s="283"/>
      <c r="T139" s="283"/>
      <c r="U139" s="283"/>
      <c r="V139" s="283"/>
      <c r="W139" s="283"/>
      <c r="X139" s="283"/>
      <c r="Y139" s="284"/>
      <c r="Z139" s="284"/>
      <c r="AA139" s="301"/>
      <c r="AB139" s="301"/>
      <c r="AC139" s="301"/>
      <c r="AD139" s="301"/>
      <c r="AE139" s="301"/>
      <c r="AF139" s="301"/>
      <c r="AG139" s="301"/>
      <c r="AH139" s="301"/>
      <c r="AI139" s="301"/>
      <c r="AJ139" s="301"/>
      <c r="AK139" s="301"/>
      <c r="AL139" s="301"/>
      <c r="AM139" s="301"/>
      <c r="AN139" s="301"/>
      <c r="AO139" s="301"/>
      <c r="AP139" s="301"/>
      <c r="AQ139" s="301"/>
      <c r="AR139" s="301"/>
      <c r="AS139" s="316"/>
      <c r="AT139" s="316"/>
      <c r="AU139" s="317"/>
    </row>
    <row r="140" spans="1:47" s="217" customFormat="1" ht="25.5" customHeight="1" outlineLevel="1">
      <c r="A140" s="215" t="s">
        <v>125</v>
      </c>
      <c r="B140" s="247"/>
      <c r="C140" s="247"/>
      <c r="D140" s="248"/>
      <c r="E140" s="249"/>
      <c r="F140" s="249"/>
      <c r="G140" s="249"/>
      <c r="H140" s="249"/>
      <c r="I140" s="249"/>
      <c r="J140" s="247"/>
      <c r="K140" s="259"/>
      <c r="L140" s="248"/>
      <c r="M140" s="248"/>
      <c r="N140" s="250"/>
      <c r="O140" s="250"/>
      <c r="P140" s="250"/>
      <c r="Q140" s="99" t="s">
        <v>127</v>
      </c>
      <c r="R140" s="283"/>
      <c r="S140" s="283"/>
      <c r="T140" s="283"/>
      <c r="U140" s="283"/>
      <c r="V140" s="283"/>
      <c r="W140" s="283"/>
      <c r="X140" s="283"/>
      <c r="Y140" s="285"/>
      <c r="Z140" s="285"/>
      <c r="AA140" s="302"/>
      <c r="AB140" s="302"/>
      <c r="AC140" s="302"/>
      <c r="AD140" s="302"/>
      <c r="AE140" s="302"/>
      <c r="AF140" s="302"/>
      <c r="AG140" s="302"/>
      <c r="AH140" s="301"/>
      <c r="AI140" s="301"/>
      <c r="AJ140" s="301"/>
      <c r="AK140" s="301"/>
      <c r="AL140" s="301"/>
      <c r="AM140" s="301"/>
      <c r="AN140" s="301"/>
      <c r="AO140" s="301"/>
      <c r="AP140" s="301"/>
      <c r="AQ140" s="302"/>
      <c r="AR140" s="302"/>
      <c r="AS140" s="315"/>
      <c r="AT140" s="315"/>
      <c r="AU140" s="220"/>
    </row>
    <row r="141" spans="1:47" s="218" customFormat="1" ht="25.5" customHeight="1" outlineLevel="2">
      <c r="A141" s="215" t="s">
        <v>125</v>
      </c>
      <c r="B141" s="151">
        <v>31</v>
      </c>
      <c r="C141" s="151" t="s">
        <v>128</v>
      </c>
      <c r="D141" s="245" t="s">
        <v>149</v>
      </c>
      <c r="E141" s="151" t="s">
        <v>169</v>
      </c>
      <c r="F141" s="151" t="s">
        <v>140</v>
      </c>
      <c r="G141" s="151" t="s">
        <v>32</v>
      </c>
      <c r="H141" s="151" t="s">
        <v>40</v>
      </c>
      <c r="I141" s="256">
        <v>8</v>
      </c>
      <c r="J141" s="151" t="s">
        <v>80</v>
      </c>
      <c r="K141" s="176" t="s">
        <v>132</v>
      </c>
      <c r="L141" s="245">
        <v>30086815</v>
      </c>
      <c r="M141" s="855" t="s">
        <v>1608</v>
      </c>
      <c r="N141" s="245" t="s">
        <v>337</v>
      </c>
      <c r="O141" s="245" t="s">
        <v>338</v>
      </c>
      <c r="P141" s="245"/>
      <c r="Q141" s="176" t="s">
        <v>339</v>
      </c>
      <c r="R141" s="273"/>
      <c r="S141" s="274"/>
      <c r="T141" s="273"/>
      <c r="U141" s="273"/>
      <c r="V141" s="273"/>
      <c r="W141" s="273"/>
      <c r="X141" s="274"/>
      <c r="Y141" s="275">
        <v>15318985549</v>
      </c>
      <c r="Z141" s="275">
        <v>4736606083</v>
      </c>
      <c r="AA141" s="296"/>
      <c r="AB141" s="297">
        <f>760000000-339453631-395388054</f>
        <v>25158315</v>
      </c>
      <c r="AC141" s="297">
        <f t="shared" ref="AC141:AC185" si="53">SUBTOTAL(9,AE141:AP141)</f>
        <v>0</v>
      </c>
      <c r="AD141" s="297">
        <f t="shared" ref="AD141:AD149" si="54">+AB141-AC141</f>
        <v>25158315</v>
      </c>
      <c r="AE141" s="297">
        <v>0</v>
      </c>
      <c r="AF141" s="297">
        <v>0</v>
      </c>
      <c r="AG141" s="297">
        <v>0</v>
      </c>
      <c r="AH141" s="297">
        <v>0</v>
      </c>
      <c r="AI141" s="297">
        <v>0</v>
      </c>
      <c r="AJ141" s="297">
        <v>0</v>
      </c>
      <c r="AK141" s="297">
        <v>0</v>
      </c>
      <c r="AL141" s="297">
        <v>0</v>
      </c>
      <c r="AM141" s="297">
        <v>0</v>
      </c>
      <c r="AN141" s="297">
        <v>0</v>
      </c>
      <c r="AO141" s="297">
        <v>0</v>
      </c>
      <c r="AP141" s="297">
        <v>0</v>
      </c>
      <c r="AQ141" s="296"/>
      <c r="AR141" s="297">
        <f t="shared" ref="AR141:AR149" si="55">+Y141-Z141-AC141-AD141</f>
        <v>10557221151</v>
      </c>
      <c r="AS141" s="313" t="s">
        <v>137</v>
      </c>
      <c r="AT141" s="313" t="s">
        <v>137</v>
      </c>
      <c r="AU141" s="176" t="s">
        <v>138</v>
      </c>
    </row>
    <row r="142" spans="1:47" s="218" customFormat="1" ht="25.5" customHeight="1" outlineLevel="2">
      <c r="A142" s="215" t="s">
        <v>125</v>
      </c>
      <c r="B142" s="151">
        <v>31</v>
      </c>
      <c r="C142" s="151" t="s">
        <v>128</v>
      </c>
      <c r="D142" s="245" t="s">
        <v>129</v>
      </c>
      <c r="E142" s="151" t="s">
        <v>169</v>
      </c>
      <c r="F142" s="151" t="s">
        <v>131</v>
      </c>
      <c r="G142" s="151" t="s">
        <v>32</v>
      </c>
      <c r="H142" s="151" t="s">
        <v>40</v>
      </c>
      <c r="I142" s="256">
        <v>8</v>
      </c>
      <c r="J142" s="151" t="s">
        <v>81</v>
      </c>
      <c r="K142" s="151" t="s">
        <v>132</v>
      </c>
      <c r="L142" s="245">
        <v>40001554</v>
      </c>
      <c r="M142" s="855"/>
      <c r="N142" s="245" t="e">
        <v>#N/A</v>
      </c>
      <c r="O142" s="245" t="s">
        <v>340</v>
      </c>
      <c r="P142" s="245"/>
      <c r="Q142" s="176" t="s">
        <v>341</v>
      </c>
      <c r="R142" s="273"/>
      <c r="S142" s="274"/>
      <c r="T142" s="273"/>
      <c r="U142" s="273"/>
      <c r="V142" s="273"/>
      <c r="W142" s="273"/>
      <c r="X142" s="274"/>
      <c r="Y142" s="275">
        <v>271000000</v>
      </c>
      <c r="Z142" s="275">
        <v>45085404</v>
      </c>
      <c r="AA142" s="296"/>
      <c r="AB142" s="297">
        <f>181000000-8864696-2117569</f>
        <v>170017735</v>
      </c>
      <c r="AC142" s="297">
        <f t="shared" si="53"/>
        <v>119701022</v>
      </c>
      <c r="AD142" s="297">
        <f t="shared" si="54"/>
        <v>50316713</v>
      </c>
      <c r="AE142" s="297">
        <v>0</v>
      </c>
      <c r="AF142" s="297">
        <v>0</v>
      </c>
      <c r="AG142" s="297">
        <v>0</v>
      </c>
      <c r="AH142" s="297">
        <v>0</v>
      </c>
      <c r="AI142" s="297">
        <v>0</v>
      </c>
      <c r="AJ142" s="297">
        <v>0</v>
      </c>
      <c r="AK142" s="297">
        <v>0</v>
      </c>
      <c r="AL142" s="297">
        <v>16290216</v>
      </c>
      <c r="AM142" s="297">
        <v>0</v>
      </c>
      <c r="AN142" s="297">
        <v>16999179</v>
      </c>
      <c r="AO142" s="297">
        <v>86411627</v>
      </c>
      <c r="AP142" s="297">
        <v>0</v>
      </c>
      <c r="AQ142" s="296"/>
      <c r="AR142" s="297">
        <f t="shared" si="55"/>
        <v>55896861</v>
      </c>
      <c r="AS142" s="313" t="s">
        <v>148</v>
      </c>
      <c r="AT142" s="313" t="s">
        <v>1464</v>
      </c>
      <c r="AU142" s="176" t="s">
        <v>138</v>
      </c>
    </row>
    <row r="143" spans="1:47" s="218" customFormat="1" ht="25.5" customHeight="1" outlineLevel="2">
      <c r="A143" s="215" t="s">
        <v>125</v>
      </c>
      <c r="B143" s="151">
        <v>31</v>
      </c>
      <c r="C143" s="151" t="s">
        <v>128</v>
      </c>
      <c r="D143" s="245" t="s">
        <v>164</v>
      </c>
      <c r="E143" s="151" t="s">
        <v>130</v>
      </c>
      <c r="F143" s="151" t="s">
        <v>140</v>
      </c>
      <c r="G143" s="151" t="s">
        <v>32</v>
      </c>
      <c r="H143" s="151" t="s">
        <v>40</v>
      </c>
      <c r="I143" s="256">
        <v>8</v>
      </c>
      <c r="J143" s="151" t="s">
        <v>80</v>
      </c>
      <c r="K143" s="176" t="s">
        <v>132</v>
      </c>
      <c r="L143" s="245">
        <v>30126279</v>
      </c>
      <c r="M143" s="855" t="s">
        <v>164</v>
      </c>
      <c r="N143" s="245" t="s">
        <v>145</v>
      </c>
      <c r="O143" s="245" t="s">
        <v>342</v>
      </c>
      <c r="P143" s="245"/>
      <c r="Q143" s="176" t="s">
        <v>343</v>
      </c>
      <c r="R143" s="273" t="s">
        <v>344</v>
      </c>
      <c r="S143" s="274"/>
      <c r="T143" s="273"/>
      <c r="U143" s="273"/>
      <c r="V143" s="273"/>
      <c r="W143" s="273"/>
      <c r="X143" s="274"/>
      <c r="Y143" s="275">
        <v>1947625000</v>
      </c>
      <c r="Z143" s="275">
        <v>1881774366</v>
      </c>
      <c r="AA143" s="296"/>
      <c r="AB143" s="297">
        <v>65678971</v>
      </c>
      <c r="AC143" s="297">
        <f t="shared" si="53"/>
        <v>60826407</v>
      </c>
      <c r="AD143" s="297">
        <f t="shared" si="54"/>
        <v>4852564</v>
      </c>
      <c r="AE143" s="297">
        <v>0</v>
      </c>
      <c r="AF143" s="297">
        <v>0</v>
      </c>
      <c r="AG143" s="297">
        <v>0</v>
      </c>
      <c r="AH143" s="297">
        <v>0</v>
      </c>
      <c r="AI143" s="297">
        <v>0</v>
      </c>
      <c r="AJ143" s="297">
        <v>0</v>
      </c>
      <c r="AK143" s="297">
        <v>1868167</v>
      </c>
      <c r="AL143" s="297">
        <v>33075410</v>
      </c>
      <c r="AM143" s="297">
        <v>0</v>
      </c>
      <c r="AN143" s="297">
        <v>25882830</v>
      </c>
      <c r="AO143" s="297">
        <v>0</v>
      </c>
      <c r="AP143" s="297">
        <v>0</v>
      </c>
      <c r="AQ143" s="296"/>
      <c r="AR143" s="297">
        <f t="shared" si="55"/>
        <v>171663</v>
      </c>
      <c r="AS143" s="313" t="s">
        <v>137</v>
      </c>
      <c r="AT143" s="313" t="s">
        <v>137</v>
      </c>
      <c r="AU143" s="176" t="s">
        <v>138</v>
      </c>
    </row>
    <row r="144" spans="1:47" s="218" customFormat="1" ht="25.5" customHeight="1" outlineLevel="2">
      <c r="A144" s="215" t="s">
        <v>125</v>
      </c>
      <c r="B144" s="151">
        <v>31</v>
      </c>
      <c r="C144" s="151" t="s">
        <v>128</v>
      </c>
      <c r="D144" s="245" t="s">
        <v>129</v>
      </c>
      <c r="E144" s="151" t="s">
        <v>169</v>
      </c>
      <c r="F144" s="151" t="s">
        <v>131</v>
      </c>
      <c r="G144" s="151" t="s">
        <v>32</v>
      </c>
      <c r="H144" s="151" t="s">
        <v>40</v>
      </c>
      <c r="I144" s="256">
        <v>8</v>
      </c>
      <c r="J144" s="151" t="s">
        <v>81</v>
      </c>
      <c r="K144" s="176" t="s">
        <v>132</v>
      </c>
      <c r="L144" s="245">
        <v>30448275</v>
      </c>
      <c r="M144" s="855"/>
      <c r="N144" s="245" t="s">
        <v>145</v>
      </c>
      <c r="O144" s="245" t="s">
        <v>345</v>
      </c>
      <c r="P144" s="245"/>
      <c r="Q144" s="176" t="s">
        <v>346</v>
      </c>
      <c r="R144" s="273" t="s">
        <v>347</v>
      </c>
      <c r="S144" s="274"/>
      <c r="T144" s="273"/>
      <c r="U144" s="273"/>
      <c r="V144" s="273"/>
      <c r="W144" s="273"/>
      <c r="X144" s="274"/>
      <c r="Y144" s="275">
        <v>404079018</v>
      </c>
      <c r="Z144" s="275">
        <v>388107468</v>
      </c>
      <c r="AA144" s="296"/>
      <c r="AB144" s="297">
        <f>6503981+2117569</f>
        <v>8621550</v>
      </c>
      <c r="AC144" s="297">
        <f t="shared" si="53"/>
        <v>0</v>
      </c>
      <c r="AD144" s="297">
        <f t="shared" si="54"/>
        <v>8621550</v>
      </c>
      <c r="AE144" s="297">
        <v>0</v>
      </c>
      <c r="AF144" s="297">
        <v>0</v>
      </c>
      <c r="AG144" s="297">
        <v>0</v>
      </c>
      <c r="AH144" s="297">
        <v>0</v>
      </c>
      <c r="AI144" s="297">
        <v>0</v>
      </c>
      <c r="AJ144" s="297">
        <v>0</v>
      </c>
      <c r="AK144" s="297">
        <v>0</v>
      </c>
      <c r="AL144" s="297">
        <v>0</v>
      </c>
      <c r="AM144" s="297">
        <v>0</v>
      </c>
      <c r="AN144" s="297">
        <v>0</v>
      </c>
      <c r="AO144" s="297">
        <v>0</v>
      </c>
      <c r="AP144" s="297">
        <v>0</v>
      </c>
      <c r="AQ144" s="296"/>
      <c r="AR144" s="297">
        <f t="shared" si="55"/>
        <v>7350000</v>
      </c>
      <c r="AS144" s="313" t="s">
        <v>148</v>
      </c>
      <c r="AT144" s="313" t="s">
        <v>1464</v>
      </c>
      <c r="AU144" s="176" t="s">
        <v>138</v>
      </c>
    </row>
    <row r="145" spans="1:47" s="218" customFormat="1" ht="25.5" customHeight="1" outlineLevel="2">
      <c r="A145" s="215" t="s">
        <v>125</v>
      </c>
      <c r="B145" s="151">
        <v>31</v>
      </c>
      <c r="C145" s="151" t="s">
        <v>128</v>
      </c>
      <c r="D145" s="245" t="s">
        <v>144</v>
      </c>
      <c r="E145" s="151" t="s">
        <v>169</v>
      </c>
      <c r="F145" s="151" t="s">
        <v>140</v>
      </c>
      <c r="G145" s="151" t="s">
        <v>32</v>
      </c>
      <c r="H145" s="151" t="s">
        <v>40</v>
      </c>
      <c r="I145" s="256">
        <v>8</v>
      </c>
      <c r="J145" s="151" t="s">
        <v>80</v>
      </c>
      <c r="K145" s="176" t="s">
        <v>132</v>
      </c>
      <c r="L145" s="245">
        <v>30087497</v>
      </c>
      <c r="M145" s="855" t="s">
        <v>1608</v>
      </c>
      <c r="N145" s="245" t="s">
        <v>133</v>
      </c>
      <c r="O145" s="245" t="s">
        <v>348</v>
      </c>
      <c r="P145" s="245"/>
      <c r="Q145" s="176" t="s">
        <v>1632</v>
      </c>
      <c r="R145" s="273" t="s">
        <v>1631</v>
      </c>
      <c r="S145" s="274"/>
      <c r="T145" s="273"/>
      <c r="U145" s="273"/>
      <c r="V145" s="273"/>
      <c r="W145" s="273"/>
      <c r="X145" s="274"/>
      <c r="Y145" s="326">
        <v>6809615000</v>
      </c>
      <c r="Z145" s="275">
        <v>1003077381</v>
      </c>
      <c r="AA145" s="296"/>
      <c r="AB145" s="297">
        <f>1325935791.66666+339453631+395388053+4136656</f>
        <v>2064914131.6666601</v>
      </c>
      <c r="AC145" s="297">
        <f t="shared" si="53"/>
        <v>2060777476</v>
      </c>
      <c r="AD145" s="297">
        <f t="shared" si="54"/>
        <v>4136655.6666600704</v>
      </c>
      <c r="AE145" s="297">
        <v>0</v>
      </c>
      <c r="AF145" s="297">
        <v>0</v>
      </c>
      <c r="AG145" s="297">
        <v>0</v>
      </c>
      <c r="AH145" s="297">
        <v>0</v>
      </c>
      <c r="AI145" s="297">
        <v>0</v>
      </c>
      <c r="AJ145" s="297">
        <v>0</v>
      </c>
      <c r="AK145" s="297">
        <v>395388053</v>
      </c>
      <c r="AL145" s="297">
        <v>401942413</v>
      </c>
      <c r="AM145" s="297">
        <v>4837654</v>
      </c>
      <c r="AN145" s="297">
        <v>441994391</v>
      </c>
      <c r="AO145" s="297">
        <v>518614764</v>
      </c>
      <c r="AP145" s="297">
        <v>298000201</v>
      </c>
      <c r="AQ145" s="296"/>
      <c r="AR145" s="297">
        <f t="shared" si="55"/>
        <v>3741623487.3333397</v>
      </c>
      <c r="AS145" s="313" t="s">
        <v>137</v>
      </c>
      <c r="AT145" s="313" t="s">
        <v>137</v>
      </c>
      <c r="AU145" s="176" t="s">
        <v>138</v>
      </c>
    </row>
    <row r="146" spans="1:47" s="218" customFormat="1" ht="25.5" customHeight="1" outlineLevel="2">
      <c r="A146" s="215" t="s">
        <v>556</v>
      </c>
      <c r="B146" s="151">
        <v>31</v>
      </c>
      <c r="C146" s="151" t="s">
        <v>128</v>
      </c>
      <c r="D146" s="245" t="s">
        <v>164</v>
      </c>
      <c r="E146" s="151" t="s">
        <v>130</v>
      </c>
      <c r="F146" s="151" t="s">
        <v>140</v>
      </c>
      <c r="G146" s="151" t="s">
        <v>32</v>
      </c>
      <c r="H146" s="151" t="s">
        <v>40</v>
      </c>
      <c r="I146" s="256">
        <v>8</v>
      </c>
      <c r="J146" s="151" t="s">
        <v>80</v>
      </c>
      <c r="K146" s="176" t="s">
        <v>132</v>
      </c>
      <c r="L146" s="245">
        <v>30158072</v>
      </c>
      <c r="M146" s="855"/>
      <c r="N146" s="245"/>
      <c r="O146" s="245" t="s">
        <v>1487</v>
      </c>
      <c r="P146" s="245"/>
      <c r="Q146" s="176" t="s">
        <v>1482</v>
      </c>
      <c r="R146" s="273" t="s">
        <v>1628</v>
      </c>
      <c r="S146" s="274"/>
      <c r="T146" s="273"/>
      <c r="U146" s="273"/>
      <c r="V146" s="273"/>
      <c r="W146" s="273"/>
      <c r="X146" s="274"/>
      <c r="Y146" s="326">
        <v>1452174000</v>
      </c>
      <c r="Z146" s="275">
        <v>1337217055</v>
      </c>
      <c r="AA146" s="296"/>
      <c r="AB146" s="297">
        <v>7294860</v>
      </c>
      <c r="AC146" s="297">
        <f t="shared" si="53"/>
        <v>7294860</v>
      </c>
      <c r="AD146" s="297">
        <f t="shared" si="54"/>
        <v>0</v>
      </c>
      <c r="AE146" s="297"/>
      <c r="AF146" s="297"/>
      <c r="AG146" s="297"/>
      <c r="AH146" s="297"/>
      <c r="AI146" s="297"/>
      <c r="AJ146" s="297">
        <v>0</v>
      </c>
      <c r="AK146" s="297">
        <v>0</v>
      </c>
      <c r="AL146" s="297">
        <v>7294860</v>
      </c>
      <c r="AM146" s="297"/>
      <c r="AN146" s="297"/>
      <c r="AO146" s="297"/>
      <c r="AP146" s="297"/>
      <c r="AQ146" s="296"/>
      <c r="AR146" s="297">
        <f t="shared" si="55"/>
        <v>107662085</v>
      </c>
      <c r="AS146" s="313" t="s">
        <v>1611</v>
      </c>
      <c r="AT146" s="313" t="s">
        <v>1611</v>
      </c>
      <c r="AU146" s="176" t="s">
        <v>138</v>
      </c>
    </row>
    <row r="147" spans="1:47" s="218" customFormat="1" ht="25.5" customHeight="1" outlineLevel="2">
      <c r="A147" s="215" t="s">
        <v>125</v>
      </c>
      <c r="B147" s="151">
        <v>29</v>
      </c>
      <c r="C147" s="151" t="s">
        <v>196</v>
      </c>
      <c r="D147" s="245" t="s">
        <v>164</v>
      </c>
      <c r="E147" s="151" t="s">
        <v>130</v>
      </c>
      <c r="F147" s="151" t="s">
        <v>140</v>
      </c>
      <c r="G147" s="151" t="s">
        <v>32</v>
      </c>
      <c r="H147" s="151" t="s">
        <v>40</v>
      </c>
      <c r="I147" s="256">
        <v>8</v>
      </c>
      <c r="J147" s="151" t="s">
        <v>80</v>
      </c>
      <c r="K147" s="176" t="s">
        <v>132</v>
      </c>
      <c r="L147" s="245">
        <v>40020228</v>
      </c>
      <c r="M147" s="855"/>
      <c r="N147" s="245"/>
      <c r="O147" s="245" t="s">
        <v>353</v>
      </c>
      <c r="P147" s="245"/>
      <c r="Q147" s="176" t="s">
        <v>354</v>
      </c>
      <c r="R147" s="273" t="s">
        <v>355</v>
      </c>
      <c r="S147" s="274"/>
      <c r="T147" s="273"/>
      <c r="U147" s="273" t="s">
        <v>356</v>
      </c>
      <c r="V147" s="273">
        <v>163364000</v>
      </c>
      <c r="W147" s="273"/>
      <c r="X147" s="274"/>
      <c r="Y147" s="275">
        <v>163364000</v>
      </c>
      <c r="Z147" s="275">
        <v>0</v>
      </c>
      <c r="AA147" s="296"/>
      <c r="AB147" s="297">
        <v>163364000</v>
      </c>
      <c r="AC147" s="297">
        <f>SUBTOTAL(9,AE147:AP147)</f>
        <v>163364000</v>
      </c>
      <c r="AD147" s="297">
        <f>+AB147-AC147</f>
        <v>0</v>
      </c>
      <c r="AE147" s="297"/>
      <c r="AF147" s="297"/>
      <c r="AG147" s="297"/>
      <c r="AH147" s="297"/>
      <c r="AI147" s="297"/>
      <c r="AJ147" s="297">
        <v>0</v>
      </c>
      <c r="AK147" s="297">
        <v>163364000</v>
      </c>
      <c r="AL147" s="297">
        <v>0</v>
      </c>
      <c r="AM147" s="297">
        <v>0</v>
      </c>
      <c r="AN147" s="297"/>
      <c r="AO147" s="297"/>
      <c r="AP147" s="297"/>
      <c r="AQ147" s="296"/>
      <c r="AR147" s="297">
        <f>+Y147-Z147-AC147-AD147</f>
        <v>0</v>
      </c>
      <c r="AS147" s="313" t="s">
        <v>148</v>
      </c>
      <c r="AT147" s="313" t="s">
        <v>1464</v>
      </c>
      <c r="AU147" s="176" t="s">
        <v>301</v>
      </c>
    </row>
    <row r="148" spans="1:47" s="218" customFormat="1" ht="25.5" customHeight="1" outlineLevel="2">
      <c r="A148" s="215" t="s">
        <v>125</v>
      </c>
      <c r="B148" s="151">
        <v>29</v>
      </c>
      <c r="C148" s="151" t="s">
        <v>196</v>
      </c>
      <c r="D148" s="245" t="s">
        <v>164</v>
      </c>
      <c r="E148" s="151" t="s">
        <v>130</v>
      </c>
      <c r="F148" s="151" t="s">
        <v>140</v>
      </c>
      <c r="G148" s="151" t="s">
        <v>32</v>
      </c>
      <c r="H148" s="151" t="s">
        <v>40</v>
      </c>
      <c r="I148" s="256">
        <v>8</v>
      </c>
      <c r="J148" s="151" t="s">
        <v>80</v>
      </c>
      <c r="K148" s="176" t="s">
        <v>132</v>
      </c>
      <c r="L148" s="245">
        <v>40023321</v>
      </c>
      <c r="M148" s="855"/>
      <c r="N148" s="245"/>
      <c r="O148" s="245" t="s">
        <v>357</v>
      </c>
      <c r="P148" s="245"/>
      <c r="Q148" s="176" t="s">
        <v>358</v>
      </c>
      <c r="R148" s="273" t="s">
        <v>359</v>
      </c>
      <c r="S148" s="274"/>
      <c r="T148" s="273"/>
      <c r="U148" s="273" t="s">
        <v>360</v>
      </c>
      <c r="V148" s="273">
        <v>487104000</v>
      </c>
      <c r="W148" s="273"/>
      <c r="X148" s="274"/>
      <c r="Y148" s="275">
        <v>487104000</v>
      </c>
      <c r="Z148" s="275">
        <v>0</v>
      </c>
      <c r="AA148" s="296"/>
      <c r="AB148" s="297">
        <f>42869000+1018869</f>
        <v>43887869</v>
      </c>
      <c r="AC148" s="297">
        <f>SUBTOTAL(9,AE148:AP148)</f>
        <v>43887869</v>
      </c>
      <c r="AD148" s="297">
        <f>+AB148-AC148</f>
        <v>0</v>
      </c>
      <c r="AE148" s="297"/>
      <c r="AF148" s="297"/>
      <c r="AG148" s="297"/>
      <c r="AH148" s="297"/>
      <c r="AI148" s="297"/>
      <c r="AJ148" s="297">
        <v>43887869</v>
      </c>
      <c r="AK148" s="297">
        <v>0</v>
      </c>
      <c r="AL148" s="297">
        <v>0</v>
      </c>
      <c r="AM148" s="297">
        <v>0</v>
      </c>
      <c r="AN148" s="297"/>
      <c r="AO148" s="297"/>
      <c r="AP148" s="297"/>
      <c r="AQ148" s="296"/>
      <c r="AR148" s="297">
        <f>+Y148-Z148-AC148-AD148</f>
        <v>443216131</v>
      </c>
      <c r="AS148" s="313" t="s">
        <v>148</v>
      </c>
      <c r="AT148" s="313" t="s">
        <v>1464</v>
      </c>
      <c r="AU148" s="176" t="s">
        <v>138</v>
      </c>
    </row>
    <row r="149" spans="1:47" s="218" customFormat="1" ht="25.5" customHeight="1" outlineLevel="2">
      <c r="A149" s="215" t="s">
        <v>125</v>
      </c>
      <c r="B149" s="151">
        <v>31</v>
      </c>
      <c r="C149" s="151" t="s">
        <v>128</v>
      </c>
      <c r="D149" s="245" t="s">
        <v>164</v>
      </c>
      <c r="E149" s="151" t="s">
        <v>169</v>
      </c>
      <c r="F149" s="151" t="s">
        <v>140</v>
      </c>
      <c r="G149" s="151" t="s">
        <v>32</v>
      </c>
      <c r="H149" s="151" t="s">
        <v>40</v>
      </c>
      <c r="I149" s="256">
        <v>8</v>
      </c>
      <c r="J149" s="151" t="s">
        <v>80</v>
      </c>
      <c r="K149" s="176" t="s">
        <v>132</v>
      </c>
      <c r="L149" s="245">
        <v>30126943</v>
      </c>
      <c r="M149" s="855" t="s">
        <v>164</v>
      </c>
      <c r="N149" s="245" t="s">
        <v>145</v>
      </c>
      <c r="O149" s="245" t="s">
        <v>349</v>
      </c>
      <c r="P149" s="245"/>
      <c r="Q149" s="176" t="s">
        <v>350</v>
      </c>
      <c r="R149" s="273"/>
      <c r="S149" s="274"/>
      <c r="T149" s="273"/>
      <c r="U149" s="273"/>
      <c r="V149" s="273"/>
      <c r="W149" s="273"/>
      <c r="X149" s="274"/>
      <c r="Y149" s="275">
        <v>3542559000</v>
      </c>
      <c r="Z149" s="275">
        <v>2092000</v>
      </c>
      <c r="AA149" s="296"/>
      <c r="AB149" s="297">
        <f>800000000-155004713-7294860-4136656-34004303</f>
        <v>599559468</v>
      </c>
      <c r="AC149" s="297">
        <f t="shared" si="53"/>
        <v>44744000</v>
      </c>
      <c r="AD149" s="297">
        <f t="shared" si="54"/>
        <v>554815468</v>
      </c>
      <c r="AE149" s="297">
        <v>0</v>
      </c>
      <c r="AF149" s="297">
        <v>0</v>
      </c>
      <c r="AG149" s="297">
        <v>0</v>
      </c>
      <c r="AH149" s="297">
        <v>0</v>
      </c>
      <c r="AI149" s="297">
        <v>0</v>
      </c>
      <c r="AJ149" s="297">
        <v>0</v>
      </c>
      <c r="AK149" s="297">
        <v>0</v>
      </c>
      <c r="AL149" s="297">
        <v>0</v>
      </c>
      <c r="AM149" s="297">
        <v>0</v>
      </c>
      <c r="AN149" s="297">
        <v>44744000</v>
      </c>
      <c r="AO149" s="297">
        <v>0</v>
      </c>
      <c r="AP149" s="297">
        <v>0</v>
      </c>
      <c r="AQ149" s="296"/>
      <c r="AR149" s="297">
        <f t="shared" si="55"/>
        <v>2940907532</v>
      </c>
      <c r="AS149" s="313" t="s">
        <v>137</v>
      </c>
      <c r="AT149" s="313" t="s">
        <v>137</v>
      </c>
      <c r="AU149" s="176" t="s">
        <v>214</v>
      </c>
    </row>
    <row r="150" spans="1:47" s="217" customFormat="1" ht="25.5" customHeight="1" outlineLevel="1">
      <c r="A150" s="215" t="s">
        <v>125</v>
      </c>
      <c r="B150" s="247"/>
      <c r="C150" s="247"/>
      <c r="D150" s="248"/>
      <c r="E150" s="249"/>
      <c r="F150" s="249"/>
      <c r="G150" s="249"/>
      <c r="H150" s="249"/>
      <c r="I150" s="249"/>
      <c r="J150" s="247"/>
      <c r="K150" s="259"/>
      <c r="L150" s="248"/>
      <c r="M150" s="248"/>
      <c r="N150" s="250"/>
      <c r="O150" s="250"/>
      <c r="P150" s="250"/>
      <c r="Q150" s="260" t="s">
        <v>187</v>
      </c>
      <c r="R150" s="278"/>
      <c r="S150" s="279"/>
      <c r="T150" s="279"/>
      <c r="U150" s="279"/>
      <c r="V150" s="279"/>
      <c r="W150" s="279"/>
      <c r="X150" s="281"/>
      <c r="Y150" s="286">
        <f>+Y141+Y142+Y143+Y144+Y145+Y149+Y146+Y147+Y148</f>
        <v>30396505567</v>
      </c>
      <c r="Z150" s="286">
        <f>+Z141+Z142+Z143+Z144+Z145+Z149+Z146+Z147+Z148</f>
        <v>9393959757</v>
      </c>
      <c r="AA150" s="303"/>
      <c r="AB150" s="286">
        <f t="shared" ref="AB150:AP150" si="56">+AB141+AB142+AB143+AB144+AB145+AB149+AB146+AB147+AB148</f>
        <v>3148496899.6666603</v>
      </c>
      <c r="AC150" s="286">
        <f t="shared" si="56"/>
        <v>2500595634</v>
      </c>
      <c r="AD150" s="286">
        <f t="shared" si="56"/>
        <v>647901265.66666007</v>
      </c>
      <c r="AE150" s="286">
        <f t="shared" si="56"/>
        <v>0</v>
      </c>
      <c r="AF150" s="286">
        <f t="shared" si="56"/>
        <v>0</v>
      </c>
      <c r="AG150" s="286">
        <f t="shared" si="56"/>
        <v>0</v>
      </c>
      <c r="AH150" s="286">
        <f t="shared" si="56"/>
        <v>0</v>
      </c>
      <c r="AI150" s="286">
        <f t="shared" si="56"/>
        <v>0</v>
      </c>
      <c r="AJ150" s="286">
        <f t="shared" si="56"/>
        <v>43887869</v>
      </c>
      <c r="AK150" s="286">
        <f t="shared" si="56"/>
        <v>560620220</v>
      </c>
      <c r="AL150" s="286">
        <f t="shared" si="56"/>
        <v>458602899</v>
      </c>
      <c r="AM150" s="286">
        <f t="shared" si="56"/>
        <v>4837654</v>
      </c>
      <c r="AN150" s="286">
        <f t="shared" si="56"/>
        <v>529620400</v>
      </c>
      <c r="AO150" s="286">
        <f t="shared" si="56"/>
        <v>605026391</v>
      </c>
      <c r="AP150" s="286">
        <f t="shared" si="56"/>
        <v>298000201</v>
      </c>
      <c r="AQ150" s="287"/>
      <c r="AR150" s="286">
        <f>+Y150-Z150-AC150-AD150</f>
        <v>17854048910.33334</v>
      </c>
      <c r="AS150" s="315"/>
      <c r="AT150" s="315"/>
      <c r="AU150" s="220"/>
    </row>
    <row r="151" spans="1:47" ht="18.75" customHeight="1" outlineLevel="1">
      <c r="A151" s="215" t="s">
        <v>125</v>
      </c>
      <c r="B151" s="249"/>
      <c r="C151" s="249"/>
      <c r="D151" s="250"/>
      <c r="E151" s="249"/>
      <c r="F151" s="249"/>
      <c r="G151" s="249"/>
      <c r="H151" s="249"/>
      <c r="I151" s="249"/>
      <c r="J151" s="249"/>
      <c r="K151" s="261"/>
      <c r="L151" s="250"/>
      <c r="M151" s="250"/>
      <c r="N151" s="250"/>
      <c r="O151" s="250"/>
      <c r="P151" s="250"/>
      <c r="Q151" s="261"/>
      <c r="R151" s="283"/>
      <c r="S151" s="283"/>
      <c r="T151" s="283"/>
      <c r="U151" s="283"/>
      <c r="V151" s="283"/>
      <c r="W151" s="283"/>
      <c r="X151" s="283"/>
      <c r="Y151" s="284"/>
      <c r="Z151" s="284"/>
      <c r="AA151" s="301"/>
      <c r="AB151" s="301"/>
      <c r="AC151" s="301"/>
      <c r="AD151" s="301"/>
      <c r="AE151" s="301"/>
      <c r="AF151" s="301"/>
      <c r="AG151" s="301"/>
      <c r="AH151" s="301"/>
      <c r="AI151" s="301"/>
      <c r="AJ151" s="301"/>
      <c r="AK151" s="301"/>
      <c r="AL151" s="301"/>
      <c r="AM151" s="301"/>
      <c r="AN151" s="301"/>
      <c r="AO151" s="301"/>
      <c r="AP151" s="301"/>
      <c r="AQ151" s="301"/>
      <c r="AR151" s="301"/>
      <c r="AS151" s="316"/>
      <c r="AT151" s="316"/>
      <c r="AU151" s="317"/>
    </row>
    <row r="152" spans="1:47" s="217" customFormat="1" ht="25.5" customHeight="1" outlineLevel="1">
      <c r="A152" s="215" t="s">
        <v>125</v>
      </c>
      <c r="B152" s="247"/>
      <c r="C152" s="247"/>
      <c r="D152" s="248"/>
      <c r="E152" s="249"/>
      <c r="F152" s="249"/>
      <c r="G152" s="249"/>
      <c r="H152" s="249"/>
      <c r="I152" s="249"/>
      <c r="J152" s="247"/>
      <c r="K152" s="259"/>
      <c r="L152" s="248"/>
      <c r="M152" s="248"/>
      <c r="N152" s="250"/>
      <c r="O152" s="250"/>
      <c r="P152" s="250"/>
      <c r="Q152" s="99" t="s">
        <v>188</v>
      </c>
      <c r="R152" s="283"/>
      <c r="S152" s="283"/>
      <c r="T152" s="283"/>
      <c r="U152" s="283"/>
      <c r="V152" s="283"/>
      <c r="W152" s="283"/>
      <c r="X152" s="283"/>
      <c r="Y152" s="285"/>
      <c r="Z152" s="285"/>
      <c r="AA152" s="302"/>
      <c r="AB152" s="302"/>
      <c r="AC152" s="302"/>
      <c r="AD152" s="302"/>
      <c r="AE152" s="302"/>
      <c r="AF152" s="302"/>
      <c r="AG152" s="302"/>
      <c r="AH152" s="301"/>
      <c r="AI152" s="301"/>
      <c r="AJ152" s="301"/>
      <c r="AK152" s="301"/>
      <c r="AL152" s="301"/>
      <c r="AM152" s="301"/>
      <c r="AN152" s="301"/>
      <c r="AO152" s="301"/>
      <c r="AP152" s="301"/>
      <c r="AQ152" s="302"/>
      <c r="AR152" s="302"/>
      <c r="AS152" s="315"/>
      <c r="AT152" s="315"/>
      <c r="AU152" s="220"/>
    </row>
    <row r="153" spans="1:47" s="218" customFormat="1" ht="25.5" customHeight="1" outlineLevel="2">
      <c r="A153" s="215" t="s">
        <v>125</v>
      </c>
      <c r="B153" s="151">
        <v>31</v>
      </c>
      <c r="C153" s="151" t="s">
        <v>128</v>
      </c>
      <c r="D153" s="245" t="s">
        <v>164</v>
      </c>
      <c r="E153" s="151" t="s">
        <v>130</v>
      </c>
      <c r="F153" s="151" t="s">
        <v>140</v>
      </c>
      <c r="G153" s="151" t="s">
        <v>32</v>
      </c>
      <c r="H153" s="151" t="s">
        <v>40</v>
      </c>
      <c r="I153" s="256">
        <v>8</v>
      </c>
      <c r="J153" s="151" t="s">
        <v>80</v>
      </c>
      <c r="K153" s="176" t="s">
        <v>132</v>
      </c>
      <c r="L153" s="245">
        <v>30402378</v>
      </c>
      <c r="M153" s="855"/>
      <c r="N153" s="245" t="e">
        <v>#N/A</v>
      </c>
      <c r="O153" s="245" t="s">
        <v>351</v>
      </c>
      <c r="P153" s="245"/>
      <c r="Q153" s="176" t="s">
        <v>352</v>
      </c>
      <c r="R153" s="273"/>
      <c r="S153" s="274"/>
      <c r="T153" s="273"/>
      <c r="U153" s="273"/>
      <c r="V153" s="273"/>
      <c r="W153" s="273"/>
      <c r="X153" s="274"/>
      <c r="Y153" s="275">
        <v>32260000</v>
      </c>
      <c r="Z153" s="275">
        <v>0</v>
      </c>
      <c r="AA153" s="296"/>
      <c r="AB153" s="297">
        <v>32260000</v>
      </c>
      <c r="AC153" s="297">
        <f t="shared" si="53"/>
        <v>0</v>
      </c>
      <c r="AD153" s="297">
        <f t="shared" ref="AD153:AD156" si="57">+AB153-AC153</f>
        <v>32260000</v>
      </c>
      <c r="AE153" s="297">
        <v>0</v>
      </c>
      <c r="AF153" s="297">
        <v>0</v>
      </c>
      <c r="AG153" s="297">
        <v>0</v>
      </c>
      <c r="AH153" s="297">
        <v>0</v>
      </c>
      <c r="AI153" s="297">
        <v>0</v>
      </c>
      <c r="AJ153" s="297">
        <v>0</v>
      </c>
      <c r="AK153" s="297">
        <v>0</v>
      </c>
      <c r="AL153" s="297">
        <v>0</v>
      </c>
      <c r="AM153" s="297">
        <v>0</v>
      </c>
      <c r="AN153" s="297">
        <v>0</v>
      </c>
      <c r="AO153" s="297">
        <v>0</v>
      </c>
      <c r="AP153" s="297">
        <v>0</v>
      </c>
      <c r="AQ153" s="296"/>
      <c r="AR153" s="297">
        <f t="shared" ref="AR153:AR157" si="58">+Y153-Z153-AC153-AD153</f>
        <v>0</v>
      </c>
      <c r="AS153" s="313" t="s">
        <v>137</v>
      </c>
      <c r="AT153" s="313" t="s">
        <v>137</v>
      </c>
      <c r="AU153" s="176" t="s">
        <v>190</v>
      </c>
    </row>
    <row r="154" spans="1:47" s="217" customFormat="1" ht="25.5" customHeight="1" outlineLevel="1">
      <c r="A154" s="215" t="s">
        <v>125</v>
      </c>
      <c r="B154" s="854">
        <v>31</v>
      </c>
      <c r="C154" s="854" t="s">
        <v>196</v>
      </c>
      <c r="D154" s="855" t="s">
        <v>129</v>
      </c>
      <c r="E154" s="854" t="s">
        <v>130</v>
      </c>
      <c r="F154" s="854" t="s">
        <v>207</v>
      </c>
      <c r="G154" s="854" t="s">
        <v>32</v>
      </c>
      <c r="H154" s="854" t="s">
        <v>40</v>
      </c>
      <c r="I154" s="256">
        <v>8</v>
      </c>
      <c r="J154" s="854" t="s">
        <v>80</v>
      </c>
      <c r="K154" s="856" t="s">
        <v>132</v>
      </c>
      <c r="L154" s="855">
        <v>30376573</v>
      </c>
      <c r="M154" s="855" t="s">
        <v>1606</v>
      </c>
      <c r="N154" s="855"/>
      <c r="O154" s="855" t="s">
        <v>1695</v>
      </c>
      <c r="P154" s="855"/>
      <c r="Q154" s="856" t="s">
        <v>1696</v>
      </c>
      <c r="R154" s="857" t="s">
        <v>1697</v>
      </c>
      <c r="S154" s="274"/>
      <c r="T154" s="857"/>
      <c r="U154" s="857"/>
      <c r="V154" s="857"/>
      <c r="W154" s="857"/>
      <c r="X154" s="274"/>
      <c r="Y154" s="943">
        <v>402984000</v>
      </c>
      <c r="Z154" s="858">
        <v>0</v>
      </c>
      <c r="AA154" s="296"/>
      <c r="AB154" s="859">
        <v>0</v>
      </c>
      <c r="AC154" s="859">
        <f>SUBTOTAL(9,AE154:AP154)</f>
        <v>0</v>
      </c>
      <c r="AD154" s="859">
        <f>+AB154-AC154</f>
        <v>0</v>
      </c>
      <c r="AE154" s="859">
        <v>0</v>
      </c>
      <c r="AF154" s="859">
        <v>0</v>
      </c>
      <c r="AG154" s="859">
        <v>0</v>
      </c>
      <c r="AH154" s="859">
        <v>0</v>
      </c>
      <c r="AI154" s="859">
        <v>0</v>
      </c>
      <c r="AJ154" s="297">
        <v>0</v>
      </c>
      <c r="AK154" s="859">
        <v>0</v>
      </c>
      <c r="AL154" s="859">
        <v>0</v>
      </c>
      <c r="AM154" s="859">
        <v>0</v>
      </c>
      <c r="AN154" s="859">
        <v>0</v>
      </c>
      <c r="AO154" s="859">
        <v>0</v>
      </c>
      <c r="AP154" s="859">
        <v>0</v>
      </c>
      <c r="AQ154" s="296"/>
      <c r="AR154" s="859">
        <f>+Y154-Z154-AC154-AD154</f>
        <v>402984000</v>
      </c>
      <c r="AS154" s="860" t="s">
        <v>137</v>
      </c>
      <c r="AT154" s="860" t="s">
        <v>1475</v>
      </c>
      <c r="AU154" s="856" t="s">
        <v>195</v>
      </c>
    </row>
    <row r="155" spans="1:47" s="218" customFormat="1" ht="25.5" customHeight="1" outlineLevel="2">
      <c r="A155" s="215" t="s">
        <v>125</v>
      </c>
      <c r="B155" s="854">
        <v>29</v>
      </c>
      <c r="C155" s="854" t="s">
        <v>196</v>
      </c>
      <c r="D155" s="855" t="s">
        <v>164</v>
      </c>
      <c r="E155" s="854" t="s">
        <v>130</v>
      </c>
      <c r="F155" s="854" t="s">
        <v>140</v>
      </c>
      <c r="G155" s="854" t="s">
        <v>32</v>
      </c>
      <c r="H155" s="854" t="s">
        <v>40</v>
      </c>
      <c r="I155" s="256">
        <v>8</v>
      </c>
      <c r="J155" s="854" t="s">
        <v>80</v>
      </c>
      <c r="K155" s="856" t="s">
        <v>132</v>
      </c>
      <c r="L155" s="855">
        <v>40020224</v>
      </c>
      <c r="M155" s="855"/>
      <c r="N155" s="855"/>
      <c r="O155" s="855" t="s">
        <v>1598</v>
      </c>
      <c r="P155" s="855"/>
      <c r="Q155" s="856" t="s">
        <v>1575</v>
      </c>
      <c r="R155" s="857" t="s">
        <v>1574</v>
      </c>
      <c r="S155" s="274"/>
      <c r="T155" s="857"/>
      <c r="U155" s="857"/>
      <c r="V155" s="857"/>
      <c r="W155" s="857"/>
      <c r="X155" s="274"/>
      <c r="Y155" s="858">
        <v>52816000</v>
      </c>
      <c r="Z155" s="275">
        <v>0</v>
      </c>
      <c r="AA155" s="296"/>
      <c r="AB155" s="297">
        <v>0</v>
      </c>
      <c r="AC155" s="297">
        <f t="shared" ref="AC155" si="59">SUBTOTAL(9,AE155:AP155)</f>
        <v>0</v>
      </c>
      <c r="AD155" s="297">
        <f t="shared" si="57"/>
        <v>0</v>
      </c>
      <c r="AE155" s="859"/>
      <c r="AF155" s="859"/>
      <c r="AG155" s="859"/>
      <c r="AH155" s="859"/>
      <c r="AI155" s="859"/>
      <c r="AJ155" s="297">
        <v>0</v>
      </c>
      <c r="AK155" s="297">
        <v>0</v>
      </c>
      <c r="AL155" s="859">
        <v>0</v>
      </c>
      <c r="AM155" s="859">
        <v>0</v>
      </c>
      <c r="AN155" s="859">
        <v>0</v>
      </c>
      <c r="AO155" s="859">
        <v>0</v>
      </c>
      <c r="AP155" s="859">
        <v>0</v>
      </c>
      <c r="AQ155" s="296"/>
      <c r="AR155" s="297">
        <f t="shared" si="58"/>
        <v>52816000</v>
      </c>
      <c r="AS155" s="313" t="s">
        <v>148</v>
      </c>
      <c r="AT155" s="860" t="s">
        <v>1464</v>
      </c>
      <c r="AU155" s="856" t="s">
        <v>190</v>
      </c>
    </row>
    <row r="156" spans="1:47" s="218" customFormat="1" ht="25.5" customHeight="1" outlineLevel="2">
      <c r="A156" s="215" t="s">
        <v>125</v>
      </c>
      <c r="B156" s="151">
        <v>31</v>
      </c>
      <c r="C156" s="151" t="s">
        <v>128</v>
      </c>
      <c r="D156" s="245" t="s">
        <v>129</v>
      </c>
      <c r="E156" s="151" t="s">
        <v>169</v>
      </c>
      <c r="F156" s="151" t="s">
        <v>131</v>
      </c>
      <c r="G156" s="151" t="s">
        <v>32</v>
      </c>
      <c r="H156" s="151" t="s">
        <v>40</v>
      </c>
      <c r="I156" s="256">
        <v>8</v>
      </c>
      <c r="J156" s="151" t="s">
        <v>81</v>
      </c>
      <c r="K156" s="176" t="s">
        <v>132</v>
      </c>
      <c r="L156" s="245">
        <v>30395473</v>
      </c>
      <c r="M156" s="855"/>
      <c r="N156" s="245" t="e">
        <v>#N/A</v>
      </c>
      <c r="O156" s="245" t="s">
        <v>361</v>
      </c>
      <c r="P156" s="245"/>
      <c r="Q156" s="176" t="s">
        <v>362</v>
      </c>
      <c r="R156" s="273"/>
      <c r="S156" s="274"/>
      <c r="T156" s="273"/>
      <c r="U156" s="273"/>
      <c r="V156" s="273"/>
      <c r="W156" s="273"/>
      <c r="X156" s="274"/>
      <c r="Y156" s="275">
        <v>1688957000</v>
      </c>
      <c r="Z156" s="275">
        <v>0</v>
      </c>
      <c r="AA156" s="296"/>
      <c r="AB156" s="297">
        <f>650000000-6385064-300000000</f>
        <v>343614936</v>
      </c>
      <c r="AC156" s="297">
        <f t="shared" si="53"/>
        <v>0</v>
      </c>
      <c r="AD156" s="297">
        <f t="shared" si="57"/>
        <v>343614936</v>
      </c>
      <c r="AE156" s="297">
        <v>0</v>
      </c>
      <c r="AF156" s="297">
        <v>0</v>
      </c>
      <c r="AG156" s="297">
        <v>0</v>
      </c>
      <c r="AH156" s="297">
        <v>0</v>
      </c>
      <c r="AI156" s="297">
        <v>0</v>
      </c>
      <c r="AJ156" s="297">
        <v>0</v>
      </c>
      <c r="AK156" s="297">
        <v>0</v>
      </c>
      <c r="AL156" s="297">
        <v>0</v>
      </c>
      <c r="AM156" s="297">
        <v>0</v>
      </c>
      <c r="AN156" s="297">
        <v>0</v>
      </c>
      <c r="AO156" s="297">
        <v>0</v>
      </c>
      <c r="AP156" s="297">
        <v>0</v>
      </c>
      <c r="AQ156" s="296"/>
      <c r="AR156" s="297">
        <f t="shared" si="58"/>
        <v>1345342064</v>
      </c>
      <c r="AS156" s="313" t="s">
        <v>148</v>
      </c>
      <c r="AT156" s="313" t="s">
        <v>1464</v>
      </c>
      <c r="AU156" s="176" t="s">
        <v>200</v>
      </c>
    </row>
    <row r="157" spans="1:47" s="217" customFormat="1" ht="25.5" customHeight="1" outlineLevel="1">
      <c r="A157" s="215" t="s">
        <v>125</v>
      </c>
      <c r="B157" s="247"/>
      <c r="C157" s="247"/>
      <c r="D157" s="248"/>
      <c r="E157" s="249"/>
      <c r="F157" s="249"/>
      <c r="G157" s="249"/>
      <c r="H157" s="249"/>
      <c r="I157" s="249"/>
      <c r="J157" s="247"/>
      <c r="K157" s="259"/>
      <c r="L157" s="248"/>
      <c r="M157" s="248"/>
      <c r="N157" s="250"/>
      <c r="O157" s="250"/>
      <c r="P157" s="250"/>
      <c r="Q157" s="260" t="s">
        <v>201</v>
      </c>
      <c r="R157" s="278"/>
      <c r="S157" s="279"/>
      <c r="T157" s="279"/>
      <c r="U157" s="279"/>
      <c r="V157" s="279"/>
      <c r="W157" s="279"/>
      <c r="X157" s="281"/>
      <c r="Y157" s="286">
        <f>SUM(Y153:Y156)</f>
        <v>2177017000</v>
      </c>
      <c r="Z157" s="286">
        <f>SUM(Z153:Z156)</f>
        <v>0</v>
      </c>
      <c r="AA157" s="303"/>
      <c r="AB157" s="286">
        <f t="shared" ref="AB157:AP157" si="60">SUM(AB153:AB156)</f>
        <v>375874936</v>
      </c>
      <c r="AC157" s="286">
        <f t="shared" si="60"/>
        <v>0</v>
      </c>
      <c r="AD157" s="286">
        <f t="shared" si="60"/>
        <v>375874936</v>
      </c>
      <c r="AE157" s="286">
        <f t="shared" si="60"/>
        <v>0</v>
      </c>
      <c r="AF157" s="286">
        <f t="shared" si="60"/>
        <v>0</v>
      </c>
      <c r="AG157" s="286">
        <f t="shared" si="60"/>
        <v>0</v>
      </c>
      <c r="AH157" s="286">
        <f t="shared" si="60"/>
        <v>0</v>
      </c>
      <c r="AI157" s="286">
        <f t="shared" si="60"/>
        <v>0</v>
      </c>
      <c r="AJ157" s="286">
        <f t="shared" si="60"/>
        <v>0</v>
      </c>
      <c r="AK157" s="286">
        <f t="shared" si="60"/>
        <v>0</v>
      </c>
      <c r="AL157" s="286">
        <f t="shared" si="60"/>
        <v>0</v>
      </c>
      <c r="AM157" s="286">
        <f t="shared" si="60"/>
        <v>0</v>
      </c>
      <c r="AN157" s="286">
        <f t="shared" si="60"/>
        <v>0</v>
      </c>
      <c r="AO157" s="286">
        <f t="shared" si="60"/>
        <v>0</v>
      </c>
      <c r="AP157" s="286">
        <f t="shared" si="60"/>
        <v>0</v>
      </c>
      <c r="AQ157" s="287"/>
      <c r="AR157" s="286">
        <f t="shared" si="58"/>
        <v>1801142064</v>
      </c>
      <c r="AS157" s="315"/>
      <c r="AT157" s="315"/>
      <c r="AU157" s="220"/>
    </row>
    <row r="158" spans="1:47" ht="18.75" customHeight="1" outlineLevel="1">
      <c r="A158" s="215" t="s">
        <v>125</v>
      </c>
      <c r="B158" s="249"/>
      <c r="C158" s="249"/>
      <c r="D158" s="250"/>
      <c r="E158" s="249"/>
      <c r="F158" s="249"/>
      <c r="G158" s="249"/>
      <c r="H158" s="249"/>
      <c r="I158" s="249"/>
      <c r="J158" s="249"/>
      <c r="K158" s="261"/>
      <c r="L158" s="250"/>
      <c r="M158" s="250"/>
      <c r="N158" s="250"/>
      <c r="O158" s="250"/>
      <c r="P158" s="250"/>
      <c r="Q158" s="261"/>
      <c r="R158" s="283"/>
      <c r="S158" s="283"/>
      <c r="T158" s="283"/>
      <c r="U158" s="283"/>
      <c r="V158" s="283"/>
      <c r="W158" s="283"/>
      <c r="X158" s="283"/>
      <c r="Y158" s="284"/>
      <c r="Z158" s="284"/>
      <c r="AA158" s="301"/>
      <c r="AB158" s="301"/>
      <c r="AC158" s="301"/>
      <c r="AD158" s="301"/>
      <c r="AE158" s="301"/>
      <c r="AF158" s="301"/>
      <c r="AG158" s="301"/>
      <c r="AH158" s="301"/>
      <c r="AI158" s="301"/>
      <c r="AJ158" s="301"/>
      <c r="AK158" s="301"/>
      <c r="AL158" s="301"/>
      <c r="AM158" s="301"/>
      <c r="AN158" s="301"/>
      <c r="AO158" s="301"/>
      <c r="AP158" s="301"/>
      <c r="AQ158" s="301"/>
      <c r="AR158" s="301"/>
      <c r="AS158" s="316"/>
      <c r="AT158" s="316"/>
      <c r="AU158" s="317"/>
    </row>
    <row r="159" spans="1:47" s="219" customFormat="1" ht="24.75" customHeight="1" outlineLevel="1">
      <c r="A159" s="215" t="s">
        <v>125</v>
      </c>
      <c r="B159" s="251"/>
      <c r="C159" s="249"/>
      <c r="D159" s="250"/>
      <c r="E159" s="249"/>
      <c r="F159" s="249"/>
      <c r="G159" s="249"/>
      <c r="H159" s="249"/>
      <c r="I159" s="249"/>
      <c r="J159" s="251"/>
      <c r="K159" s="263"/>
      <c r="L159" s="252"/>
      <c r="M159" s="252"/>
      <c r="N159" s="252"/>
      <c r="O159" s="252"/>
      <c r="P159" s="252"/>
      <c r="Q159" s="117" t="s">
        <v>364</v>
      </c>
      <c r="R159" s="288"/>
      <c r="S159" s="289"/>
      <c r="T159" s="289"/>
      <c r="U159" s="289"/>
      <c r="V159" s="289"/>
      <c r="W159" s="289"/>
      <c r="X159" s="290"/>
      <c r="Y159" s="118">
        <f>+Y150+Y157</f>
        <v>32573522567</v>
      </c>
      <c r="Z159" s="118">
        <f>+Z150+Z157</f>
        <v>9393959757</v>
      </c>
      <c r="AA159" s="304"/>
      <c r="AB159" s="118">
        <f t="shared" ref="AB159:AI159" si="61">+AB150+AB157</f>
        <v>3524371835.6666603</v>
      </c>
      <c r="AC159" s="118">
        <f t="shared" si="61"/>
        <v>2500595634</v>
      </c>
      <c r="AD159" s="118">
        <f t="shared" si="61"/>
        <v>1023776201.6666601</v>
      </c>
      <c r="AE159" s="118">
        <f t="shared" si="61"/>
        <v>0</v>
      </c>
      <c r="AF159" s="118">
        <f t="shared" si="61"/>
        <v>0</v>
      </c>
      <c r="AG159" s="118">
        <f t="shared" si="61"/>
        <v>0</v>
      </c>
      <c r="AH159" s="118">
        <f t="shared" si="61"/>
        <v>0</v>
      </c>
      <c r="AI159" s="118">
        <f t="shared" si="61"/>
        <v>0</v>
      </c>
      <c r="AJ159" s="118">
        <v>43887869</v>
      </c>
      <c r="AK159" s="118">
        <f t="shared" ref="AK159:AP159" si="62">+AK150+AK157</f>
        <v>560620220</v>
      </c>
      <c r="AL159" s="118">
        <f t="shared" si="62"/>
        <v>458602899</v>
      </c>
      <c r="AM159" s="118">
        <f t="shared" si="62"/>
        <v>4837654</v>
      </c>
      <c r="AN159" s="118">
        <f t="shared" si="62"/>
        <v>529620400</v>
      </c>
      <c r="AO159" s="118">
        <f t="shared" si="62"/>
        <v>605026391</v>
      </c>
      <c r="AP159" s="118">
        <f t="shared" si="62"/>
        <v>298000201</v>
      </c>
      <c r="AQ159" s="301"/>
      <c r="AR159" s="118">
        <f>+Y159-Z159-AC159-AD159</f>
        <v>19655190974.33334</v>
      </c>
      <c r="AS159" s="333"/>
      <c r="AT159" s="333"/>
      <c r="AU159" s="320"/>
    </row>
    <row r="160" spans="1:47" ht="18.75" customHeight="1" outlineLevel="1">
      <c r="A160" s="215" t="s">
        <v>125</v>
      </c>
      <c r="B160" s="249"/>
      <c r="C160" s="249"/>
      <c r="D160" s="250"/>
      <c r="E160" s="249"/>
      <c r="F160" s="249"/>
      <c r="G160" s="249"/>
      <c r="H160" s="249"/>
      <c r="I160" s="249"/>
      <c r="J160" s="249"/>
      <c r="K160" s="261"/>
      <c r="L160" s="250"/>
      <c r="M160" s="250"/>
      <c r="N160" s="250"/>
      <c r="O160" s="250"/>
      <c r="P160" s="250"/>
      <c r="Q160" s="261"/>
      <c r="R160" s="283"/>
      <c r="S160" s="283"/>
      <c r="T160" s="283"/>
      <c r="U160" s="283"/>
      <c r="V160" s="283"/>
      <c r="W160" s="283"/>
      <c r="X160" s="283"/>
      <c r="Y160" s="284"/>
      <c r="Z160" s="284"/>
      <c r="AA160" s="301"/>
      <c r="AB160" s="301"/>
      <c r="AC160" s="301"/>
      <c r="AD160" s="301"/>
      <c r="AE160" s="301"/>
      <c r="AF160" s="301"/>
      <c r="AG160" s="301"/>
      <c r="AH160" s="301"/>
      <c r="AI160" s="301"/>
      <c r="AJ160" s="301"/>
      <c r="AK160" s="301"/>
      <c r="AL160" s="301"/>
      <c r="AM160" s="301"/>
      <c r="AN160" s="301"/>
      <c r="AO160" s="301"/>
      <c r="AP160" s="301"/>
      <c r="AQ160" s="301"/>
      <c r="AR160" s="301"/>
      <c r="AS160" s="316"/>
      <c r="AT160" s="316"/>
      <c r="AU160" s="317"/>
    </row>
    <row r="161" spans="1:47" s="219" customFormat="1" ht="24.75" customHeight="1" outlineLevel="1">
      <c r="A161" s="215" t="s">
        <v>125</v>
      </c>
      <c r="B161" s="251"/>
      <c r="C161" s="249"/>
      <c r="D161" s="250"/>
      <c r="E161" s="249"/>
      <c r="F161" s="249"/>
      <c r="G161" s="249"/>
      <c r="H161" s="249"/>
      <c r="I161" s="249"/>
      <c r="J161" s="251"/>
      <c r="K161" s="263"/>
      <c r="L161" s="252"/>
      <c r="M161" s="252"/>
      <c r="N161" s="252"/>
      <c r="O161" s="252"/>
      <c r="P161" s="252"/>
      <c r="Q161" s="117" t="s">
        <v>365</v>
      </c>
      <c r="R161" s="288"/>
      <c r="S161" s="289"/>
      <c r="T161" s="289"/>
      <c r="U161" s="289"/>
      <c r="V161" s="289"/>
      <c r="W161" s="289"/>
      <c r="X161" s="290"/>
      <c r="Y161" s="118">
        <f>+Y29+Y47+Y72+Y89+Y106+Y118+Y136+Y159</f>
        <v>93186605861</v>
      </c>
      <c r="Z161" s="118">
        <f>+Z29+Z47+Z72+Z89+Z106+Z118+Z136+Z159</f>
        <v>31468023844</v>
      </c>
      <c r="AA161" s="304"/>
      <c r="AB161" s="118">
        <f t="shared" ref="AB161:AI161" si="63">+AB29+AB47+AB72+AB89+AB106+AB118+AB136+AB159</f>
        <v>17685010467.999992</v>
      </c>
      <c r="AC161" s="118">
        <f t="shared" si="63"/>
        <v>9349256892</v>
      </c>
      <c r="AD161" s="118">
        <f t="shared" si="63"/>
        <v>8335753575.9999933</v>
      </c>
      <c r="AE161" s="118">
        <f t="shared" si="63"/>
        <v>0</v>
      </c>
      <c r="AF161" s="118">
        <f t="shared" si="63"/>
        <v>0</v>
      </c>
      <c r="AG161" s="118">
        <f t="shared" si="63"/>
        <v>0</v>
      </c>
      <c r="AH161" s="118">
        <f t="shared" si="63"/>
        <v>0</v>
      </c>
      <c r="AI161" s="118">
        <f t="shared" si="63"/>
        <v>0</v>
      </c>
      <c r="AJ161" s="118">
        <v>1335194398</v>
      </c>
      <c r="AK161" s="118">
        <f t="shared" ref="AK161:AP161" si="64">+AK29+AK47+AK72+AK89+AK106+AK118+AK136+AK159</f>
        <v>1488058987</v>
      </c>
      <c r="AL161" s="118">
        <f t="shared" si="64"/>
        <v>1934983469</v>
      </c>
      <c r="AM161" s="118">
        <f t="shared" si="64"/>
        <v>932663669</v>
      </c>
      <c r="AN161" s="118">
        <f t="shared" si="64"/>
        <v>1622647892</v>
      </c>
      <c r="AO161" s="118">
        <f t="shared" si="64"/>
        <v>1387359897</v>
      </c>
      <c r="AP161" s="118">
        <f t="shared" si="64"/>
        <v>648348580</v>
      </c>
      <c r="AQ161" s="301"/>
      <c r="AR161" s="118">
        <f>+Y161-Z161-AC161-AD161</f>
        <v>44033571549.000008</v>
      </c>
      <c r="AS161" s="333"/>
      <c r="AT161" s="333"/>
      <c r="AU161" s="320"/>
    </row>
    <row r="162" spans="1:47" ht="18.75" customHeight="1" outlineLevel="1">
      <c r="A162" s="215" t="s">
        <v>125</v>
      </c>
      <c r="B162" s="249"/>
      <c r="C162" s="249"/>
      <c r="D162" s="250"/>
      <c r="E162" s="249"/>
      <c r="F162" s="249"/>
      <c r="G162" s="249"/>
      <c r="H162" s="249"/>
      <c r="I162" s="249"/>
      <c r="J162" s="249"/>
      <c r="K162" s="261"/>
      <c r="L162" s="250"/>
      <c r="M162" s="250"/>
      <c r="N162" s="250"/>
      <c r="O162" s="250"/>
      <c r="P162" s="250"/>
      <c r="Q162" s="261"/>
      <c r="R162" s="283"/>
      <c r="S162" s="283"/>
      <c r="T162" s="283"/>
      <c r="U162" s="283"/>
      <c r="V162" s="283"/>
      <c r="W162" s="283"/>
      <c r="X162" s="283"/>
      <c r="Y162" s="284"/>
      <c r="Z162" s="284"/>
      <c r="AA162" s="301"/>
      <c r="AB162" s="301"/>
      <c r="AC162" s="301"/>
      <c r="AD162" s="301"/>
      <c r="AE162" s="301"/>
      <c r="AF162" s="301"/>
      <c r="AG162" s="301"/>
      <c r="AH162" s="301"/>
      <c r="AI162" s="301"/>
      <c r="AJ162" s="301"/>
      <c r="AK162" s="301"/>
      <c r="AL162" s="301"/>
      <c r="AM162" s="301"/>
      <c r="AN162" s="301"/>
      <c r="AO162" s="301"/>
      <c r="AP162" s="301"/>
      <c r="AQ162" s="301"/>
      <c r="AR162" s="301"/>
      <c r="AS162" s="316"/>
      <c r="AT162" s="316"/>
      <c r="AU162" s="317"/>
    </row>
    <row r="163" spans="1:47" ht="26.25" customHeight="1" outlineLevel="1">
      <c r="A163" s="215" t="s">
        <v>125</v>
      </c>
      <c r="B163" s="249"/>
      <c r="C163" s="249"/>
      <c r="D163" s="250"/>
      <c r="E163" s="249"/>
      <c r="F163" s="249"/>
      <c r="G163" s="249"/>
      <c r="H163" s="249"/>
      <c r="I163" s="249"/>
      <c r="J163" s="249"/>
      <c r="K163" s="261"/>
      <c r="L163" s="250"/>
      <c r="M163" s="250"/>
      <c r="N163" s="250"/>
      <c r="O163" s="250"/>
      <c r="P163" s="250"/>
      <c r="Q163" s="264" t="s">
        <v>366</v>
      </c>
      <c r="R163" s="283"/>
      <c r="S163" s="283"/>
      <c r="T163" s="283"/>
      <c r="U163" s="283"/>
      <c r="V163" s="283"/>
      <c r="W163" s="283"/>
      <c r="X163" s="283"/>
      <c r="Y163" s="284"/>
      <c r="Z163" s="284"/>
      <c r="AA163" s="301"/>
      <c r="AB163" s="301"/>
      <c r="AC163" s="301"/>
      <c r="AD163" s="301"/>
      <c r="AE163" s="301"/>
      <c r="AF163" s="301"/>
      <c r="AG163" s="301"/>
      <c r="AH163" s="301"/>
      <c r="AI163" s="301"/>
      <c r="AJ163" s="301"/>
      <c r="AK163" s="301"/>
      <c r="AL163" s="301"/>
      <c r="AM163" s="301"/>
      <c r="AN163" s="301"/>
      <c r="AO163" s="301"/>
      <c r="AP163" s="301"/>
      <c r="AQ163" s="301"/>
      <c r="AR163" s="301"/>
      <c r="AS163" s="316"/>
      <c r="AT163" s="316"/>
      <c r="AU163" s="317"/>
    </row>
    <row r="164" spans="1:47" s="216" customFormat="1" ht="15" customHeight="1" outlineLevel="1">
      <c r="A164" s="215" t="s">
        <v>125</v>
      </c>
      <c r="B164" s="249"/>
      <c r="C164" s="249"/>
      <c r="D164" s="250"/>
      <c r="E164" s="249"/>
      <c r="F164" s="249"/>
      <c r="G164" s="249"/>
      <c r="H164" s="249"/>
      <c r="I164" s="249"/>
      <c r="J164" s="249"/>
      <c r="K164" s="261"/>
      <c r="L164" s="250"/>
      <c r="M164" s="250"/>
      <c r="N164" s="250"/>
      <c r="O164" s="250"/>
      <c r="P164" s="250"/>
      <c r="Q164" s="255"/>
      <c r="R164" s="283"/>
      <c r="S164" s="283"/>
      <c r="T164" s="283"/>
      <c r="U164" s="283"/>
      <c r="V164" s="283"/>
      <c r="W164" s="283"/>
      <c r="X164" s="283"/>
      <c r="Y164" s="284"/>
      <c r="Z164" s="284"/>
      <c r="AA164" s="301"/>
      <c r="AB164" s="301"/>
      <c r="AC164" s="301"/>
      <c r="AD164" s="301"/>
      <c r="AE164" s="301"/>
      <c r="AF164" s="301"/>
      <c r="AG164" s="301"/>
      <c r="AH164" s="301"/>
      <c r="AI164" s="301"/>
      <c r="AJ164" s="301"/>
      <c r="AK164" s="301"/>
      <c r="AL164" s="301"/>
      <c r="AM164" s="301"/>
      <c r="AN164" s="301"/>
      <c r="AO164" s="301"/>
      <c r="AP164" s="301"/>
      <c r="AQ164" s="301"/>
      <c r="AR164" s="301"/>
      <c r="AS164" s="316"/>
      <c r="AT164" s="316"/>
      <c r="AU164" s="317"/>
    </row>
    <row r="165" spans="1:47" s="217" customFormat="1" ht="25.5" customHeight="1" outlineLevel="1">
      <c r="A165" s="215" t="s">
        <v>125</v>
      </c>
      <c r="B165" s="247"/>
      <c r="C165" s="247"/>
      <c r="D165" s="248"/>
      <c r="E165" s="249"/>
      <c r="F165" s="249"/>
      <c r="G165" s="249"/>
      <c r="H165" s="249"/>
      <c r="I165" s="249"/>
      <c r="J165" s="247"/>
      <c r="K165" s="259"/>
      <c r="L165" s="248"/>
      <c r="M165" s="248"/>
      <c r="N165" s="250"/>
      <c r="O165" s="250"/>
      <c r="P165" s="250"/>
      <c r="Q165" s="99" t="s">
        <v>127</v>
      </c>
      <c r="R165" s="283"/>
      <c r="S165" s="283"/>
      <c r="T165" s="283"/>
      <c r="U165" s="283"/>
      <c r="V165" s="283"/>
      <c r="W165" s="283"/>
      <c r="X165" s="283"/>
      <c r="Y165" s="285"/>
      <c r="Z165" s="285"/>
      <c r="AA165" s="302"/>
      <c r="AB165" s="302"/>
      <c r="AC165" s="302"/>
      <c r="AD165" s="302"/>
      <c r="AE165" s="302"/>
      <c r="AF165" s="302"/>
      <c r="AG165" s="302"/>
      <c r="AH165" s="301"/>
      <c r="AI165" s="301"/>
      <c r="AJ165" s="301"/>
      <c r="AK165" s="301"/>
      <c r="AL165" s="301"/>
      <c r="AM165" s="301"/>
      <c r="AN165" s="301"/>
      <c r="AO165" s="301"/>
      <c r="AP165" s="301"/>
      <c r="AQ165" s="302"/>
      <c r="AR165" s="302"/>
      <c r="AS165" s="315"/>
      <c r="AT165" s="315"/>
      <c r="AU165" s="220"/>
    </row>
    <row r="166" spans="1:47" s="218" customFormat="1" ht="25.5" customHeight="1" outlineLevel="2">
      <c r="A166" s="215" t="s">
        <v>125</v>
      </c>
      <c r="B166" s="151">
        <v>31</v>
      </c>
      <c r="C166" s="151" t="s">
        <v>128</v>
      </c>
      <c r="D166" s="245" t="s">
        <v>139</v>
      </c>
      <c r="E166" s="151" t="s">
        <v>130</v>
      </c>
      <c r="F166" s="151" t="s">
        <v>140</v>
      </c>
      <c r="G166" s="151" t="s">
        <v>33</v>
      </c>
      <c r="H166" s="151" t="s">
        <v>54</v>
      </c>
      <c r="I166" s="256">
        <v>9</v>
      </c>
      <c r="J166" s="151" t="s">
        <v>85</v>
      </c>
      <c r="K166" s="176" t="s">
        <v>132</v>
      </c>
      <c r="L166" s="245">
        <v>30440174</v>
      </c>
      <c r="M166" s="855"/>
      <c r="N166" s="245" t="s">
        <v>337</v>
      </c>
      <c r="O166" s="245" t="s">
        <v>367</v>
      </c>
      <c r="P166" s="245"/>
      <c r="Q166" s="176" t="s">
        <v>368</v>
      </c>
      <c r="R166" s="273" t="s">
        <v>369</v>
      </c>
      <c r="S166" s="274"/>
      <c r="T166" s="273"/>
      <c r="U166" s="273"/>
      <c r="V166" s="273"/>
      <c r="W166" s="273"/>
      <c r="X166" s="274"/>
      <c r="Y166" s="275">
        <v>480579888</v>
      </c>
      <c r="Z166" s="275">
        <v>459548200</v>
      </c>
      <c r="AA166" s="296"/>
      <c r="AB166" s="297">
        <f>+Y166-Z166</f>
        <v>21031688</v>
      </c>
      <c r="AC166" s="297">
        <f t="shared" si="53"/>
        <v>0</v>
      </c>
      <c r="AD166" s="297">
        <f t="shared" ref="AD166:AD174" si="65">+AB166-AC166</f>
        <v>21031688</v>
      </c>
      <c r="AE166" s="297">
        <v>0</v>
      </c>
      <c r="AF166" s="297">
        <v>0</v>
      </c>
      <c r="AG166" s="297">
        <v>0</v>
      </c>
      <c r="AH166" s="297">
        <v>0</v>
      </c>
      <c r="AI166" s="297">
        <v>0</v>
      </c>
      <c r="AJ166" s="297">
        <v>0</v>
      </c>
      <c r="AK166" s="297">
        <v>0</v>
      </c>
      <c r="AL166" s="297">
        <v>0</v>
      </c>
      <c r="AM166" s="297">
        <v>0</v>
      </c>
      <c r="AN166" s="297">
        <v>0</v>
      </c>
      <c r="AO166" s="297">
        <v>0</v>
      </c>
      <c r="AP166" s="297">
        <v>0</v>
      </c>
      <c r="AQ166" s="296"/>
      <c r="AR166" s="297">
        <f t="shared" ref="AR166:AR175" si="66">+Y166-Z166-AC166-AD166</f>
        <v>0</v>
      </c>
      <c r="AS166" s="313" t="s">
        <v>148</v>
      </c>
      <c r="AT166" s="313" t="s">
        <v>1464</v>
      </c>
      <c r="AU166" s="176" t="s">
        <v>138</v>
      </c>
    </row>
    <row r="167" spans="1:47" s="218" customFormat="1" ht="25.5" customHeight="1" outlineLevel="2">
      <c r="A167" s="215" t="s">
        <v>125</v>
      </c>
      <c r="B167" s="151">
        <v>31</v>
      </c>
      <c r="C167" s="151" t="s">
        <v>128</v>
      </c>
      <c r="D167" s="245" t="s">
        <v>164</v>
      </c>
      <c r="E167" s="151" t="s">
        <v>169</v>
      </c>
      <c r="F167" s="151" t="s">
        <v>140</v>
      </c>
      <c r="G167" s="151" t="s">
        <v>33</v>
      </c>
      <c r="H167" s="151" t="s">
        <v>54</v>
      </c>
      <c r="I167" s="256">
        <v>9</v>
      </c>
      <c r="J167" s="151" t="s">
        <v>80</v>
      </c>
      <c r="K167" s="176" t="s">
        <v>202</v>
      </c>
      <c r="L167" s="245">
        <v>40005337</v>
      </c>
      <c r="M167" s="855"/>
      <c r="N167" s="245" t="e">
        <v>#N/A</v>
      </c>
      <c r="O167" s="245" t="s">
        <v>370</v>
      </c>
      <c r="P167" s="245"/>
      <c r="Q167" s="176" t="s">
        <v>371</v>
      </c>
      <c r="R167" s="273" t="s">
        <v>372</v>
      </c>
      <c r="S167" s="274"/>
      <c r="T167" s="273"/>
      <c r="U167" s="273"/>
      <c r="V167" s="273"/>
      <c r="W167" s="273"/>
      <c r="X167" s="274"/>
      <c r="Y167" s="275">
        <v>49462000</v>
      </c>
      <c r="Z167" s="275">
        <v>0</v>
      </c>
      <c r="AA167" s="296"/>
      <c r="AB167" s="297">
        <v>49462000</v>
      </c>
      <c r="AC167" s="297">
        <f t="shared" si="53"/>
        <v>0</v>
      </c>
      <c r="AD167" s="297">
        <f t="shared" si="65"/>
        <v>49462000</v>
      </c>
      <c r="AE167" s="297">
        <v>0</v>
      </c>
      <c r="AF167" s="297">
        <v>0</v>
      </c>
      <c r="AG167" s="297">
        <v>0</v>
      </c>
      <c r="AH167" s="297">
        <v>0</v>
      </c>
      <c r="AI167" s="297">
        <v>0</v>
      </c>
      <c r="AJ167" s="297">
        <v>0</v>
      </c>
      <c r="AK167" s="297">
        <v>0</v>
      </c>
      <c r="AL167" s="297">
        <v>0</v>
      </c>
      <c r="AM167" s="297">
        <v>0</v>
      </c>
      <c r="AN167" s="297">
        <v>0</v>
      </c>
      <c r="AO167" s="297">
        <v>0</v>
      </c>
      <c r="AP167" s="297">
        <v>0</v>
      </c>
      <c r="AQ167" s="296"/>
      <c r="AR167" s="297">
        <f t="shared" si="66"/>
        <v>0</v>
      </c>
      <c r="AS167" s="313" t="s">
        <v>137</v>
      </c>
      <c r="AT167" s="313" t="s">
        <v>137</v>
      </c>
      <c r="AU167" s="176" t="s">
        <v>138</v>
      </c>
    </row>
    <row r="168" spans="1:47" s="218" customFormat="1" ht="25.5" customHeight="1" outlineLevel="2">
      <c r="A168" s="215" t="s">
        <v>125</v>
      </c>
      <c r="B168" s="151">
        <v>31</v>
      </c>
      <c r="C168" s="151" t="s">
        <v>128</v>
      </c>
      <c r="D168" s="245" t="s">
        <v>139</v>
      </c>
      <c r="E168" s="151" t="s">
        <v>130</v>
      </c>
      <c r="F168" s="151" t="s">
        <v>140</v>
      </c>
      <c r="G168" s="151" t="s">
        <v>33</v>
      </c>
      <c r="H168" s="151" t="s">
        <v>54</v>
      </c>
      <c r="I168" s="256">
        <v>9</v>
      </c>
      <c r="J168" s="151" t="s">
        <v>80</v>
      </c>
      <c r="K168" s="176" t="s">
        <v>132</v>
      </c>
      <c r="L168" s="245">
        <v>30103446</v>
      </c>
      <c r="M168" s="855"/>
      <c r="N168" s="245" t="s">
        <v>373</v>
      </c>
      <c r="O168" s="245" t="s">
        <v>374</v>
      </c>
      <c r="P168" s="245"/>
      <c r="Q168" s="176" t="s">
        <v>375</v>
      </c>
      <c r="R168" s="273" t="s">
        <v>376</v>
      </c>
      <c r="S168" s="274"/>
      <c r="T168" s="273"/>
      <c r="U168" s="273"/>
      <c r="V168" s="273"/>
      <c r="W168" s="273"/>
      <c r="X168" s="274"/>
      <c r="Y168" s="275">
        <v>4519772966</v>
      </c>
      <c r="Z168" s="275">
        <v>4519772966</v>
      </c>
      <c r="AA168" s="296"/>
      <c r="AB168" s="297">
        <v>0</v>
      </c>
      <c r="AC168" s="297">
        <f t="shared" si="53"/>
        <v>0</v>
      </c>
      <c r="AD168" s="297">
        <f t="shared" si="65"/>
        <v>0</v>
      </c>
      <c r="AE168" s="297">
        <v>0</v>
      </c>
      <c r="AF168" s="297">
        <v>0</v>
      </c>
      <c r="AG168" s="297">
        <v>0</v>
      </c>
      <c r="AH168" s="297">
        <v>0</v>
      </c>
      <c r="AI168" s="297">
        <v>0</v>
      </c>
      <c r="AJ168" s="297">
        <v>0</v>
      </c>
      <c r="AK168" s="297">
        <v>0</v>
      </c>
      <c r="AL168" s="297">
        <v>0</v>
      </c>
      <c r="AM168" s="297">
        <v>0</v>
      </c>
      <c r="AN168" s="297">
        <v>0</v>
      </c>
      <c r="AO168" s="297">
        <v>0</v>
      </c>
      <c r="AP168" s="297">
        <v>0</v>
      </c>
      <c r="AQ168" s="296"/>
      <c r="AR168" s="297">
        <f t="shared" si="66"/>
        <v>0</v>
      </c>
      <c r="AS168" s="313" t="s">
        <v>137</v>
      </c>
      <c r="AT168" s="313" t="s">
        <v>1475</v>
      </c>
      <c r="AU168" s="176" t="s">
        <v>301</v>
      </c>
    </row>
    <row r="169" spans="1:47" s="218" customFormat="1" ht="25.5" customHeight="1" outlineLevel="2">
      <c r="A169" s="215" t="s">
        <v>125</v>
      </c>
      <c r="B169" s="151">
        <v>31</v>
      </c>
      <c r="C169" s="151" t="s">
        <v>128</v>
      </c>
      <c r="D169" s="245" t="s">
        <v>129</v>
      </c>
      <c r="E169" s="151" t="s">
        <v>130</v>
      </c>
      <c r="F169" s="151" t="s">
        <v>140</v>
      </c>
      <c r="G169" s="151" t="s">
        <v>33</v>
      </c>
      <c r="H169" s="151" t="s">
        <v>54</v>
      </c>
      <c r="I169" s="256">
        <v>9</v>
      </c>
      <c r="J169" s="151" t="s">
        <v>81</v>
      </c>
      <c r="K169" s="176" t="s">
        <v>132</v>
      </c>
      <c r="L169" s="245">
        <v>30072731</v>
      </c>
      <c r="M169" s="855" t="s">
        <v>1608</v>
      </c>
      <c r="N169" s="245" t="s">
        <v>373</v>
      </c>
      <c r="O169" s="245" t="s">
        <v>377</v>
      </c>
      <c r="P169" s="245"/>
      <c r="Q169" s="176" t="s">
        <v>378</v>
      </c>
      <c r="R169" s="273" t="s">
        <v>379</v>
      </c>
      <c r="S169" s="274"/>
      <c r="T169" s="273"/>
      <c r="U169" s="273"/>
      <c r="V169" s="273"/>
      <c r="W169" s="273"/>
      <c r="X169" s="274"/>
      <c r="Y169" s="326">
        <v>8304377035</v>
      </c>
      <c r="Z169" s="275">
        <v>4050000</v>
      </c>
      <c r="AA169" s="296"/>
      <c r="AB169" s="297">
        <f>300000000-36709790-66534722-153392100</f>
        <v>43363388</v>
      </c>
      <c r="AC169" s="297">
        <f t="shared" si="53"/>
        <v>0</v>
      </c>
      <c r="AD169" s="297">
        <f t="shared" si="65"/>
        <v>43363388</v>
      </c>
      <c r="AE169" s="297">
        <v>0</v>
      </c>
      <c r="AF169" s="297">
        <v>0</v>
      </c>
      <c r="AG169" s="297">
        <v>0</v>
      </c>
      <c r="AH169" s="297">
        <v>0</v>
      </c>
      <c r="AI169" s="297">
        <v>0</v>
      </c>
      <c r="AJ169" s="297">
        <v>0</v>
      </c>
      <c r="AK169" s="297">
        <v>0</v>
      </c>
      <c r="AL169" s="297">
        <v>0</v>
      </c>
      <c r="AM169" s="297">
        <v>0</v>
      </c>
      <c r="AN169" s="297">
        <v>0</v>
      </c>
      <c r="AO169" s="297">
        <v>0</v>
      </c>
      <c r="AP169" s="297">
        <v>0</v>
      </c>
      <c r="AQ169" s="296"/>
      <c r="AR169" s="297">
        <f t="shared" si="66"/>
        <v>8256963647</v>
      </c>
      <c r="AS169" s="313" t="s">
        <v>137</v>
      </c>
      <c r="AT169" s="313" t="s">
        <v>137</v>
      </c>
      <c r="AU169" s="176" t="s">
        <v>138</v>
      </c>
    </row>
    <row r="170" spans="1:47" s="218" customFormat="1" ht="25.5" customHeight="1" outlineLevel="2">
      <c r="A170" s="215" t="s">
        <v>125</v>
      </c>
      <c r="B170" s="151">
        <v>31</v>
      </c>
      <c r="C170" s="151" t="s">
        <v>128</v>
      </c>
      <c r="D170" s="245" t="s">
        <v>129</v>
      </c>
      <c r="E170" s="151" t="s">
        <v>130</v>
      </c>
      <c r="F170" s="151" t="s">
        <v>131</v>
      </c>
      <c r="G170" s="151" t="s">
        <v>33</v>
      </c>
      <c r="H170" s="151" t="s">
        <v>54</v>
      </c>
      <c r="I170" s="256">
        <v>9</v>
      </c>
      <c r="J170" s="151" t="s">
        <v>80</v>
      </c>
      <c r="K170" s="176" t="s">
        <v>132</v>
      </c>
      <c r="L170" s="245">
        <v>30080460</v>
      </c>
      <c r="M170" s="855"/>
      <c r="N170" s="245" t="s">
        <v>337</v>
      </c>
      <c r="O170" s="245" t="s">
        <v>380</v>
      </c>
      <c r="P170" s="245"/>
      <c r="Q170" s="176" t="s">
        <v>381</v>
      </c>
      <c r="R170" s="273" t="s">
        <v>382</v>
      </c>
      <c r="S170" s="274"/>
      <c r="T170" s="273"/>
      <c r="U170" s="273"/>
      <c r="V170" s="273"/>
      <c r="W170" s="273"/>
      <c r="X170" s="274"/>
      <c r="Y170" s="275">
        <v>394331499</v>
      </c>
      <c r="Z170" s="275">
        <v>251353837</v>
      </c>
      <c r="AA170" s="296"/>
      <c r="AB170" s="297">
        <f>36709790+66534722+2500000</f>
        <v>105744512</v>
      </c>
      <c r="AC170" s="297">
        <f t="shared" si="53"/>
        <v>105744512</v>
      </c>
      <c r="AD170" s="297">
        <f t="shared" si="65"/>
        <v>0</v>
      </c>
      <c r="AE170" s="297">
        <v>0</v>
      </c>
      <c r="AF170" s="297">
        <v>0</v>
      </c>
      <c r="AG170" s="297">
        <v>0</v>
      </c>
      <c r="AH170" s="297">
        <v>0</v>
      </c>
      <c r="AI170" s="297">
        <v>0</v>
      </c>
      <c r="AJ170" s="297">
        <v>2500000</v>
      </c>
      <c r="AK170" s="297">
        <v>0</v>
      </c>
      <c r="AL170" s="297">
        <v>0</v>
      </c>
      <c r="AM170" s="297">
        <v>0</v>
      </c>
      <c r="AN170" s="297">
        <v>0</v>
      </c>
      <c r="AO170" s="297">
        <v>66534722</v>
      </c>
      <c r="AP170" s="297">
        <v>36709790</v>
      </c>
      <c r="AQ170" s="296"/>
      <c r="AR170" s="297">
        <f t="shared" si="66"/>
        <v>37233150</v>
      </c>
      <c r="AS170" s="313" t="s">
        <v>137</v>
      </c>
      <c r="AT170" s="313" t="s">
        <v>137</v>
      </c>
      <c r="AU170" s="176" t="s">
        <v>138</v>
      </c>
    </row>
    <row r="171" spans="1:47" s="218" customFormat="1" ht="25.5" customHeight="1" outlineLevel="2">
      <c r="A171" s="215" t="s">
        <v>125</v>
      </c>
      <c r="B171" s="151">
        <v>31</v>
      </c>
      <c r="C171" s="151" t="s">
        <v>128</v>
      </c>
      <c r="D171" s="245" t="s">
        <v>149</v>
      </c>
      <c r="E171" s="151" t="s">
        <v>130</v>
      </c>
      <c r="F171" s="151" t="s">
        <v>140</v>
      </c>
      <c r="G171" s="151" t="s">
        <v>33</v>
      </c>
      <c r="H171" s="151" t="s">
        <v>54</v>
      </c>
      <c r="I171" s="256">
        <v>9</v>
      </c>
      <c r="J171" s="151" t="s">
        <v>80</v>
      </c>
      <c r="K171" s="176" t="s">
        <v>132</v>
      </c>
      <c r="L171" s="245">
        <v>30104476</v>
      </c>
      <c r="M171" s="855"/>
      <c r="N171" s="245" t="s">
        <v>337</v>
      </c>
      <c r="O171" s="245" t="s">
        <v>383</v>
      </c>
      <c r="P171" s="245"/>
      <c r="Q171" s="176" t="s">
        <v>384</v>
      </c>
      <c r="R171" s="273"/>
      <c r="S171" s="274"/>
      <c r="T171" s="273"/>
      <c r="U171" s="273"/>
      <c r="V171" s="273"/>
      <c r="W171" s="273"/>
      <c r="X171" s="274"/>
      <c r="Y171" s="275">
        <v>1111238000</v>
      </c>
      <c r="Z171" s="275">
        <v>2101000</v>
      </c>
      <c r="AA171" s="296"/>
      <c r="AB171" s="297">
        <f>409137000-98204000-2500000</f>
        <v>308433000</v>
      </c>
      <c r="AC171" s="297">
        <f t="shared" si="53"/>
        <v>108933337</v>
      </c>
      <c r="AD171" s="297">
        <f t="shared" si="65"/>
        <v>199499663</v>
      </c>
      <c r="AE171" s="297">
        <v>0</v>
      </c>
      <c r="AF171" s="297">
        <v>0</v>
      </c>
      <c r="AG171" s="297">
        <v>0</v>
      </c>
      <c r="AH171" s="297">
        <v>0</v>
      </c>
      <c r="AI171" s="297">
        <v>0</v>
      </c>
      <c r="AJ171" s="297">
        <v>1800000</v>
      </c>
      <c r="AK171" s="297">
        <v>36753623</v>
      </c>
      <c r="AL171" s="297">
        <v>32932146</v>
      </c>
      <c r="AM171" s="297">
        <v>16139435</v>
      </c>
      <c r="AN171" s="297">
        <v>1800000</v>
      </c>
      <c r="AO171" s="297">
        <v>19508133</v>
      </c>
      <c r="AP171" s="297">
        <v>0</v>
      </c>
      <c r="AQ171" s="296"/>
      <c r="AR171" s="297">
        <f t="shared" si="66"/>
        <v>800704000</v>
      </c>
      <c r="AS171" s="313" t="s">
        <v>137</v>
      </c>
      <c r="AT171" s="313" t="s">
        <v>137</v>
      </c>
      <c r="AU171" s="176" t="s">
        <v>138</v>
      </c>
    </row>
    <row r="172" spans="1:47" s="218" customFormat="1" ht="25.5" customHeight="1" outlineLevel="2">
      <c r="A172" s="215" t="s">
        <v>125</v>
      </c>
      <c r="B172" s="191">
        <v>33</v>
      </c>
      <c r="C172" s="191" t="s">
        <v>128</v>
      </c>
      <c r="D172" s="246" t="s">
        <v>149</v>
      </c>
      <c r="E172" s="191" t="s">
        <v>130</v>
      </c>
      <c r="F172" s="191" t="s">
        <v>140</v>
      </c>
      <c r="G172" s="191" t="s">
        <v>33</v>
      </c>
      <c r="H172" s="191" t="s">
        <v>54</v>
      </c>
      <c r="I172" s="258">
        <v>9</v>
      </c>
      <c r="J172" s="191" t="s">
        <v>83</v>
      </c>
      <c r="K172" s="192" t="s">
        <v>132</v>
      </c>
      <c r="L172" s="246" t="s">
        <v>83</v>
      </c>
      <c r="M172" s="861" t="s">
        <v>1604</v>
      </c>
      <c r="N172" s="246"/>
      <c r="O172" s="245" t="s">
        <v>183</v>
      </c>
      <c r="P172" s="246"/>
      <c r="Q172" s="192" t="s">
        <v>184</v>
      </c>
      <c r="R172" s="276"/>
      <c r="S172" s="277"/>
      <c r="T172" s="276"/>
      <c r="U172" s="276"/>
      <c r="V172" s="276"/>
      <c r="W172" s="276"/>
      <c r="X172" s="277"/>
      <c r="Y172" s="194">
        <v>100000000</v>
      </c>
      <c r="Z172" s="194">
        <f>+FRIL!J288</f>
        <v>0</v>
      </c>
      <c r="AA172" s="298"/>
      <c r="AB172" s="299">
        <v>100000000</v>
      </c>
      <c r="AC172" s="299">
        <f t="shared" si="53"/>
        <v>0</v>
      </c>
      <c r="AD172" s="299">
        <f t="shared" si="65"/>
        <v>100000000</v>
      </c>
      <c r="AE172" s="299">
        <v>0</v>
      </c>
      <c r="AF172" s="299">
        <v>0</v>
      </c>
      <c r="AG172" s="299">
        <v>0</v>
      </c>
      <c r="AH172" s="299">
        <v>0</v>
      </c>
      <c r="AI172" s="299">
        <v>0</v>
      </c>
      <c r="AJ172" s="297">
        <v>0</v>
      </c>
      <c r="AK172" s="299">
        <v>0</v>
      </c>
      <c r="AL172" s="299">
        <v>0</v>
      </c>
      <c r="AM172" s="299">
        <v>0</v>
      </c>
      <c r="AN172" s="299">
        <v>0</v>
      </c>
      <c r="AO172" s="297">
        <v>0</v>
      </c>
      <c r="AP172" s="299">
        <v>0</v>
      </c>
      <c r="AQ172" s="298"/>
      <c r="AR172" s="299">
        <f t="shared" si="66"/>
        <v>0</v>
      </c>
      <c r="AS172" s="314" t="s">
        <v>185</v>
      </c>
      <c r="AT172" s="314" t="s">
        <v>83</v>
      </c>
      <c r="AU172" s="192" t="s">
        <v>138</v>
      </c>
    </row>
    <row r="173" spans="1:47" s="218" customFormat="1" ht="25.5" customHeight="1" outlineLevel="2">
      <c r="A173" s="215" t="s">
        <v>125</v>
      </c>
      <c r="B173" s="151">
        <v>33</v>
      </c>
      <c r="C173" s="151" t="s">
        <v>128</v>
      </c>
      <c r="D173" s="245" t="s">
        <v>149</v>
      </c>
      <c r="E173" s="151" t="s">
        <v>130</v>
      </c>
      <c r="F173" s="151" t="s">
        <v>140</v>
      </c>
      <c r="G173" s="151" t="s">
        <v>33</v>
      </c>
      <c r="H173" s="151" t="s">
        <v>54</v>
      </c>
      <c r="I173" s="256">
        <v>9</v>
      </c>
      <c r="J173" s="151" t="s">
        <v>83</v>
      </c>
      <c r="K173" s="176" t="s">
        <v>132</v>
      </c>
      <c r="L173" s="245" t="s">
        <v>83</v>
      </c>
      <c r="M173" s="855"/>
      <c r="N173" s="245"/>
      <c r="O173" s="245" t="s">
        <v>183</v>
      </c>
      <c r="P173" s="245"/>
      <c r="Q173" s="176" t="s">
        <v>385</v>
      </c>
      <c r="R173" s="273"/>
      <c r="S173" s="274"/>
      <c r="T173" s="273"/>
      <c r="U173" s="273"/>
      <c r="V173" s="273"/>
      <c r="W173" s="273"/>
      <c r="X173" s="274"/>
      <c r="Y173" s="275">
        <v>200000000</v>
      </c>
      <c r="Z173" s="275">
        <f>+FRIL!J289</f>
        <v>0</v>
      </c>
      <c r="AA173" s="296"/>
      <c r="AB173" s="297">
        <v>200000000</v>
      </c>
      <c r="AC173" s="297">
        <f t="shared" si="53"/>
        <v>4257666</v>
      </c>
      <c r="AD173" s="297">
        <f t="shared" si="65"/>
        <v>195742334</v>
      </c>
      <c r="AE173" s="297">
        <v>0</v>
      </c>
      <c r="AF173" s="297">
        <v>0</v>
      </c>
      <c r="AG173" s="297">
        <v>0</v>
      </c>
      <c r="AH173" s="297">
        <v>0</v>
      </c>
      <c r="AI173" s="297">
        <v>0</v>
      </c>
      <c r="AJ173" s="297">
        <v>684580</v>
      </c>
      <c r="AK173" s="297">
        <v>0</v>
      </c>
      <c r="AL173" s="297">
        <v>0</v>
      </c>
      <c r="AM173" s="297">
        <v>0</v>
      </c>
      <c r="AN173" s="297">
        <v>0</v>
      </c>
      <c r="AO173" s="297">
        <f>+FRIL!L89</f>
        <v>3573086</v>
      </c>
      <c r="AP173" s="297">
        <v>0</v>
      </c>
      <c r="AQ173" s="296"/>
      <c r="AR173" s="297">
        <f t="shared" si="66"/>
        <v>0</v>
      </c>
      <c r="AS173" s="313" t="s">
        <v>185</v>
      </c>
      <c r="AT173" s="313" t="s">
        <v>83</v>
      </c>
      <c r="AU173" s="176" t="s">
        <v>138</v>
      </c>
    </row>
    <row r="174" spans="1:47" s="217" customFormat="1" ht="25.5" customHeight="1" outlineLevel="1">
      <c r="A174" s="215" t="s">
        <v>125</v>
      </c>
      <c r="B174" s="151">
        <v>31</v>
      </c>
      <c r="C174" s="151" t="s">
        <v>196</v>
      </c>
      <c r="D174" s="245" t="s">
        <v>164</v>
      </c>
      <c r="E174" s="151" t="s">
        <v>130</v>
      </c>
      <c r="F174" s="151" t="s">
        <v>140</v>
      </c>
      <c r="G174" s="151" t="s">
        <v>33</v>
      </c>
      <c r="H174" s="151" t="s">
        <v>54</v>
      </c>
      <c r="I174" s="256">
        <v>9</v>
      </c>
      <c r="J174" s="151" t="s">
        <v>80</v>
      </c>
      <c r="K174" s="176" t="s">
        <v>132</v>
      </c>
      <c r="L174" s="245">
        <v>20190549</v>
      </c>
      <c r="M174" s="855"/>
      <c r="N174" s="245"/>
      <c r="O174" s="245" t="s">
        <v>386</v>
      </c>
      <c r="P174" s="245"/>
      <c r="Q174" s="176" t="s">
        <v>387</v>
      </c>
      <c r="R174" s="273"/>
      <c r="S174" s="274"/>
      <c r="T174" s="273"/>
      <c r="U174" s="273"/>
      <c r="V174" s="273"/>
      <c r="W174" s="273"/>
      <c r="X174" s="274"/>
      <c r="Y174" s="275">
        <v>3987121039</v>
      </c>
      <c r="Z174" s="275">
        <v>3987121039</v>
      </c>
      <c r="AA174" s="296"/>
      <c r="AB174" s="297">
        <f>+Y174-Z174</f>
        <v>0</v>
      </c>
      <c r="AC174" s="297">
        <f t="shared" si="53"/>
        <v>0</v>
      </c>
      <c r="AD174" s="297">
        <f t="shared" si="65"/>
        <v>0</v>
      </c>
      <c r="AE174" s="297">
        <v>0</v>
      </c>
      <c r="AF174" s="297">
        <v>0</v>
      </c>
      <c r="AG174" s="297">
        <v>0</v>
      </c>
      <c r="AH174" s="297">
        <v>0</v>
      </c>
      <c r="AI174" s="297">
        <v>0</v>
      </c>
      <c r="AJ174" s="297">
        <v>0</v>
      </c>
      <c r="AK174" s="297">
        <v>0</v>
      </c>
      <c r="AL174" s="297">
        <v>0</v>
      </c>
      <c r="AM174" s="297">
        <v>0</v>
      </c>
      <c r="AN174" s="297">
        <v>0</v>
      </c>
      <c r="AO174" s="297">
        <v>0</v>
      </c>
      <c r="AP174" s="297">
        <v>0</v>
      </c>
      <c r="AQ174" s="296"/>
      <c r="AR174" s="297">
        <f t="shared" si="66"/>
        <v>0</v>
      </c>
      <c r="AS174" s="313" t="s">
        <v>137</v>
      </c>
      <c r="AT174" s="313" t="s">
        <v>137</v>
      </c>
      <c r="AU174" s="176" t="s">
        <v>301</v>
      </c>
    </row>
    <row r="175" spans="1:47" s="217" customFormat="1" ht="25.5" customHeight="1" outlineLevel="1">
      <c r="A175" s="215" t="s">
        <v>125</v>
      </c>
      <c r="B175" s="247"/>
      <c r="C175" s="247"/>
      <c r="D175" s="248"/>
      <c r="E175" s="249"/>
      <c r="F175" s="249"/>
      <c r="G175" s="249"/>
      <c r="H175" s="249"/>
      <c r="I175" s="249"/>
      <c r="J175" s="247"/>
      <c r="K175" s="259"/>
      <c r="L175" s="248"/>
      <c r="M175" s="248"/>
      <c r="N175" s="250"/>
      <c r="O175" s="250"/>
      <c r="P175" s="250"/>
      <c r="Q175" s="260" t="s">
        <v>187</v>
      </c>
      <c r="R175" s="278"/>
      <c r="S175" s="279"/>
      <c r="T175" s="279"/>
      <c r="U175" s="279"/>
      <c r="V175" s="279"/>
      <c r="W175" s="279"/>
      <c r="X175" s="281"/>
      <c r="Y175" s="286">
        <f>+Y166+Y167+Y168+Y169+Y170+Y172+Y173+Y174+Y171</f>
        <v>19146882427</v>
      </c>
      <c r="Z175" s="286">
        <f t="shared" ref="Z175:AP175" si="67">+Z166+Z167+Z168+Z169+Z170+Z172+Z173+Z174+Z171</f>
        <v>9223947042</v>
      </c>
      <c r="AA175" s="303"/>
      <c r="AB175" s="286">
        <f t="shared" si="67"/>
        <v>828034588</v>
      </c>
      <c r="AC175" s="286">
        <f t="shared" si="53"/>
        <v>218935515</v>
      </c>
      <c r="AD175" s="286">
        <f>+AD166+AD167+AD168+AD169+AD170+AD172+AD173+AD174+AD171</f>
        <v>609099073</v>
      </c>
      <c r="AE175" s="286">
        <f t="shared" si="67"/>
        <v>0</v>
      </c>
      <c r="AF175" s="286">
        <f t="shared" si="67"/>
        <v>0</v>
      </c>
      <c r="AG175" s="286">
        <f t="shared" si="67"/>
        <v>0</v>
      </c>
      <c r="AH175" s="286">
        <f t="shared" si="67"/>
        <v>0</v>
      </c>
      <c r="AI175" s="286">
        <f t="shared" si="67"/>
        <v>0</v>
      </c>
      <c r="AJ175" s="286">
        <v>4984580</v>
      </c>
      <c r="AK175" s="286">
        <v>36753623</v>
      </c>
      <c r="AL175" s="286">
        <v>32932146</v>
      </c>
      <c r="AM175" s="286">
        <f t="shared" si="67"/>
        <v>16139435</v>
      </c>
      <c r="AN175" s="286">
        <f t="shared" si="67"/>
        <v>1800000</v>
      </c>
      <c r="AO175" s="286">
        <f t="shared" si="67"/>
        <v>89615941</v>
      </c>
      <c r="AP175" s="286">
        <f t="shared" si="67"/>
        <v>36709790</v>
      </c>
      <c r="AQ175" s="287"/>
      <c r="AR175" s="286">
        <f t="shared" si="66"/>
        <v>9094900797</v>
      </c>
      <c r="AS175" s="315"/>
      <c r="AT175" s="315"/>
      <c r="AU175" s="220"/>
    </row>
    <row r="176" spans="1:47" ht="18.75" customHeight="1" outlineLevel="1">
      <c r="A176" s="215" t="s">
        <v>125</v>
      </c>
      <c r="B176" s="249"/>
      <c r="C176" s="249"/>
      <c r="D176" s="250"/>
      <c r="E176" s="249"/>
      <c r="F176" s="249"/>
      <c r="G176" s="249"/>
      <c r="H176" s="249"/>
      <c r="I176" s="249"/>
      <c r="J176" s="249"/>
      <c r="K176" s="261"/>
      <c r="L176" s="250"/>
      <c r="M176" s="250"/>
      <c r="N176" s="250"/>
      <c r="O176" s="250"/>
      <c r="P176" s="250"/>
      <c r="Q176" s="261"/>
      <c r="R176" s="283"/>
      <c r="S176" s="283"/>
      <c r="T176" s="283"/>
      <c r="U176" s="283"/>
      <c r="V176" s="283"/>
      <c r="W176" s="283"/>
      <c r="X176" s="283"/>
      <c r="Y176" s="284"/>
      <c r="Z176" s="284"/>
      <c r="AA176" s="301"/>
      <c r="AB176" s="301"/>
      <c r="AC176" s="301"/>
      <c r="AD176" s="301"/>
      <c r="AE176" s="301"/>
      <c r="AF176" s="301"/>
      <c r="AG176" s="301"/>
      <c r="AH176" s="301"/>
      <c r="AI176" s="301"/>
      <c r="AJ176" s="301"/>
      <c r="AK176" s="301"/>
      <c r="AL176" s="301"/>
      <c r="AM176" s="301"/>
      <c r="AN176" s="301"/>
      <c r="AO176" s="301"/>
      <c r="AP176" s="301"/>
      <c r="AQ176" s="301"/>
      <c r="AR176" s="301"/>
      <c r="AS176" s="316"/>
      <c r="AT176" s="316"/>
      <c r="AU176" s="317"/>
    </row>
    <row r="177" spans="1:47" s="217" customFormat="1" ht="25.5" customHeight="1" outlineLevel="1">
      <c r="A177" s="215" t="s">
        <v>125</v>
      </c>
      <c r="B177" s="247"/>
      <c r="C177" s="247"/>
      <c r="D177" s="248"/>
      <c r="E177" s="249"/>
      <c r="F177" s="249"/>
      <c r="G177" s="249"/>
      <c r="H177" s="249"/>
      <c r="I177" s="249"/>
      <c r="J177" s="247"/>
      <c r="K177" s="259"/>
      <c r="L177" s="248"/>
      <c r="M177" s="248"/>
      <c r="N177" s="250"/>
      <c r="O177" s="250"/>
      <c r="P177" s="250"/>
      <c r="Q177" s="99" t="s">
        <v>188</v>
      </c>
      <c r="R177" s="283"/>
      <c r="S177" s="283"/>
      <c r="T177" s="283"/>
      <c r="U177" s="283"/>
      <c r="V177" s="283"/>
      <c r="W177" s="283"/>
      <c r="X177" s="283"/>
      <c r="Y177" s="285"/>
      <c r="Z177" s="285"/>
      <c r="AA177" s="302"/>
      <c r="AB177" s="302"/>
      <c r="AC177" s="302"/>
      <c r="AD177" s="302"/>
      <c r="AE177" s="302"/>
      <c r="AF177" s="302"/>
      <c r="AG177" s="302"/>
      <c r="AH177" s="301"/>
      <c r="AI177" s="301"/>
      <c r="AJ177" s="301"/>
      <c r="AK177" s="301"/>
      <c r="AL177" s="301"/>
      <c r="AM177" s="301"/>
      <c r="AN177" s="301"/>
      <c r="AO177" s="301"/>
      <c r="AP177" s="301"/>
      <c r="AQ177" s="302"/>
      <c r="AR177" s="302"/>
      <c r="AS177" s="315"/>
      <c r="AT177" s="315"/>
      <c r="AU177" s="220"/>
    </row>
    <row r="178" spans="1:47" s="218" customFormat="1" ht="25.5" customHeight="1" outlineLevel="2">
      <c r="A178" s="215" t="s">
        <v>125</v>
      </c>
      <c r="B178" s="151">
        <v>31</v>
      </c>
      <c r="C178" s="151" t="s">
        <v>128</v>
      </c>
      <c r="D178" s="245" t="s">
        <v>164</v>
      </c>
      <c r="E178" s="151" t="s">
        <v>169</v>
      </c>
      <c r="F178" s="151" t="s">
        <v>140</v>
      </c>
      <c r="G178" s="151" t="s">
        <v>33</v>
      </c>
      <c r="H178" s="151" t="s">
        <v>54</v>
      </c>
      <c r="I178" s="256">
        <v>9</v>
      </c>
      <c r="J178" s="151" t="s">
        <v>80</v>
      </c>
      <c r="K178" s="176" t="s">
        <v>202</v>
      </c>
      <c r="L178" s="245">
        <v>30080922</v>
      </c>
      <c r="M178" s="855"/>
      <c r="N178" s="245" t="e">
        <v>#N/A</v>
      </c>
      <c r="O178" s="245" t="s">
        <v>388</v>
      </c>
      <c r="P178" s="257" t="s">
        <v>1527</v>
      </c>
      <c r="Q178" s="176" t="s">
        <v>389</v>
      </c>
      <c r="R178" s="273"/>
      <c r="S178" s="274"/>
      <c r="T178" s="273"/>
      <c r="U178" s="273" t="s">
        <v>1528</v>
      </c>
      <c r="V178" s="273">
        <v>23524000</v>
      </c>
      <c r="W178" s="273"/>
      <c r="X178" s="274"/>
      <c r="Y178" s="275">
        <v>23524000</v>
      </c>
      <c r="Z178" s="275">
        <v>0</v>
      </c>
      <c r="AA178" s="296"/>
      <c r="AB178" s="297">
        <v>14524000</v>
      </c>
      <c r="AC178" s="297">
        <f>SUBTOTAL(9,AE178:AP178)</f>
        <v>0</v>
      </c>
      <c r="AD178" s="297">
        <f t="shared" ref="AD178:AD183" si="68">+AB178-AC178</f>
        <v>14524000</v>
      </c>
      <c r="AE178" s="297">
        <v>0</v>
      </c>
      <c r="AF178" s="297">
        <v>0</v>
      </c>
      <c r="AG178" s="297">
        <v>0</v>
      </c>
      <c r="AH178" s="297">
        <v>0</v>
      </c>
      <c r="AI178" s="297">
        <v>0</v>
      </c>
      <c r="AJ178" s="297">
        <v>0</v>
      </c>
      <c r="AK178" s="297">
        <v>0</v>
      </c>
      <c r="AL178" s="297">
        <v>0</v>
      </c>
      <c r="AM178" s="297">
        <v>0</v>
      </c>
      <c r="AN178" s="297">
        <v>0</v>
      </c>
      <c r="AO178" s="297">
        <v>0</v>
      </c>
      <c r="AP178" s="297">
        <v>0</v>
      </c>
      <c r="AQ178" s="296"/>
      <c r="AR178" s="297">
        <f t="shared" ref="AR178:AR183" si="69">+Y178-Z178-AC178-AD178</f>
        <v>9000000</v>
      </c>
      <c r="AS178" s="313" t="s">
        <v>137</v>
      </c>
      <c r="AT178" s="313" t="s">
        <v>137</v>
      </c>
      <c r="AU178" s="176" t="s">
        <v>158</v>
      </c>
    </row>
    <row r="179" spans="1:47" s="218" customFormat="1" ht="25.5" customHeight="1" outlineLevel="2">
      <c r="A179" s="215" t="s">
        <v>125</v>
      </c>
      <c r="B179" s="151">
        <v>31</v>
      </c>
      <c r="C179" s="151" t="s">
        <v>128</v>
      </c>
      <c r="D179" s="245" t="s">
        <v>164</v>
      </c>
      <c r="E179" s="151" t="s">
        <v>169</v>
      </c>
      <c r="F179" s="151" t="s">
        <v>140</v>
      </c>
      <c r="G179" s="151" t="s">
        <v>33</v>
      </c>
      <c r="H179" s="151" t="s">
        <v>54</v>
      </c>
      <c r="I179" s="256">
        <v>9</v>
      </c>
      <c r="J179" s="151" t="s">
        <v>80</v>
      </c>
      <c r="K179" s="176" t="s">
        <v>202</v>
      </c>
      <c r="L179" s="245">
        <v>30080921</v>
      </c>
      <c r="M179" s="855"/>
      <c r="N179" s="245" t="s">
        <v>337</v>
      </c>
      <c r="O179" s="245" t="s">
        <v>390</v>
      </c>
      <c r="P179" s="323" t="s">
        <v>391</v>
      </c>
      <c r="Q179" s="176" t="s">
        <v>392</v>
      </c>
      <c r="R179" s="273" t="s">
        <v>393</v>
      </c>
      <c r="S179" s="274"/>
      <c r="T179" s="273"/>
      <c r="U179" s="273"/>
      <c r="V179" s="273"/>
      <c r="W179" s="273"/>
      <c r="X179" s="274"/>
      <c r="Y179" s="275">
        <v>22645000</v>
      </c>
      <c r="Z179" s="275">
        <v>0</v>
      </c>
      <c r="AA179" s="296"/>
      <c r="AB179" s="297">
        <v>22645000</v>
      </c>
      <c r="AC179" s="297">
        <f t="shared" si="53"/>
        <v>0</v>
      </c>
      <c r="AD179" s="297">
        <f t="shared" si="68"/>
        <v>22645000</v>
      </c>
      <c r="AE179" s="297">
        <v>0</v>
      </c>
      <c r="AF179" s="297">
        <v>0</v>
      </c>
      <c r="AG179" s="297">
        <v>0</v>
      </c>
      <c r="AH179" s="297">
        <v>0</v>
      </c>
      <c r="AI179" s="297">
        <v>0</v>
      </c>
      <c r="AJ179" s="297">
        <v>0</v>
      </c>
      <c r="AK179" s="297">
        <v>0</v>
      </c>
      <c r="AL179" s="297">
        <v>0</v>
      </c>
      <c r="AM179" s="297">
        <v>0</v>
      </c>
      <c r="AN179" s="297">
        <v>0</v>
      </c>
      <c r="AO179" s="297">
        <v>0</v>
      </c>
      <c r="AP179" s="297">
        <v>0</v>
      </c>
      <c r="AQ179" s="296"/>
      <c r="AR179" s="297">
        <f t="shared" si="69"/>
        <v>0</v>
      </c>
      <c r="AS179" s="313" t="s">
        <v>137</v>
      </c>
      <c r="AT179" s="313" t="s">
        <v>137</v>
      </c>
      <c r="AU179" s="176" t="s">
        <v>394</v>
      </c>
    </row>
    <row r="180" spans="1:47" s="218" customFormat="1" ht="25.5" customHeight="1" outlineLevel="2">
      <c r="A180" s="215" t="s">
        <v>125</v>
      </c>
      <c r="B180" s="151">
        <v>31</v>
      </c>
      <c r="C180" s="151" t="s">
        <v>128</v>
      </c>
      <c r="D180" s="245" t="s">
        <v>164</v>
      </c>
      <c r="E180" s="151" t="s">
        <v>169</v>
      </c>
      <c r="F180" s="151" t="s">
        <v>140</v>
      </c>
      <c r="G180" s="151" t="s">
        <v>33</v>
      </c>
      <c r="H180" s="151" t="s">
        <v>54</v>
      </c>
      <c r="I180" s="256">
        <v>9</v>
      </c>
      <c r="J180" s="151" t="s">
        <v>80</v>
      </c>
      <c r="K180" s="176" t="s">
        <v>202</v>
      </c>
      <c r="L180" s="245">
        <v>30270222</v>
      </c>
      <c r="M180" s="855"/>
      <c r="N180" s="245" t="s">
        <v>337</v>
      </c>
      <c r="O180" s="245" t="s">
        <v>395</v>
      </c>
      <c r="P180" s="343" t="s">
        <v>391</v>
      </c>
      <c r="Q180" s="176" t="s">
        <v>396</v>
      </c>
      <c r="R180" s="273"/>
      <c r="S180" s="274"/>
      <c r="T180" s="273"/>
      <c r="U180" s="273"/>
      <c r="V180" s="273"/>
      <c r="W180" s="273"/>
      <c r="X180" s="274"/>
      <c r="Y180" s="275">
        <v>22000000</v>
      </c>
      <c r="Z180" s="275">
        <v>0</v>
      </c>
      <c r="AA180" s="296"/>
      <c r="AB180" s="297">
        <v>17500000</v>
      </c>
      <c r="AC180" s="297">
        <f>SUBTOTAL(9,AE180:AP180)</f>
        <v>0</v>
      </c>
      <c r="AD180" s="297">
        <f t="shared" si="68"/>
        <v>17500000</v>
      </c>
      <c r="AE180" s="297">
        <v>0</v>
      </c>
      <c r="AF180" s="297">
        <v>0</v>
      </c>
      <c r="AG180" s="297">
        <v>0</v>
      </c>
      <c r="AH180" s="297">
        <v>0</v>
      </c>
      <c r="AI180" s="297">
        <v>0</v>
      </c>
      <c r="AJ180" s="297">
        <v>0</v>
      </c>
      <c r="AK180" s="297">
        <v>0</v>
      </c>
      <c r="AL180" s="297">
        <v>0</v>
      </c>
      <c r="AM180" s="297">
        <v>0</v>
      </c>
      <c r="AN180" s="297">
        <v>0</v>
      </c>
      <c r="AO180" s="297">
        <v>0</v>
      </c>
      <c r="AP180" s="297">
        <v>0</v>
      </c>
      <c r="AQ180" s="296"/>
      <c r="AR180" s="297">
        <f t="shared" si="69"/>
        <v>4500000</v>
      </c>
      <c r="AS180" s="313" t="s">
        <v>137</v>
      </c>
      <c r="AT180" s="313" t="s">
        <v>137</v>
      </c>
      <c r="AU180" s="176" t="s">
        <v>394</v>
      </c>
    </row>
    <row r="181" spans="1:47" s="217" customFormat="1" ht="25.5" customHeight="1" outlineLevel="1">
      <c r="A181" s="215" t="s">
        <v>125</v>
      </c>
      <c r="B181" s="151">
        <v>31</v>
      </c>
      <c r="C181" s="151" t="s">
        <v>196</v>
      </c>
      <c r="D181" s="245" t="s">
        <v>168</v>
      </c>
      <c r="E181" s="151" t="s">
        <v>130</v>
      </c>
      <c r="F181" s="151" t="s">
        <v>397</v>
      </c>
      <c r="G181" s="151" t="s">
        <v>33</v>
      </c>
      <c r="H181" s="151" t="s">
        <v>54</v>
      </c>
      <c r="I181" s="256">
        <v>9</v>
      </c>
      <c r="J181" s="151" t="s">
        <v>80</v>
      </c>
      <c r="K181" s="176" t="s">
        <v>132</v>
      </c>
      <c r="L181" s="245">
        <v>30429872</v>
      </c>
      <c r="M181" s="855" t="s">
        <v>1608</v>
      </c>
      <c r="N181" s="245" t="s">
        <v>373</v>
      </c>
      <c r="O181" s="245" t="s">
        <v>398</v>
      </c>
      <c r="P181" s="245"/>
      <c r="Q181" s="176" t="s">
        <v>399</v>
      </c>
      <c r="R181" s="273"/>
      <c r="S181" s="274"/>
      <c r="T181" s="273"/>
      <c r="U181" s="273" t="s">
        <v>400</v>
      </c>
      <c r="V181" s="273">
        <v>445639000</v>
      </c>
      <c r="W181" s="273"/>
      <c r="X181" s="274"/>
      <c r="Y181" s="275">
        <v>445639000</v>
      </c>
      <c r="Z181" s="275">
        <v>0</v>
      </c>
      <c r="AA181" s="296"/>
      <c r="AB181" s="297">
        <v>100000000</v>
      </c>
      <c r="AC181" s="297">
        <f t="shared" si="53"/>
        <v>0</v>
      </c>
      <c r="AD181" s="297">
        <f t="shared" si="68"/>
        <v>100000000</v>
      </c>
      <c r="AE181" s="297">
        <v>0</v>
      </c>
      <c r="AF181" s="297">
        <v>0</v>
      </c>
      <c r="AG181" s="297">
        <v>0</v>
      </c>
      <c r="AH181" s="297">
        <v>0</v>
      </c>
      <c r="AI181" s="297">
        <v>0</v>
      </c>
      <c r="AJ181" s="297">
        <v>0</v>
      </c>
      <c r="AK181" s="297">
        <v>0</v>
      </c>
      <c r="AL181" s="297">
        <v>0</v>
      </c>
      <c r="AM181" s="297">
        <v>0</v>
      </c>
      <c r="AN181" s="297">
        <v>0</v>
      </c>
      <c r="AO181" s="297">
        <v>0</v>
      </c>
      <c r="AP181" s="297">
        <v>0</v>
      </c>
      <c r="AQ181" s="296"/>
      <c r="AR181" s="297">
        <f t="shared" si="69"/>
        <v>345639000</v>
      </c>
      <c r="AS181" s="313" t="s">
        <v>137</v>
      </c>
      <c r="AT181" s="313" t="s">
        <v>137</v>
      </c>
      <c r="AU181" s="176" t="s">
        <v>195</v>
      </c>
    </row>
    <row r="182" spans="1:47" s="217" customFormat="1" ht="25.5" customHeight="1" outlineLevel="1">
      <c r="A182" s="215" t="s">
        <v>125</v>
      </c>
      <c r="B182" s="151">
        <v>31</v>
      </c>
      <c r="C182" s="151" t="s">
        <v>196</v>
      </c>
      <c r="D182" s="245" t="s">
        <v>139</v>
      </c>
      <c r="E182" s="151" t="s">
        <v>130</v>
      </c>
      <c r="F182" s="151" t="s">
        <v>140</v>
      </c>
      <c r="G182" s="151" t="s">
        <v>33</v>
      </c>
      <c r="H182" s="151" t="s">
        <v>54</v>
      </c>
      <c r="I182" s="256">
        <v>9</v>
      </c>
      <c r="J182" s="151" t="s">
        <v>80</v>
      </c>
      <c r="K182" s="176" t="s">
        <v>132</v>
      </c>
      <c r="L182" s="245">
        <v>30077490</v>
      </c>
      <c r="M182" s="855" t="s">
        <v>1608</v>
      </c>
      <c r="N182" s="245" t="s">
        <v>373</v>
      </c>
      <c r="O182" s="245" t="s">
        <v>401</v>
      </c>
      <c r="P182" s="245"/>
      <c r="Q182" s="176" t="s">
        <v>402</v>
      </c>
      <c r="R182" s="273" t="s">
        <v>403</v>
      </c>
      <c r="S182" s="274"/>
      <c r="T182" s="273"/>
      <c r="U182" s="273" t="s">
        <v>404</v>
      </c>
      <c r="V182" s="273">
        <v>2466782000</v>
      </c>
      <c r="W182" s="273"/>
      <c r="X182" s="274"/>
      <c r="Y182" s="326">
        <v>2466782000</v>
      </c>
      <c r="Z182" s="275">
        <v>0</v>
      </c>
      <c r="AA182" s="296"/>
      <c r="AB182" s="297">
        <v>50000000</v>
      </c>
      <c r="AC182" s="297">
        <f t="shared" si="53"/>
        <v>0</v>
      </c>
      <c r="AD182" s="297">
        <f t="shared" si="68"/>
        <v>50000000</v>
      </c>
      <c r="AE182" s="297">
        <v>0</v>
      </c>
      <c r="AF182" s="297">
        <v>0</v>
      </c>
      <c r="AG182" s="297">
        <v>0</v>
      </c>
      <c r="AH182" s="297">
        <v>0</v>
      </c>
      <c r="AI182" s="297">
        <v>0</v>
      </c>
      <c r="AJ182" s="297">
        <v>0</v>
      </c>
      <c r="AK182" s="297">
        <v>0</v>
      </c>
      <c r="AL182" s="297">
        <v>0</v>
      </c>
      <c r="AM182" s="297">
        <v>0</v>
      </c>
      <c r="AN182" s="297">
        <v>0</v>
      </c>
      <c r="AO182" s="297">
        <v>0</v>
      </c>
      <c r="AP182" s="297">
        <v>0</v>
      </c>
      <c r="AQ182" s="296"/>
      <c r="AR182" s="297">
        <f t="shared" si="69"/>
        <v>2416782000</v>
      </c>
      <c r="AS182" s="313" t="s">
        <v>137</v>
      </c>
      <c r="AT182" s="313" t="s">
        <v>137</v>
      </c>
      <c r="AU182" s="176" t="s">
        <v>195</v>
      </c>
    </row>
    <row r="183" spans="1:47" s="217" customFormat="1" ht="25.5" customHeight="1" outlineLevel="1">
      <c r="A183" s="215" t="s">
        <v>125</v>
      </c>
      <c r="B183" s="151">
        <v>31</v>
      </c>
      <c r="C183" s="151" t="s">
        <v>196</v>
      </c>
      <c r="D183" s="245" t="s">
        <v>144</v>
      </c>
      <c r="E183" s="151" t="s">
        <v>130</v>
      </c>
      <c r="F183" s="151" t="s">
        <v>140</v>
      </c>
      <c r="G183" s="151" t="s">
        <v>33</v>
      </c>
      <c r="H183" s="151" t="s">
        <v>54</v>
      </c>
      <c r="I183" s="256">
        <v>9</v>
      </c>
      <c r="J183" s="151" t="s">
        <v>80</v>
      </c>
      <c r="K183" s="176" t="s">
        <v>132</v>
      </c>
      <c r="L183" s="245">
        <v>30115395</v>
      </c>
      <c r="M183" s="855"/>
      <c r="N183" s="245"/>
      <c r="O183" s="245" t="s">
        <v>405</v>
      </c>
      <c r="P183" s="245"/>
      <c r="Q183" s="176" t="s">
        <v>406</v>
      </c>
      <c r="R183" s="273"/>
      <c r="S183" s="274"/>
      <c r="T183" s="273"/>
      <c r="U183" s="273" t="s">
        <v>407</v>
      </c>
      <c r="V183" s="273">
        <v>832941000</v>
      </c>
      <c r="W183" s="273"/>
      <c r="X183" s="274"/>
      <c r="Y183" s="275">
        <v>929015000</v>
      </c>
      <c r="Z183" s="275">
        <v>0</v>
      </c>
      <c r="AA183" s="296"/>
      <c r="AB183" s="297">
        <v>120000000</v>
      </c>
      <c r="AC183" s="297">
        <f t="shared" si="53"/>
        <v>0</v>
      </c>
      <c r="AD183" s="297">
        <f t="shared" si="68"/>
        <v>120000000</v>
      </c>
      <c r="AE183" s="297">
        <v>0</v>
      </c>
      <c r="AF183" s="297">
        <v>0</v>
      </c>
      <c r="AG183" s="297">
        <v>0</v>
      </c>
      <c r="AH183" s="297">
        <v>0</v>
      </c>
      <c r="AI183" s="297">
        <v>0</v>
      </c>
      <c r="AJ183" s="297">
        <v>0</v>
      </c>
      <c r="AK183" s="297">
        <v>0</v>
      </c>
      <c r="AL183" s="297">
        <v>0</v>
      </c>
      <c r="AM183" s="297">
        <v>0</v>
      </c>
      <c r="AN183" s="297">
        <v>0</v>
      </c>
      <c r="AO183" s="297">
        <v>0</v>
      </c>
      <c r="AP183" s="297">
        <v>0</v>
      </c>
      <c r="AQ183" s="296"/>
      <c r="AR183" s="297">
        <f t="shared" si="69"/>
        <v>809015000</v>
      </c>
      <c r="AS183" s="313" t="s">
        <v>137</v>
      </c>
      <c r="AT183" s="313" t="s">
        <v>137</v>
      </c>
      <c r="AU183" s="176" t="s">
        <v>195</v>
      </c>
    </row>
    <row r="184" spans="1:47" s="217" customFormat="1" ht="25.5" customHeight="1" outlineLevel="1">
      <c r="A184" s="215" t="s">
        <v>125</v>
      </c>
      <c r="B184" s="151">
        <v>31</v>
      </c>
      <c r="C184" s="151" t="s">
        <v>196</v>
      </c>
      <c r="D184" s="245" t="s">
        <v>129</v>
      </c>
      <c r="E184" s="151" t="s">
        <v>130</v>
      </c>
      <c r="F184" s="151" t="s">
        <v>131</v>
      </c>
      <c r="G184" s="151" t="s">
        <v>33</v>
      </c>
      <c r="H184" s="151" t="s">
        <v>54</v>
      </c>
      <c r="I184" s="256">
        <v>9</v>
      </c>
      <c r="J184" s="151" t="s">
        <v>81</v>
      </c>
      <c r="K184" s="176" t="s">
        <v>132</v>
      </c>
      <c r="L184" s="245">
        <v>40012877</v>
      </c>
      <c r="M184" s="855"/>
      <c r="N184" s="245"/>
      <c r="O184" s="245" t="s">
        <v>408</v>
      </c>
      <c r="P184" s="245"/>
      <c r="Q184" s="176" t="s">
        <v>409</v>
      </c>
      <c r="R184" s="273"/>
      <c r="S184" s="274"/>
      <c r="T184" s="273"/>
      <c r="U184" s="273"/>
      <c r="V184" s="273"/>
      <c r="W184" s="273"/>
      <c r="X184" s="274"/>
      <c r="Y184" s="275">
        <v>525598000</v>
      </c>
      <c r="Z184" s="275">
        <v>0</v>
      </c>
      <c r="AA184" s="296"/>
      <c r="AB184" s="297">
        <v>12000000</v>
      </c>
      <c r="AC184" s="297">
        <f t="shared" si="53"/>
        <v>0</v>
      </c>
      <c r="AD184" s="297">
        <f t="shared" ref="AD184:AD185" si="70">+AB184-AC184</f>
        <v>12000000</v>
      </c>
      <c r="AE184" s="297">
        <v>0</v>
      </c>
      <c r="AF184" s="297">
        <v>0</v>
      </c>
      <c r="AG184" s="297">
        <v>0</v>
      </c>
      <c r="AH184" s="297">
        <v>0</v>
      </c>
      <c r="AI184" s="297">
        <v>0</v>
      </c>
      <c r="AJ184" s="297">
        <v>0</v>
      </c>
      <c r="AK184" s="297">
        <v>0</v>
      </c>
      <c r="AL184" s="297">
        <v>0</v>
      </c>
      <c r="AM184" s="297">
        <v>0</v>
      </c>
      <c r="AN184" s="297">
        <v>0</v>
      </c>
      <c r="AO184" s="297">
        <v>0</v>
      </c>
      <c r="AP184" s="297">
        <v>0</v>
      </c>
      <c r="AQ184" s="296"/>
      <c r="AR184" s="297">
        <f t="shared" ref="AR184:AR185" si="71">+Y184-Z184-AC184-AD184</f>
        <v>513598000</v>
      </c>
      <c r="AS184" s="313" t="s">
        <v>137</v>
      </c>
      <c r="AT184" s="313" t="s">
        <v>137</v>
      </c>
      <c r="AU184" s="176" t="s">
        <v>190</v>
      </c>
    </row>
    <row r="185" spans="1:47" s="218" customFormat="1" ht="25.5" customHeight="1" outlineLevel="2">
      <c r="A185" s="215" t="s">
        <v>125</v>
      </c>
      <c r="B185" s="151">
        <v>31</v>
      </c>
      <c r="C185" s="151" t="s">
        <v>128</v>
      </c>
      <c r="D185" s="245" t="s">
        <v>164</v>
      </c>
      <c r="E185" s="151" t="s">
        <v>130</v>
      </c>
      <c r="F185" s="151" t="s">
        <v>140</v>
      </c>
      <c r="G185" s="151" t="s">
        <v>33</v>
      </c>
      <c r="H185" s="151" t="s">
        <v>54</v>
      </c>
      <c r="I185" s="256">
        <v>9</v>
      </c>
      <c r="J185" s="151" t="s">
        <v>80</v>
      </c>
      <c r="K185" s="176" t="s">
        <v>132</v>
      </c>
      <c r="L185" s="245">
        <v>30128140</v>
      </c>
      <c r="M185" s="855"/>
      <c r="N185" s="245" t="s">
        <v>337</v>
      </c>
      <c r="O185" s="245" t="s">
        <v>410</v>
      </c>
      <c r="P185" s="245"/>
      <c r="Q185" s="176" t="s">
        <v>411</v>
      </c>
      <c r="R185" s="273"/>
      <c r="S185" s="274"/>
      <c r="T185" s="273"/>
      <c r="U185" s="273"/>
      <c r="V185" s="273"/>
      <c r="W185" s="273"/>
      <c r="X185" s="274"/>
      <c r="Y185" s="275">
        <v>4090104000</v>
      </c>
      <c r="Z185" s="275">
        <v>4000000</v>
      </c>
      <c r="AA185" s="296"/>
      <c r="AB185" s="297">
        <f>400000000+98204000</f>
        <v>498204000</v>
      </c>
      <c r="AC185" s="297">
        <f t="shared" si="53"/>
        <v>0</v>
      </c>
      <c r="AD185" s="297">
        <f t="shared" si="70"/>
        <v>498204000</v>
      </c>
      <c r="AE185" s="297">
        <v>0</v>
      </c>
      <c r="AF185" s="297">
        <v>0</v>
      </c>
      <c r="AG185" s="297">
        <v>0</v>
      </c>
      <c r="AH185" s="297">
        <v>0</v>
      </c>
      <c r="AI185" s="297">
        <v>0</v>
      </c>
      <c r="AJ185" s="297">
        <v>0</v>
      </c>
      <c r="AK185" s="297">
        <v>0</v>
      </c>
      <c r="AL185" s="297">
        <v>0</v>
      </c>
      <c r="AM185" s="297">
        <v>0</v>
      </c>
      <c r="AN185" s="297">
        <v>0</v>
      </c>
      <c r="AO185" s="297">
        <v>0</v>
      </c>
      <c r="AP185" s="297">
        <v>0</v>
      </c>
      <c r="AQ185" s="296"/>
      <c r="AR185" s="297">
        <f t="shared" si="71"/>
        <v>3587900000</v>
      </c>
      <c r="AS185" s="313" t="s">
        <v>137</v>
      </c>
      <c r="AT185" s="313" t="s">
        <v>137</v>
      </c>
      <c r="AU185" s="176" t="s">
        <v>190</v>
      </c>
    </row>
    <row r="186" spans="1:47" s="217" customFormat="1" ht="25.5" customHeight="1" outlineLevel="1">
      <c r="A186" s="215" t="s">
        <v>125</v>
      </c>
      <c r="B186" s="247"/>
      <c r="C186" s="247"/>
      <c r="D186" s="248"/>
      <c r="E186" s="249"/>
      <c r="F186" s="249"/>
      <c r="G186" s="249"/>
      <c r="H186" s="249"/>
      <c r="I186" s="249"/>
      <c r="J186" s="247"/>
      <c r="K186" s="259"/>
      <c r="L186" s="248"/>
      <c r="M186" s="248"/>
      <c r="N186" s="250"/>
      <c r="O186" s="250"/>
      <c r="P186" s="250"/>
      <c r="Q186" s="260" t="s">
        <v>201</v>
      </c>
      <c r="R186" s="278"/>
      <c r="S186" s="279"/>
      <c r="T186" s="279"/>
      <c r="U186" s="279"/>
      <c r="V186" s="279"/>
      <c r="W186" s="279"/>
      <c r="X186" s="281"/>
      <c r="Y186" s="286">
        <f>SUM(Y178:Y185)</f>
        <v>8525307000</v>
      </c>
      <c r="Z186" s="286">
        <f>SUM(Z178:Z185)</f>
        <v>4000000</v>
      </c>
      <c r="AA186" s="303"/>
      <c r="AB186" s="286">
        <f t="shared" ref="AB186:AD186" si="72">SUM(AB178:AB185)</f>
        <v>834873000</v>
      </c>
      <c r="AC186" s="286">
        <f>SUBTOTAL(9,AE186:AP186)</f>
        <v>0</v>
      </c>
      <c r="AD186" s="286">
        <f t="shared" si="72"/>
        <v>834873000</v>
      </c>
      <c r="AE186" s="286">
        <f t="shared" ref="AE186" si="73">SUM(AE178:AE185)</f>
        <v>0</v>
      </c>
      <c r="AF186" s="286">
        <f t="shared" ref="AF186" si="74">SUM(AF178:AF185)</f>
        <v>0</v>
      </c>
      <c r="AG186" s="286">
        <f t="shared" ref="AG186" si="75">SUM(AG178:AG185)</f>
        <v>0</v>
      </c>
      <c r="AH186" s="286">
        <f t="shared" ref="AH186" si="76">SUM(AH178:AH185)</f>
        <v>0</v>
      </c>
      <c r="AI186" s="286">
        <f t="shared" ref="AI186" si="77">SUM(AI178:AI185)</f>
        <v>0</v>
      </c>
      <c r="AJ186" s="286">
        <v>0</v>
      </c>
      <c r="AK186" s="286">
        <f t="shared" ref="AK186" si="78">SUM(AK178:AK185)</f>
        <v>0</v>
      </c>
      <c r="AL186" s="286">
        <f t="shared" ref="AL186" si="79">SUM(AL178:AL185)</f>
        <v>0</v>
      </c>
      <c r="AM186" s="286">
        <f t="shared" ref="AM186" si="80">SUM(AM178:AM185)</f>
        <v>0</v>
      </c>
      <c r="AN186" s="286">
        <f t="shared" ref="AN186" si="81">SUM(AN178:AN185)</f>
        <v>0</v>
      </c>
      <c r="AO186" s="286">
        <f t="shared" ref="AO186" si="82">SUM(AO178:AO185)</f>
        <v>0</v>
      </c>
      <c r="AP186" s="286">
        <f t="shared" ref="AP186" si="83">SUM(AP178:AP185)</f>
        <v>0</v>
      </c>
      <c r="AQ186" s="287"/>
      <c r="AR186" s="286">
        <f>+Y186-Z186-AC186-AD186</f>
        <v>7686434000</v>
      </c>
      <c r="AS186" s="315"/>
      <c r="AT186" s="315"/>
      <c r="AU186" s="220"/>
    </row>
    <row r="187" spans="1:47" ht="18.75" customHeight="1" outlineLevel="1">
      <c r="A187" s="215" t="s">
        <v>125</v>
      </c>
      <c r="B187" s="249"/>
      <c r="C187" s="249"/>
      <c r="D187" s="250"/>
      <c r="E187" s="249"/>
      <c r="F187" s="249"/>
      <c r="G187" s="249"/>
      <c r="H187" s="249"/>
      <c r="I187" s="249"/>
      <c r="J187" s="249"/>
      <c r="K187" s="261"/>
      <c r="L187" s="250"/>
      <c r="M187" s="250"/>
      <c r="N187" s="250"/>
      <c r="O187" s="250"/>
      <c r="P187" s="250"/>
      <c r="Q187" s="261"/>
      <c r="R187" s="283"/>
      <c r="S187" s="283"/>
      <c r="T187" s="283"/>
      <c r="U187" s="283"/>
      <c r="V187" s="283"/>
      <c r="W187" s="283"/>
      <c r="X187" s="283"/>
      <c r="Y187" s="284"/>
      <c r="Z187" s="284"/>
      <c r="AA187" s="301"/>
      <c r="AB187" s="301"/>
      <c r="AC187" s="301"/>
      <c r="AD187" s="301"/>
      <c r="AE187" s="301"/>
      <c r="AF187" s="301"/>
      <c r="AG187" s="301"/>
      <c r="AH187" s="301"/>
      <c r="AI187" s="301"/>
      <c r="AJ187" s="301"/>
      <c r="AK187" s="301"/>
      <c r="AL187" s="301"/>
      <c r="AM187" s="301"/>
      <c r="AN187" s="301"/>
      <c r="AO187" s="301"/>
      <c r="AP187" s="301"/>
      <c r="AQ187" s="301"/>
      <c r="AR187" s="301"/>
      <c r="AS187" s="316"/>
      <c r="AT187" s="316"/>
      <c r="AU187" s="317"/>
    </row>
    <row r="188" spans="1:47" s="219" customFormat="1" ht="24.75" customHeight="1" outlineLevel="1">
      <c r="A188" s="215" t="s">
        <v>125</v>
      </c>
      <c r="B188" s="251"/>
      <c r="C188" s="249"/>
      <c r="D188" s="250"/>
      <c r="E188" s="249"/>
      <c r="F188" s="249"/>
      <c r="G188" s="249"/>
      <c r="H188" s="249"/>
      <c r="I188" s="249"/>
      <c r="J188" s="251"/>
      <c r="K188" s="263"/>
      <c r="L188" s="252"/>
      <c r="M188" s="252"/>
      <c r="N188" s="252"/>
      <c r="O188" s="252"/>
      <c r="P188" s="252"/>
      <c r="Q188" s="117" t="s">
        <v>412</v>
      </c>
      <c r="R188" s="288"/>
      <c r="S188" s="289"/>
      <c r="T188" s="289"/>
      <c r="U188" s="289"/>
      <c r="V188" s="289"/>
      <c r="W188" s="289"/>
      <c r="X188" s="290"/>
      <c r="Y188" s="118">
        <f>+Y175+Y186</f>
        <v>27672189427</v>
      </c>
      <c r="Z188" s="118">
        <f>+Z175+Z186</f>
        <v>9227947042</v>
      </c>
      <c r="AA188" s="304"/>
      <c r="AB188" s="118">
        <f t="shared" ref="AB188:AP188" si="84">+AB175+AB186</f>
        <v>1662907588</v>
      </c>
      <c r="AC188" s="118">
        <f t="shared" si="84"/>
        <v>218935515</v>
      </c>
      <c r="AD188" s="118">
        <f t="shared" si="84"/>
        <v>1443972073</v>
      </c>
      <c r="AE188" s="118">
        <f t="shared" si="84"/>
        <v>0</v>
      </c>
      <c r="AF188" s="118">
        <f t="shared" si="84"/>
        <v>0</v>
      </c>
      <c r="AG188" s="118">
        <f t="shared" si="84"/>
        <v>0</v>
      </c>
      <c r="AH188" s="118">
        <f t="shared" si="84"/>
        <v>0</v>
      </c>
      <c r="AI188" s="118">
        <f t="shared" si="84"/>
        <v>0</v>
      </c>
      <c r="AJ188" s="118">
        <v>4984580</v>
      </c>
      <c r="AK188" s="118">
        <f t="shared" si="84"/>
        <v>36753623</v>
      </c>
      <c r="AL188" s="118">
        <f t="shared" si="84"/>
        <v>32932146</v>
      </c>
      <c r="AM188" s="118">
        <f t="shared" si="84"/>
        <v>16139435</v>
      </c>
      <c r="AN188" s="118">
        <f t="shared" si="84"/>
        <v>1800000</v>
      </c>
      <c r="AO188" s="118">
        <f t="shared" si="84"/>
        <v>89615941</v>
      </c>
      <c r="AP188" s="118">
        <f t="shared" si="84"/>
        <v>36709790</v>
      </c>
      <c r="AQ188" s="318"/>
      <c r="AR188" s="118">
        <f>+Y188-Z188-AC188-AD188</f>
        <v>16781334797</v>
      </c>
      <c r="AS188" s="333"/>
      <c r="AT188" s="333"/>
      <c r="AU188" s="320"/>
    </row>
    <row r="189" spans="1:47" ht="18.75" customHeight="1" outlineLevel="1">
      <c r="A189" s="215" t="s">
        <v>125</v>
      </c>
      <c r="B189" s="249"/>
      <c r="C189" s="249"/>
      <c r="D189" s="250"/>
      <c r="E189" s="249"/>
      <c r="F189" s="249"/>
      <c r="G189" s="249"/>
      <c r="H189" s="249"/>
      <c r="I189" s="249"/>
      <c r="J189" s="249"/>
      <c r="K189" s="261"/>
      <c r="L189" s="250"/>
      <c r="M189" s="250"/>
      <c r="N189" s="250"/>
      <c r="O189" s="250"/>
      <c r="P189" s="250"/>
      <c r="Q189" s="261"/>
      <c r="R189" s="283"/>
      <c r="S189" s="283"/>
      <c r="T189" s="283"/>
      <c r="U189" s="283"/>
      <c r="V189" s="283"/>
      <c r="W189" s="283"/>
      <c r="X189" s="283"/>
      <c r="Y189" s="284"/>
      <c r="Z189" s="284"/>
      <c r="AA189" s="301"/>
      <c r="AB189" s="301"/>
      <c r="AC189" s="301"/>
      <c r="AD189" s="301"/>
      <c r="AE189" s="301"/>
      <c r="AF189" s="301"/>
      <c r="AG189" s="301"/>
      <c r="AH189" s="301"/>
      <c r="AI189" s="301"/>
      <c r="AJ189" s="301"/>
      <c r="AK189" s="301"/>
      <c r="AL189" s="301"/>
      <c r="AM189" s="301"/>
      <c r="AN189" s="301"/>
      <c r="AO189" s="301"/>
      <c r="AP189" s="301"/>
      <c r="AQ189" s="301"/>
      <c r="AR189" s="301"/>
      <c r="AS189" s="316"/>
      <c r="AT189" s="316"/>
      <c r="AU189" s="317"/>
    </row>
    <row r="190" spans="1:47" ht="26.25" customHeight="1" outlineLevel="1">
      <c r="A190" s="215" t="s">
        <v>125</v>
      </c>
      <c r="B190" s="249"/>
      <c r="C190" s="249"/>
      <c r="D190" s="250"/>
      <c r="E190" s="249"/>
      <c r="F190" s="249"/>
      <c r="G190" s="249"/>
      <c r="H190" s="249"/>
      <c r="I190" s="249"/>
      <c r="J190" s="249"/>
      <c r="K190" s="261"/>
      <c r="L190" s="250"/>
      <c r="M190" s="250"/>
      <c r="N190" s="250"/>
      <c r="O190" s="250"/>
      <c r="P190" s="250"/>
      <c r="Q190" s="264" t="s">
        <v>413</v>
      </c>
      <c r="R190" s="283"/>
      <c r="S190" s="283"/>
      <c r="T190" s="283"/>
      <c r="U190" s="283"/>
      <c r="V190" s="283"/>
      <c r="W190" s="283"/>
      <c r="X190" s="283"/>
      <c r="Y190" s="284"/>
      <c r="Z190" s="284"/>
      <c r="AA190" s="301"/>
      <c r="AB190" s="301"/>
      <c r="AC190" s="301"/>
      <c r="AD190" s="301"/>
      <c r="AE190" s="301"/>
      <c r="AF190" s="301"/>
      <c r="AG190" s="301"/>
      <c r="AH190" s="301"/>
      <c r="AI190" s="301"/>
      <c r="AJ190" s="301"/>
      <c r="AK190" s="301"/>
      <c r="AL190" s="301"/>
      <c r="AM190" s="301"/>
      <c r="AN190" s="301"/>
      <c r="AO190" s="301"/>
      <c r="AP190" s="301"/>
      <c r="AQ190" s="301"/>
      <c r="AR190" s="301"/>
      <c r="AS190" s="316"/>
      <c r="AT190" s="316"/>
      <c r="AU190" s="317"/>
    </row>
    <row r="191" spans="1:47" s="216" customFormat="1" ht="15" customHeight="1" outlineLevel="1">
      <c r="A191" s="215" t="s">
        <v>125</v>
      </c>
      <c r="B191" s="249"/>
      <c r="C191" s="249"/>
      <c r="D191" s="250"/>
      <c r="E191" s="249"/>
      <c r="F191" s="249"/>
      <c r="G191" s="249"/>
      <c r="H191" s="249"/>
      <c r="I191" s="249"/>
      <c r="J191" s="249"/>
      <c r="K191" s="261"/>
      <c r="L191" s="250"/>
      <c r="M191" s="250"/>
      <c r="N191" s="250"/>
      <c r="O191" s="250"/>
      <c r="P191" s="250"/>
      <c r="Q191" s="255"/>
      <c r="R191" s="283"/>
      <c r="S191" s="283"/>
      <c r="T191" s="283"/>
      <c r="U191" s="283"/>
      <c r="V191" s="283"/>
      <c r="W191" s="283"/>
      <c r="X191" s="283"/>
      <c r="Y191" s="284"/>
      <c r="Z191" s="284"/>
      <c r="AA191" s="301"/>
      <c r="AB191" s="301"/>
      <c r="AC191" s="301"/>
      <c r="AD191" s="301"/>
      <c r="AE191" s="301"/>
      <c r="AF191" s="301"/>
      <c r="AG191" s="301"/>
      <c r="AH191" s="301"/>
      <c r="AI191" s="301"/>
      <c r="AJ191" s="301"/>
      <c r="AK191" s="301"/>
      <c r="AL191" s="301"/>
      <c r="AM191" s="301"/>
      <c r="AN191" s="301"/>
      <c r="AO191" s="301"/>
      <c r="AP191" s="301"/>
      <c r="AQ191" s="301"/>
      <c r="AR191" s="301"/>
      <c r="AS191" s="316"/>
      <c r="AT191" s="316"/>
      <c r="AU191" s="317"/>
    </row>
    <row r="192" spans="1:47" s="217" customFormat="1" ht="25.5" customHeight="1" outlineLevel="1">
      <c r="A192" s="215" t="s">
        <v>125</v>
      </c>
      <c r="B192" s="247"/>
      <c r="C192" s="247"/>
      <c r="D192" s="248"/>
      <c r="E192" s="249"/>
      <c r="F192" s="249"/>
      <c r="G192" s="249"/>
      <c r="H192" s="249"/>
      <c r="I192" s="249"/>
      <c r="J192" s="247"/>
      <c r="K192" s="259"/>
      <c r="L192" s="248"/>
      <c r="M192" s="248"/>
      <c r="N192" s="250"/>
      <c r="O192" s="250"/>
      <c r="P192" s="250"/>
      <c r="Q192" s="99" t="s">
        <v>127</v>
      </c>
      <c r="R192" s="283"/>
      <c r="S192" s="283"/>
      <c r="T192" s="367"/>
      <c r="U192" s="367"/>
      <c r="V192" s="283"/>
      <c r="W192" s="283"/>
      <c r="X192" s="283"/>
      <c r="Y192" s="285"/>
      <c r="Z192" s="285"/>
      <c r="AA192" s="302"/>
      <c r="AB192" s="302"/>
      <c r="AC192" s="302"/>
      <c r="AD192" s="302"/>
      <c r="AE192" s="302"/>
      <c r="AF192" s="302"/>
      <c r="AG192" s="302"/>
      <c r="AH192" s="301"/>
      <c r="AI192" s="301"/>
      <c r="AJ192" s="301"/>
      <c r="AK192" s="301"/>
      <c r="AL192" s="301"/>
      <c r="AM192" s="301"/>
      <c r="AN192" s="301"/>
      <c r="AO192" s="301"/>
      <c r="AP192" s="301"/>
      <c r="AQ192" s="302"/>
      <c r="AR192" s="302"/>
      <c r="AS192" s="315"/>
      <c r="AT192" s="315"/>
      <c r="AU192" s="220"/>
    </row>
    <row r="193" spans="1:47" s="217" customFormat="1" ht="25.5" customHeight="1" outlineLevel="1">
      <c r="A193" s="215" t="s">
        <v>125</v>
      </c>
      <c r="B193" s="151">
        <v>24</v>
      </c>
      <c r="C193" s="151" t="s">
        <v>196</v>
      </c>
      <c r="D193" s="245" t="s">
        <v>251</v>
      </c>
      <c r="E193" s="151" t="s">
        <v>169</v>
      </c>
      <c r="F193" s="151" t="s">
        <v>140</v>
      </c>
      <c r="G193" s="151" t="s">
        <v>33</v>
      </c>
      <c r="H193" s="151" t="s">
        <v>48</v>
      </c>
      <c r="I193" s="256">
        <v>10</v>
      </c>
      <c r="J193" s="151" t="s">
        <v>84</v>
      </c>
      <c r="K193" s="176" t="s">
        <v>132</v>
      </c>
      <c r="L193" s="245">
        <v>30133915</v>
      </c>
      <c r="M193" s="855"/>
      <c r="N193" s="250"/>
      <c r="O193" s="245" t="s">
        <v>1443</v>
      </c>
      <c r="P193" s="250"/>
      <c r="Q193" s="176" t="s">
        <v>414</v>
      </c>
      <c r="R193" s="283"/>
      <c r="S193" s="283"/>
      <c r="T193" s="367"/>
      <c r="U193" s="367"/>
      <c r="V193" s="283"/>
      <c r="W193" s="283"/>
      <c r="X193" s="283"/>
      <c r="Y193" s="275">
        <v>300000000</v>
      </c>
      <c r="Z193" s="297">
        <v>0</v>
      </c>
      <c r="AA193" s="302"/>
      <c r="AB193" s="297">
        <v>300000000</v>
      </c>
      <c r="AC193" s="297">
        <f t="shared" ref="AC193:AC232" si="85">SUBTOTAL(9,AE193:AP193)</f>
        <v>113656769</v>
      </c>
      <c r="AD193" s="297">
        <f>+AB193-AC193</f>
        <v>186343231</v>
      </c>
      <c r="AE193" s="297">
        <v>0</v>
      </c>
      <c r="AF193" s="297">
        <v>0</v>
      </c>
      <c r="AG193" s="297">
        <v>0</v>
      </c>
      <c r="AH193" s="297">
        <v>0</v>
      </c>
      <c r="AI193" s="297">
        <v>0</v>
      </c>
      <c r="AJ193" s="297">
        <v>0</v>
      </c>
      <c r="AK193" s="297">
        <v>35920984</v>
      </c>
      <c r="AL193" s="297">
        <v>0</v>
      </c>
      <c r="AM193" s="297">
        <v>15827056</v>
      </c>
      <c r="AN193" s="297">
        <v>31320144</v>
      </c>
      <c r="AO193" s="297">
        <v>30588585</v>
      </c>
      <c r="AP193" s="297">
        <v>0</v>
      </c>
      <c r="AQ193" s="296"/>
      <c r="AR193" s="297">
        <f t="shared" ref="AR193:AR205" si="86">+Y193-Z193-AC193-AD193</f>
        <v>0</v>
      </c>
      <c r="AS193" s="313" t="s">
        <v>415</v>
      </c>
      <c r="AT193" s="313" t="s">
        <v>1480</v>
      </c>
      <c r="AU193" s="176" t="s">
        <v>138</v>
      </c>
    </row>
    <row r="194" spans="1:47" s="218" customFormat="1" ht="25.5" customHeight="1" outlineLevel="2">
      <c r="A194" s="215" t="s">
        <v>125</v>
      </c>
      <c r="B194" s="151">
        <v>31</v>
      </c>
      <c r="C194" s="151" t="s">
        <v>128</v>
      </c>
      <c r="D194" s="245" t="s">
        <v>149</v>
      </c>
      <c r="E194" s="151" t="s">
        <v>169</v>
      </c>
      <c r="F194" s="151" t="s">
        <v>140</v>
      </c>
      <c r="G194" s="151" t="s">
        <v>33</v>
      </c>
      <c r="H194" s="151" t="s">
        <v>48</v>
      </c>
      <c r="I194" s="256">
        <v>10</v>
      </c>
      <c r="J194" s="151" t="s">
        <v>80</v>
      </c>
      <c r="K194" s="176" t="s">
        <v>132</v>
      </c>
      <c r="L194" s="245">
        <v>30087299</v>
      </c>
      <c r="M194" s="855"/>
      <c r="N194" s="245" t="s">
        <v>373</v>
      </c>
      <c r="O194" s="245" t="s">
        <v>416</v>
      </c>
      <c r="P194" s="245"/>
      <c r="Q194" s="176" t="s">
        <v>417</v>
      </c>
      <c r="R194" s="273" t="s">
        <v>418</v>
      </c>
      <c r="S194" s="274"/>
      <c r="T194" s="327">
        <v>1294012000</v>
      </c>
      <c r="U194" s="327"/>
      <c r="V194" s="273"/>
      <c r="W194" s="273"/>
      <c r="X194" s="274"/>
      <c r="Y194" s="275">
        <v>1283216463</v>
      </c>
      <c r="Z194" s="275">
        <v>1063778013</v>
      </c>
      <c r="AA194" s="296"/>
      <c r="AB194" s="297">
        <v>216909034</v>
      </c>
      <c r="AC194" s="297">
        <f t="shared" si="85"/>
        <v>82320466</v>
      </c>
      <c r="AD194" s="297">
        <f>+AB194-AC194</f>
        <v>134588568</v>
      </c>
      <c r="AE194" s="297">
        <v>0</v>
      </c>
      <c r="AF194" s="297">
        <v>0</v>
      </c>
      <c r="AG194" s="297">
        <v>0</v>
      </c>
      <c r="AH194" s="297">
        <v>0</v>
      </c>
      <c r="AI194" s="297">
        <v>0</v>
      </c>
      <c r="AJ194" s="297">
        <v>41382967</v>
      </c>
      <c r="AK194" s="297">
        <v>40937499</v>
      </c>
      <c r="AL194" s="297">
        <v>0</v>
      </c>
      <c r="AM194" s="297">
        <v>0</v>
      </c>
      <c r="AN194" s="297">
        <v>0</v>
      </c>
      <c r="AO194" s="297">
        <v>0</v>
      </c>
      <c r="AP194" s="297">
        <v>0</v>
      </c>
      <c r="AQ194" s="296"/>
      <c r="AR194" s="297">
        <f t="shared" si="86"/>
        <v>2529416</v>
      </c>
      <c r="AS194" s="313" t="s">
        <v>137</v>
      </c>
      <c r="AT194" s="313" t="s">
        <v>137</v>
      </c>
      <c r="AU194" s="176" t="s">
        <v>138</v>
      </c>
    </row>
    <row r="195" spans="1:47" s="221" customFormat="1" ht="21" customHeight="1" outlineLevel="2">
      <c r="A195" s="221" t="s">
        <v>419</v>
      </c>
      <c r="B195" s="348"/>
      <c r="C195" s="348"/>
      <c r="D195" s="348"/>
      <c r="E195" s="348"/>
      <c r="F195" s="348"/>
      <c r="G195" s="348"/>
      <c r="H195" s="348"/>
      <c r="I195" s="351"/>
      <c r="J195" s="352"/>
      <c r="L195" s="353"/>
      <c r="M195" s="353"/>
      <c r="N195" s="354" t="e">
        <v>#N/A</v>
      </c>
      <c r="O195" s="354"/>
      <c r="P195" s="354"/>
      <c r="Q195" s="355" t="s">
        <v>420</v>
      </c>
      <c r="R195" s="368"/>
      <c r="S195" s="368"/>
      <c r="T195" s="369">
        <v>18392000</v>
      </c>
      <c r="U195" s="369"/>
      <c r="V195" s="370"/>
      <c r="W195" s="371"/>
      <c r="X195" s="372"/>
      <c r="Y195" s="373">
        <v>18392000</v>
      </c>
      <c r="Z195" s="373"/>
      <c r="AA195" s="372"/>
      <c r="AB195" s="373"/>
      <c r="AC195" s="383"/>
      <c r="AD195" s="383"/>
      <c r="AE195" s="383"/>
      <c r="AF195" s="383"/>
      <c r="AG195" s="383"/>
      <c r="AM195" s="384"/>
      <c r="AN195" s="383"/>
      <c r="AO195" s="353"/>
      <c r="AP195" s="383"/>
      <c r="AR195" s="383">
        <f t="shared" si="86"/>
        <v>18392000</v>
      </c>
    </row>
    <row r="196" spans="1:47" s="221" customFormat="1" ht="21" customHeight="1" outlineLevel="2">
      <c r="A196" s="221" t="s">
        <v>419</v>
      </c>
      <c r="B196" s="349"/>
      <c r="C196" s="349"/>
      <c r="D196" s="349"/>
      <c r="E196" s="349"/>
      <c r="F196" s="349"/>
      <c r="G196" s="349"/>
      <c r="H196" s="349"/>
      <c r="J196" s="356"/>
      <c r="L196" s="353"/>
      <c r="M196" s="353"/>
      <c r="N196" s="357" t="e">
        <v>#N/A</v>
      </c>
      <c r="O196" s="358"/>
      <c r="P196" s="358"/>
      <c r="Q196" s="359" t="s">
        <v>421</v>
      </c>
      <c r="R196" s="368"/>
      <c r="S196" s="368"/>
      <c r="T196" s="374">
        <v>6404000</v>
      </c>
      <c r="U196" s="374"/>
      <c r="V196" s="375"/>
      <c r="W196" s="376"/>
      <c r="X196" s="372"/>
      <c r="Y196" s="377">
        <v>6404000</v>
      </c>
      <c r="Z196" s="377"/>
      <c r="AA196" s="372"/>
      <c r="AB196" s="377"/>
      <c r="AC196" s="381"/>
      <c r="AD196" s="381"/>
      <c r="AE196" s="381"/>
      <c r="AF196" s="381"/>
      <c r="AG196" s="381"/>
      <c r="AH196" s="385"/>
      <c r="AI196" s="385"/>
      <c r="AJ196" s="385"/>
      <c r="AK196" s="385"/>
      <c r="AL196" s="385"/>
      <c r="AM196" s="386"/>
      <c r="AN196" s="381"/>
      <c r="AO196" s="387"/>
      <c r="AP196" s="381"/>
      <c r="AR196" s="381">
        <f t="shared" si="86"/>
        <v>6404000</v>
      </c>
    </row>
    <row r="197" spans="1:47" s="221" customFormat="1" ht="21" customHeight="1" outlineLevel="2">
      <c r="A197" s="221" t="s">
        <v>419</v>
      </c>
      <c r="B197" s="349"/>
      <c r="C197" s="349"/>
      <c r="D197" s="349"/>
      <c r="E197" s="349"/>
      <c r="F197" s="349"/>
      <c r="G197" s="349"/>
      <c r="H197" s="349"/>
      <c r="J197" s="356"/>
      <c r="L197" s="353"/>
      <c r="M197" s="353"/>
      <c r="N197" s="357" t="e">
        <v>#N/A</v>
      </c>
      <c r="O197" s="357"/>
      <c r="P197" s="357"/>
      <c r="Q197" s="360" t="s">
        <v>422</v>
      </c>
      <c r="R197" s="368"/>
      <c r="S197" s="368"/>
      <c r="T197" s="378">
        <v>73180000</v>
      </c>
      <c r="U197" s="378"/>
      <c r="V197" s="379"/>
      <c r="W197" s="380"/>
      <c r="X197" s="372"/>
      <c r="Y197" s="381">
        <v>73180000</v>
      </c>
      <c r="Z197" s="381"/>
      <c r="AA197" s="372"/>
      <c r="AB197" s="381"/>
      <c r="AC197" s="381"/>
      <c r="AD197" s="381"/>
      <c r="AE197" s="381"/>
      <c r="AF197" s="381"/>
      <c r="AG197" s="381"/>
      <c r="AH197" s="385"/>
      <c r="AI197" s="385"/>
      <c r="AJ197" s="385"/>
      <c r="AK197" s="385"/>
      <c r="AL197" s="385"/>
      <c r="AM197" s="386"/>
      <c r="AN197" s="381"/>
      <c r="AO197" s="387"/>
      <c r="AP197" s="381"/>
      <c r="AR197" s="381">
        <f t="shared" si="86"/>
        <v>73180000</v>
      </c>
    </row>
    <row r="198" spans="1:47" s="221" customFormat="1" ht="21" customHeight="1" outlineLevel="2">
      <c r="A198" s="221" t="s">
        <v>419</v>
      </c>
      <c r="B198" s="349"/>
      <c r="C198" s="349"/>
      <c r="D198" s="349"/>
      <c r="E198" s="349"/>
      <c r="F198" s="349"/>
      <c r="G198" s="349"/>
      <c r="H198" s="349"/>
      <c r="J198" s="356"/>
      <c r="L198" s="353"/>
      <c r="M198" s="353"/>
      <c r="N198" s="357" t="e">
        <v>#N/A</v>
      </c>
      <c r="O198" s="357"/>
      <c r="P198" s="357"/>
      <c r="Q198" s="360" t="s">
        <v>423</v>
      </c>
      <c r="R198" s="368"/>
      <c r="S198" s="368"/>
      <c r="T198" s="378"/>
      <c r="U198" s="378"/>
      <c r="V198" s="379"/>
      <c r="W198" s="380"/>
      <c r="X198" s="372"/>
      <c r="Y198" s="381">
        <v>0</v>
      </c>
      <c r="Z198" s="381"/>
      <c r="AA198" s="372"/>
      <c r="AB198" s="381"/>
      <c r="AC198" s="381"/>
      <c r="AD198" s="381"/>
      <c r="AE198" s="381"/>
      <c r="AF198" s="381"/>
      <c r="AG198" s="381"/>
      <c r="AH198" s="385"/>
      <c r="AI198" s="385"/>
      <c r="AJ198" s="385"/>
      <c r="AK198" s="385"/>
      <c r="AL198" s="385"/>
      <c r="AM198" s="386"/>
      <c r="AN198" s="381"/>
      <c r="AO198" s="387"/>
      <c r="AP198" s="381"/>
      <c r="AR198" s="381">
        <f t="shared" si="86"/>
        <v>0</v>
      </c>
    </row>
    <row r="199" spans="1:47" s="221" customFormat="1" ht="21" customHeight="1" outlineLevel="2">
      <c r="A199" s="221" t="s">
        <v>419</v>
      </c>
      <c r="B199" s="349"/>
      <c r="C199" s="349"/>
      <c r="D199" s="349"/>
      <c r="E199" s="349"/>
      <c r="F199" s="349"/>
      <c r="G199" s="349"/>
      <c r="H199" s="349"/>
      <c r="J199" s="356"/>
      <c r="L199" s="353"/>
      <c r="M199" s="353"/>
      <c r="N199" s="357" t="e">
        <v>#N/A</v>
      </c>
      <c r="O199" s="357"/>
      <c r="P199" s="357"/>
      <c r="Q199" s="360" t="s">
        <v>424</v>
      </c>
      <c r="R199" s="368"/>
      <c r="S199" s="368"/>
      <c r="T199" s="378">
        <v>1196036000</v>
      </c>
      <c r="U199" s="378"/>
      <c r="V199" s="379"/>
      <c r="W199" s="380"/>
      <c r="X199" s="372"/>
      <c r="Y199" s="381">
        <v>1196036000</v>
      </c>
      <c r="Z199" s="381"/>
      <c r="AA199" s="372"/>
      <c r="AB199" s="381"/>
      <c r="AC199" s="381"/>
      <c r="AD199" s="381"/>
      <c r="AE199" s="381"/>
      <c r="AF199" s="381"/>
      <c r="AG199" s="381"/>
      <c r="AH199" s="385"/>
      <c r="AI199" s="385"/>
      <c r="AJ199" s="385"/>
      <c r="AK199" s="385"/>
      <c r="AL199" s="385"/>
      <c r="AM199" s="386"/>
      <c r="AN199" s="381"/>
      <c r="AO199" s="387"/>
      <c r="AP199" s="381"/>
      <c r="AR199" s="381">
        <f t="shared" si="86"/>
        <v>1196036000</v>
      </c>
    </row>
    <row r="200" spans="1:47" s="222" customFormat="1" ht="15.75" customHeight="1" outlineLevel="2">
      <c r="A200" s="222" t="s">
        <v>419</v>
      </c>
      <c r="B200" s="350"/>
      <c r="C200" s="350"/>
      <c r="D200" s="350"/>
      <c r="E200" s="350"/>
      <c r="F200" s="350"/>
      <c r="G200" s="350"/>
      <c r="H200" s="350"/>
      <c r="I200" s="361"/>
      <c r="J200" s="362"/>
      <c r="L200" s="363"/>
      <c r="M200" s="363"/>
      <c r="N200" s="364"/>
      <c r="O200" s="365"/>
      <c r="P200" s="365"/>
      <c r="Q200" s="366"/>
      <c r="R200" s="284"/>
      <c r="S200" s="284"/>
      <c r="T200" s="367"/>
      <c r="U200" s="367"/>
      <c r="V200" s="284"/>
      <c r="W200" s="301"/>
      <c r="X200" s="382"/>
      <c r="Y200" s="382"/>
      <c r="Z200" s="382"/>
      <c r="AA200" s="382"/>
      <c r="AB200" s="382"/>
      <c r="AC200" s="382"/>
      <c r="AD200" s="382"/>
      <c r="AE200" s="382"/>
      <c r="AF200" s="382"/>
      <c r="AG200" s="382"/>
      <c r="AM200" s="388"/>
      <c r="AN200" s="382"/>
      <c r="AO200" s="363"/>
      <c r="AP200" s="382"/>
      <c r="AR200" s="382">
        <f t="shared" si="86"/>
        <v>0</v>
      </c>
    </row>
    <row r="201" spans="1:47" s="218" customFormat="1" ht="25.5" customHeight="1" outlineLevel="2">
      <c r="A201" s="215" t="s">
        <v>125</v>
      </c>
      <c r="B201" s="151">
        <v>31</v>
      </c>
      <c r="C201" s="151" t="s">
        <v>128</v>
      </c>
      <c r="D201" s="245" t="s">
        <v>139</v>
      </c>
      <c r="E201" s="151" t="s">
        <v>130</v>
      </c>
      <c r="F201" s="151" t="s">
        <v>140</v>
      </c>
      <c r="G201" s="151" t="s">
        <v>33</v>
      </c>
      <c r="H201" s="151" t="s">
        <v>48</v>
      </c>
      <c r="I201" s="256">
        <v>10</v>
      </c>
      <c r="J201" s="151" t="s">
        <v>80</v>
      </c>
      <c r="K201" s="176" t="s">
        <v>132</v>
      </c>
      <c r="L201" s="245">
        <v>20086686</v>
      </c>
      <c r="M201" s="855" t="s">
        <v>1608</v>
      </c>
      <c r="N201" s="245" t="s">
        <v>373</v>
      </c>
      <c r="O201" s="245" t="s">
        <v>425</v>
      </c>
      <c r="P201" s="245"/>
      <c r="Q201" s="176" t="s">
        <v>426</v>
      </c>
      <c r="R201" s="273" t="s">
        <v>427</v>
      </c>
      <c r="S201" s="274"/>
      <c r="T201" s="273"/>
      <c r="U201" s="273"/>
      <c r="V201" s="273"/>
      <c r="W201" s="273"/>
      <c r="X201" s="274"/>
      <c r="Y201" s="275">
        <v>9889982000</v>
      </c>
      <c r="Z201" s="275">
        <v>168015250</v>
      </c>
      <c r="AA201" s="296"/>
      <c r="AB201" s="297">
        <f>500000000-100000000</f>
        <v>400000000</v>
      </c>
      <c r="AC201" s="297">
        <f t="shared" si="85"/>
        <v>0</v>
      </c>
      <c r="AD201" s="297">
        <f>+AB201-AC201</f>
        <v>400000000</v>
      </c>
      <c r="AE201" s="297">
        <v>0</v>
      </c>
      <c r="AF201" s="297">
        <v>0</v>
      </c>
      <c r="AG201" s="297">
        <v>0</v>
      </c>
      <c r="AH201" s="297">
        <v>0</v>
      </c>
      <c r="AI201" s="297">
        <v>0</v>
      </c>
      <c r="AJ201" s="297">
        <v>0</v>
      </c>
      <c r="AK201" s="297">
        <v>0</v>
      </c>
      <c r="AL201" s="297">
        <v>0</v>
      </c>
      <c r="AM201" s="297">
        <v>0</v>
      </c>
      <c r="AN201" s="297">
        <v>0</v>
      </c>
      <c r="AO201" s="297">
        <v>0</v>
      </c>
      <c r="AP201" s="297">
        <v>0</v>
      </c>
      <c r="AQ201" s="296"/>
      <c r="AR201" s="297">
        <f t="shared" si="86"/>
        <v>9321966750</v>
      </c>
      <c r="AS201" s="313" t="s">
        <v>137</v>
      </c>
      <c r="AT201" s="313" t="s">
        <v>137</v>
      </c>
      <c r="AU201" s="176" t="s">
        <v>138</v>
      </c>
    </row>
    <row r="202" spans="1:47" s="218" customFormat="1" ht="25.5" customHeight="1" outlineLevel="2">
      <c r="A202" s="215" t="s">
        <v>125</v>
      </c>
      <c r="B202" s="151">
        <v>31</v>
      </c>
      <c r="C202" s="151" t="s">
        <v>128</v>
      </c>
      <c r="D202" s="245" t="s">
        <v>139</v>
      </c>
      <c r="E202" s="151" t="s">
        <v>169</v>
      </c>
      <c r="F202" s="151" t="s">
        <v>140</v>
      </c>
      <c r="G202" s="151" t="s">
        <v>33</v>
      </c>
      <c r="H202" s="151" t="s">
        <v>48</v>
      </c>
      <c r="I202" s="256">
        <v>10</v>
      </c>
      <c r="J202" s="151" t="s">
        <v>80</v>
      </c>
      <c r="K202" s="176" t="s">
        <v>202</v>
      </c>
      <c r="L202" s="245">
        <v>30326322</v>
      </c>
      <c r="M202" s="855"/>
      <c r="N202" s="245" t="s">
        <v>337</v>
      </c>
      <c r="O202" s="245" t="s">
        <v>428</v>
      </c>
      <c r="P202" s="245"/>
      <c r="Q202" s="176" t="s">
        <v>429</v>
      </c>
      <c r="R202" s="273"/>
      <c r="S202" s="274"/>
      <c r="T202" s="273"/>
      <c r="U202" s="273"/>
      <c r="V202" s="273"/>
      <c r="W202" s="273"/>
      <c r="X202" s="274"/>
      <c r="Y202" s="275">
        <v>290974000</v>
      </c>
      <c r="Z202" s="275">
        <v>200000000</v>
      </c>
      <c r="AA202" s="296"/>
      <c r="AB202" s="297">
        <v>90974000</v>
      </c>
      <c r="AC202" s="297">
        <f t="shared" si="85"/>
        <v>0</v>
      </c>
      <c r="AD202" s="297">
        <f>+AB202-AC202</f>
        <v>90974000</v>
      </c>
      <c r="AE202" s="297">
        <v>0</v>
      </c>
      <c r="AF202" s="297">
        <v>0</v>
      </c>
      <c r="AG202" s="297">
        <v>0</v>
      </c>
      <c r="AH202" s="297">
        <v>0</v>
      </c>
      <c r="AI202" s="297">
        <v>0</v>
      </c>
      <c r="AJ202" s="297">
        <v>0</v>
      </c>
      <c r="AK202" s="297">
        <v>0</v>
      </c>
      <c r="AL202" s="297">
        <v>0</v>
      </c>
      <c r="AM202" s="297">
        <v>0</v>
      </c>
      <c r="AN202" s="297">
        <v>0</v>
      </c>
      <c r="AO202" s="297">
        <v>0</v>
      </c>
      <c r="AP202" s="297">
        <v>0</v>
      </c>
      <c r="AQ202" s="296"/>
      <c r="AR202" s="297">
        <f t="shared" si="86"/>
        <v>0</v>
      </c>
      <c r="AS202" s="313" t="s">
        <v>137</v>
      </c>
      <c r="AT202" s="313" t="s">
        <v>137</v>
      </c>
      <c r="AU202" s="176" t="s">
        <v>138</v>
      </c>
    </row>
    <row r="203" spans="1:47" s="218" customFormat="1" ht="25.5" customHeight="1" outlineLevel="2">
      <c r="A203" s="215" t="s">
        <v>125</v>
      </c>
      <c r="B203" s="191">
        <v>33</v>
      </c>
      <c r="C203" s="191" t="s">
        <v>128</v>
      </c>
      <c r="D203" s="246" t="s">
        <v>149</v>
      </c>
      <c r="E203" s="191" t="s">
        <v>130</v>
      </c>
      <c r="F203" s="191" t="s">
        <v>140</v>
      </c>
      <c r="G203" s="191" t="s">
        <v>33</v>
      </c>
      <c r="H203" s="191" t="s">
        <v>48</v>
      </c>
      <c r="I203" s="258">
        <v>10</v>
      </c>
      <c r="J203" s="191" t="s">
        <v>83</v>
      </c>
      <c r="K203" s="192" t="s">
        <v>132</v>
      </c>
      <c r="L203" s="246" t="s">
        <v>83</v>
      </c>
      <c r="M203" s="861" t="s">
        <v>1604</v>
      </c>
      <c r="N203" s="246"/>
      <c r="O203" s="245" t="s">
        <v>183</v>
      </c>
      <c r="P203" s="246"/>
      <c r="Q203" s="192" t="s">
        <v>184</v>
      </c>
      <c r="R203" s="276"/>
      <c r="S203" s="277"/>
      <c r="T203" s="276"/>
      <c r="U203" s="276"/>
      <c r="V203" s="276"/>
      <c r="W203" s="276"/>
      <c r="X203" s="277"/>
      <c r="Y203" s="194">
        <v>100000000</v>
      </c>
      <c r="Z203" s="194">
        <v>0</v>
      </c>
      <c r="AA203" s="298"/>
      <c r="AB203" s="299">
        <v>100000000</v>
      </c>
      <c r="AC203" s="299">
        <f t="shared" si="85"/>
        <v>0</v>
      </c>
      <c r="AD203" s="299">
        <f>+AB203-AC203</f>
        <v>100000000</v>
      </c>
      <c r="AE203" s="299">
        <v>0</v>
      </c>
      <c r="AF203" s="299">
        <v>0</v>
      </c>
      <c r="AG203" s="299">
        <v>0</v>
      </c>
      <c r="AH203" s="299">
        <v>0</v>
      </c>
      <c r="AI203" s="299">
        <v>0</v>
      </c>
      <c r="AJ203" s="297">
        <v>0</v>
      </c>
      <c r="AK203" s="299">
        <v>0</v>
      </c>
      <c r="AL203" s="299">
        <v>0</v>
      </c>
      <c r="AM203" s="299">
        <v>0</v>
      </c>
      <c r="AN203" s="299">
        <v>0</v>
      </c>
      <c r="AO203" s="297">
        <v>0</v>
      </c>
      <c r="AP203" s="299">
        <v>0</v>
      </c>
      <c r="AQ203" s="298"/>
      <c r="AR203" s="299">
        <f t="shared" si="86"/>
        <v>0</v>
      </c>
      <c r="AS203" s="314" t="s">
        <v>185</v>
      </c>
      <c r="AT203" s="314" t="s">
        <v>83</v>
      </c>
      <c r="AU203" s="192" t="s">
        <v>138</v>
      </c>
    </row>
    <row r="204" spans="1:47" s="218" customFormat="1" ht="25.5" customHeight="1" outlineLevel="2">
      <c r="A204" s="215" t="s">
        <v>125</v>
      </c>
      <c r="B204" s="151">
        <v>33</v>
      </c>
      <c r="C204" s="151" t="s">
        <v>128</v>
      </c>
      <c r="D204" s="245" t="s">
        <v>149</v>
      </c>
      <c r="E204" s="151" t="s">
        <v>130</v>
      </c>
      <c r="F204" s="151" t="s">
        <v>140</v>
      </c>
      <c r="G204" s="151" t="s">
        <v>33</v>
      </c>
      <c r="H204" s="151" t="s">
        <v>48</v>
      </c>
      <c r="I204" s="256">
        <v>10</v>
      </c>
      <c r="J204" s="151" t="s">
        <v>83</v>
      </c>
      <c r="K204" s="176" t="s">
        <v>132</v>
      </c>
      <c r="L204" s="245" t="s">
        <v>83</v>
      </c>
      <c r="M204" s="855"/>
      <c r="N204" s="245"/>
      <c r="O204" s="245" t="s">
        <v>183</v>
      </c>
      <c r="P204" s="245"/>
      <c r="Q204" s="176" t="s">
        <v>385</v>
      </c>
      <c r="R204" s="273"/>
      <c r="S204" s="274"/>
      <c r="T204" s="273"/>
      <c r="U204" s="273"/>
      <c r="V204" s="273"/>
      <c r="W204" s="273"/>
      <c r="X204" s="274"/>
      <c r="Y204" s="275">
        <v>200000000</v>
      </c>
      <c r="Z204" s="275">
        <v>0</v>
      </c>
      <c r="AA204" s="296"/>
      <c r="AB204" s="297">
        <v>200000000</v>
      </c>
      <c r="AC204" s="297">
        <f t="shared" si="85"/>
        <v>91627806</v>
      </c>
      <c r="AD204" s="297">
        <f>+AB204-AC204</f>
        <v>108372194</v>
      </c>
      <c r="AE204" s="297">
        <v>0</v>
      </c>
      <c r="AF204" s="297">
        <v>0</v>
      </c>
      <c r="AG204" s="297">
        <v>0</v>
      </c>
      <c r="AH204" s="297">
        <v>0</v>
      </c>
      <c r="AI204" s="297">
        <v>0</v>
      </c>
      <c r="AJ204" s="297">
        <v>14021603</v>
      </c>
      <c r="AK204" s="297">
        <v>7264992</v>
      </c>
      <c r="AL204" s="297">
        <v>0</v>
      </c>
      <c r="AM204" s="297">
        <v>61444815</v>
      </c>
      <c r="AN204" s="297">
        <v>8896396</v>
      </c>
      <c r="AO204" s="297">
        <f>+FRIL!L103</f>
        <v>0</v>
      </c>
      <c r="AP204" s="297">
        <v>0</v>
      </c>
      <c r="AQ204" s="296"/>
      <c r="AR204" s="297">
        <f t="shared" si="86"/>
        <v>0</v>
      </c>
      <c r="AS204" s="313" t="s">
        <v>185</v>
      </c>
      <c r="AT204" s="313" t="s">
        <v>83</v>
      </c>
      <c r="AU204" s="176" t="s">
        <v>138</v>
      </c>
    </row>
    <row r="205" spans="1:47" s="217" customFormat="1" ht="25.5" customHeight="1" outlineLevel="1">
      <c r="A205" s="215" t="s">
        <v>125</v>
      </c>
      <c r="B205" s="247"/>
      <c r="C205" s="247"/>
      <c r="D205" s="248"/>
      <c r="E205" s="249"/>
      <c r="F205" s="249"/>
      <c r="G205" s="249"/>
      <c r="H205" s="249"/>
      <c r="I205" s="249"/>
      <c r="J205" s="247"/>
      <c r="K205" s="259"/>
      <c r="L205" s="248"/>
      <c r="M205" s="248"/>
      <c r="N205" s="250"/>
      <c r="O205" s="250"/>
      <c r="P205" s="250"/>
      <c r="Q205" s="260" t="s">
        <v>187</v>
      </c>
      <c r="R205" s="278"/>
      <c r="S205" s="279"/>
      <c r="T205" s="279"/>
      <c r="U205" s="279"/>
      <c r="V205" s="279"/>
      <c r="W205" s="279"/>
      <c r="X205" s="281"/>
      <c r="Y205" s="286">
        <f>+Y194+Y201+Y202+Y203+Y204+Y193</f>
        <v>12064172463</v>
      </c>
      <c r="Z205" s="286">
        <f>+Z194+Z201+Z202+Z203+Z204+Z193</f>
        <v>1431793263</v>
      </c>
      <c r="AA205" s="303"/>
      <c r="AB205" s="286">
        <f t="shared" ref="AB205:AP205" si="87">+AB194+AB201+AB202+AB203+AB204+AB193</f>
        <v>1307883034</v>
      </c>
      <c r="AC205" s="286">
        <f>SUBTOTAL(9,AE205:AP205)</f>
        <v>287605041</v>
      </c>
      <c r="AD205" s="286">
        <f t="shared" si="87"/>
        <v>1020277993</v>
      </c>
      <c r="AE205" s="286">
        <f t="shared" si="87"/>
        <v>0</v>
      </c>
      <c r="AF205" s="286">
        <f t="shared" si="87"/>
        <v>0</v>
      </c>
      <c r="AG205" s="286">
        <f t="shared" si="87"/>
        <v>0</v>
      </c>
      <c r="AH205" s="286">
        <f t="shared" si="87"/>
        <v>0</v>
      </c>
      <c r="AI205" s="286">
        <f t="shared" si="87"/>
        <v>0</v>
      </c>
      <c r="AJ205" s="286">
        <v>55404570</v>
      </c>
      <c r="AK205" s="286">
        <f t="shared" si="87"/>
        <v>84123475</v>
      </c>
      <c r="AL205" s="286">
        <f t="shared" si="87"/>
        <v>0</v>
      </c>
      <c r="AM205" s="286">
        <f t="shared" si="87"/>
        <v>77271871</v>
      </c>
      <c r="AN205" s="286">
        <f t="shared" si="87"/>
        <v>40216540</v>
      </c>
      <c r="AO205" s="286">
        <f t="shared" si="87"/>
        <v>30588585</v>
      </c>
      <c r="AP205" s="286">
        <f t="shared" si="87"/>
        <v>0</v>
      </c>
      <c r="AQ205" s="287"/>
      <c r="AR205" s="286">
        <f t="shared" si="86"/>
        <v>9324496166</v>
      </c>
      <c r="AS205" s="315"/>
      <c r="AT205" s="315"/>
      <c r="AU205" s="220"/>
    </row>
    <row r="206" spans="1:47" ht="18.75" customHeight="1" outlineLevel="1">
      <c r="A206" s="215" t="s">
        <v>125</v>
      </c>
      <c r="B206" s="249"/>
      <c r="C206" s="249"/>
      <c r="D206" s="250"/>
      <c r="E206" s="249"/>
      <c r="F206" s="249"/>
      <c r="G206" s="249"/>
      <c r="H206" s="249"/>
      <c r="I206" s="249"/>
      <c r="J206" s="249"/>
      <c r="K206" s="261"/>
      <c r="L206" s="250"/>
      <c r="M206" s="250"/>
      <c r="N206" s="250"/>
      <c r="O206" s="250"/>
      <c r="P206" s="250"/>
      <c r="Q206" s="261"/>
      <c r="R206" s="283"/>
      <c r="S206" s="283"/>
      <c r="T206" s="283"/>
      <c r="U206" s="283"/>
      <c r="V206" s="283"/>
      <c r="W206" s="283"/>
      <c r="X206" s="283"/>
      <c r="Y206" s="284"/>
      <c r="Z206" s="284"/>
      <c r="AA206" s="301"/>
      <c r="AB206" s="301"/>
      <c r="AC206" s="301"/>
      <c r="AD206" s="301"/>
      <c r="AE206" s="301"/>
      <c r="AF206" s="301"/>
      <c r="AG206" s="301"/>
      <c r="AH206" s="301"/>
      <c r="AI206" s="301"/>
      <c r="AJ206" s="301"/>
      <c r="AK206" s="301"/>
      <c r="AL206" s="301"/>
      <c r="AM206" s="301"/>
      <c r="AN206" s="301"/>
      <c r="AO206" s="301"/>
      <c r="AP206" s="301"/>
      <c r="AQ206" s="301"/>
      <c r="AR206" s="301"/>
      <c r="AS206" s="316"/>
      <c r="AT206" s="316"/>
      <c r="AU206" s="317"/>
    </row>
    <row r="207" spans="1:47" s="217" customFormat="1" ht="24" customHeight="1" outlineLevel="1">
      <c r="A207" s="215" t="s">
        <v>125</v>
      </c>
      <c r="B207" s="247"/>
      <c r="C207" s="247"/>
      <c r="D207" s="248"/>
      <c r="E207" s="249"/>
      <c r="F207" s="249"/>
      <c r="G207" s="249"/>
      <c r="H207" s="249"/>
      <c r="I207" s="249"/>
      <c r="J207" s="247"/>
      <c r="K207" s="259"/>
      <c r="L207" s="248"/>
      <c r="M207" s="248"/>
      <c r="N207" s="250"/>
      <c r="O207" s="250"/>
      <c r="P207" s="250"/>
      <c r="Q207" s="99" t="s">
        <v>188</v>
      </c>
      <c r="R207" s="283"/>
      <c r="S207" s="283"/>
      <c r="T207" s="283"/>
      <c r="U207" s="283"/>
      <c r="V207" s="283"/>
      <c r="W207" s="283"/>
      <c r="X207" s="283"/>
      <c r="Y207" s="285"/>
      <c r="Z207" s="285"/>
      <c r="AA207" s="302"/>
      <c r="AB207" s="302"/>
      <c r="AC207" s="302"/>
      <c r="AD207" s="302"/>
      <c r="AE207" s="302"/>
      <c r="AF207" s="302"/>
      <c r="AG207" s="302"/>
      <c r="AH207" s="301"/>
      <c r="AI207" s="301"/>
      <c r="AJ207" s="301"/>
      <c r="AK207" s="301"/>
      <c r="AL207" s="301"/>
      <c r="AM207" s="301"/>
      <c r="AN207" s="301"/>
      <c r="AO207" s="301"/>
      <c r="AP207" s="301"/>
      <c r="AQ207" s="302"/>
      <c r="AR207" s="302"/>
      <c r="AS207" s="315"/>
      <c r="AT207" s="315"/>
      <c r="AU207" s="220"/>
    </row>
    <row r="208" spans="1:47" s="217" customFormat="1" ht="25.5" customHeight="1" outlineLevel="1">
      <c r="A208" s="215" t="s">
        <v>125</v>
      </c>
      <c r="B208" s="151">
        <v>31</v>
      </c>
      <c r="C208" s="151" t="s">
        <v>196</v>
      </c>
      <c r="D208" s="245" t="s">
        <v>204</v>
      </c>
      <c r="E208" s="151" t="s">
        <v>130</v>
      </c>
      <c r="F208" s="151" t="s">
        <v>140</v>
      </c>
      <c r="G208" s="151" t="s">
        <v>33</v>
      </c>
      <c r="H208" s="151" t="s">
        <v>48</v>
      </c>
      <c r="I208" s="256">
        <v>10</v>
      </c>
      <c r="J208" s="151" t="s">
        <v>86</v>
      </c>
      <c r="K208" s="176" t="s">
        <v>132</v>
      </c>
      <c r="L208" s="245">
        <v>30135967</v>
      </c>
      <c r="M208" s="855"/>
      <c r="N208" s="245"/>
      <c r="O208" s="245" t="s">
        <v>430</v>
      </c>
      <c r="P208" s="245"/>
      <c r="Q208" s="176" t="s">
        <v>431</v>
      </c>
      <c r="R208" s="273"/>
      <c r="S208" s="274"/>
      <c r="T208" s="273"/>
      <c r="U208" s="273"/>
      <c r="V208" s="273"/>
      <c r="W208" s="273"/>
      <c r="X208" s="274"/>
      <c r="Y208" s="275">
        <v>1553691000</v>
      </c>
      <c r="Z208" s="275">
        <v>0</v>
      </c>
      <c r="AA208" s="296"/>
      <c r="AB208" s="297">
        <v>388423000</v>
      </c>
      <c r="AC208" s="297">
        <f t="shared" si="85"/>
        <v>0</v>
      </c>
      <c r="AD208" s="297">
        <f>+AB208-AC208</f>
        <v>388423000</v>
      </c>
      <c r="AE208" s="297">
        <v>0</v>
      </c>
      <c r="AF208" s="297">
        <v>0</v>
      </c>
      <c r="AG208" s="297">
        <v>0</v>
      </c>
      <c r="AH208" s="297">
        <v>0</v>
      </c>
      <c r="AI208" s="297">
        <v>0</v>
      </c>
      <c r="AJ208" s="297">
        <v>0</v>
      </c>
      <c r="AK208" s="297">
        <v>0</v>
      </c>
      <c r="AL208" s="297">
        <v>0</v>
      </c>
      <c r="AM208" s="297">
        <v>0</v>
      </c>
      <c r="AN208" s="297">
        <v>0</v>
      </c>
      <c r="AO208" s="297">
        <v>0</v>
      </c>
      <c r="AP208" s="297">
        <v>0</v>
      </c>
      <c r="AQ208" s="296"/>
      <c r="AR208" s="297">
        <f>+Y208-Z208-AC208-AD208</f>
        <v>1165268000</v>
      </c>
      <c r="AS208" s="313" t="s">
        <v>137</v>
      </c>
      <c r="AT208" s="313" t="s">
        <v>137</v>
      </c>
      <c r="AU208" s="176" t="s">
        <v>195</v>
      </c>
    </row>
    <row r="209" spans="1:47" s="217" customFormat="1" ht="25.5" customHeight="1" outlineLevel="1">
      <c r="A209" s="215" t="s">
        <v>125</v>
      </c>
      <c r="B209" s="151">
        <v>31</v>
      </c>
      <c r="C209" s="151" t="s">
        <v>196</v>
      </c>
      <c r="D209" s="245" t="s">
        <v>129</v>
      </c>
      <c r="E209" s="151" t="s">
        <v>130</v>
      </c>
      <c r="F209" s="151" t="s">
        <v>131</v>
      </c>
      <c r="G209" s="151" t="s">
        <v>33</v>
      </c>
      <c r="H209" s="151" t="s">
        <v>48</v>
      </c>
      <c r="I209" s="256">
        <v>10</v>
      </c>
      <c r="J209" s="151" t="s">
        <v>81</v>
      </c>
      <c r="K209" s="176" t="s">
        <v>132</v>
      </c>
      <c r="L209" s="245">
        <v>40015774</v>
      </c>
      <c r="M209" s="855"/>
      <c r="N209" s="245"/>
      <c r="O209" s="245" t="s">
        <v>432</v>
      </c>
      <c r="P209" s="245"/>
      <c r="Q209" s="176" t="s">
        <v>433</v>
      </c>
      <c r="R209" s="273"/>
      <c r="S209" s="274"/>
      <c r="T209" s="273"/>
      <c r="U209" s="273"/>
      <c r="V209" s="273"/>
      <c r="W209" s="273"/>
      <c r="X209" s="274"/>
      <c r="Y209" s="275">
        <v>269785542</v>
      </c>
      <c r="Z209" s="275">
        <v>0</v>
      </c>
      <c r="AA209" s="296"/>
      <c r="AB209" s="297">
        <v>50000000</v>
      </c>
      <c r="AC209" s="297">
        <f t="shared" si="85"/>
        <v>0</v>
      </c>
      <c r="AD209" s="297">
        <f>+AB209-AC209</f>
        <v>50000000</v>
      </c>
      <c r="AE209" s="297">
        <v>0</v>
      </c>
      <c r="AF209" s="297">
        <v>0</v>
      </c>
      <c r="AG209" s="297">
        <v>0</v>
      </c>
      <c r="AH209" s="297">
        <v>0</v>
      </c>
      <c r="AI209" s="297">
        <v>0</v>
      </c>
      <c r="AJ209" s="297">
        <v>0</v>
      </c>
      <c r="AK209" s="297">
        <v>0</v>
      </c>
      <c r="AL209" s="297">
        <v>0</v>
      </c>
      <c r="AM209" s="297">
        <v>0</v>
      </c>
      <c r="AN209" s="297">
        <v>0</v>
      </c>
      <c r="AO209" s="297">
        <v>0</v>
      </c>
      <c r="AP209" s="297">
        <v>0</v>
      </c>
      <c r="AQ209" s="296"/>
      <c r="AR209" s="297">
        <f>+Y209-Z209-AC209-AD209</f>
        <v>219785542</v>
      </c>
      <c r="AS209" s="313" t="s">
        <v>137</v>
      </c>
      <c r="AT209" s="313" t="s">
        <v>137</v>
      </c>
      <c r="AU209" s="176" t="s">
        <v>190</v>
      </c>
    </row>
    <row r="210" spans="1:47" s="217" customFormat="1" ht="25.5" customHeight="1" outlineLevel="1">
      <c r="A210" s="215" t="s">
        <v>125</v>
      </c>
      <c r="B210" s="151">
        <v>31</v>
      </c>
      <c r="C210" s="151" t="s">
        <v>196</v>
      </c>
      <c r="D210" s="245" t="s">
        <v>129</v>
      </c>
      <c r="E210" s="151" t="s">
        <v>130</v>
      </c>
      <c r="F210" s="151" t="s">
        <v>131</v>
      </c>
      <c r="G210" s="151" t="s">
        <v>33</v>
      </c>
      <c r="H210" s="151" t="s">
        <v>48</v>
      </c>
      <c r="I210" s="256">
        <v>10</v>
      </c>
      <c r="J210" s="151" t="s">
        <v>81</v>
      </c>
      <c r="K210" s="176" t="s">
        <v>132</v>
      </c>
      <c r="L210" s="245">
        <v>40015770</v>
      </c>
      <c r="M210" s="855"/>
      <c r="N210" s="245"/>
      <c r="O210" s="245" t="s">
        <v>434</v>
      </c>
      <c r="P210" s="245"/>
      <c r="Q210" s="176" t="s">
        <v>435</v>
      </c>
      <c r="R210" s="273"/>
      <c r="S210" s="274"/>
      <c r="T210" s="273"/>
      <c r="U210" s="273"/>
      <c r="V210" s="273"/>
      <c r="W210" s="273"/>
      <c r="X210" s="274"/>
      <c r="Y210" s="275">
        <v>370712904</v>
      </c>
      <c r="Z210" s="275">
        <v>0</v>
      </c>
      <c r="AA210" s="296"/>
      <c r="AB210" s="297">
        <v>70000000</v>
      </c>
      <c r="AC210" s="297">
        <f t="shared" si="85"/>
        <v>0</v>
      </c>
      <c r="AD210" s="297">
        <f>+AB210-AC210</f>
        <v>70000000</v>
      </c>
      <c r="AE210" s="297">
        <v>0</v>
      </c>
      <c r="AF210" s="297">
        <v>0</v>
      </c>
      <c r="AG210" s="297">
        <v>0</v>
      </c>
      <c r="AH210" s="297">
        <v>0</v>
      </c>
      <c r="AI210" s="297">
        <v>0</v>
      </c>
      <c r="AJ210" s="297">
        <v>0</v>
      </c>
      <c r="AK210" s="297">
        <v>0</v>
      </c>
      <c r="AL210" s="297">
        <v>0</v>
      </c>
      <c r="AM210" s="297">
        <v>0</v>
      </c>
      <c r="AN210" s="297">
        <v>0</v>
      </c>
      <c r="AO210" s="297">
        <v>0</v>
      </c>
      <c r="AP210" s="297">
        <v>0</v>
      </c>
      <c r="AQ210" s="296"/>
      <c r="AR210" s="297">
        <f>+Y210-Z210-AC210-AD210</f>
        <v>300712904</v>
      </c>
      <c r="AS210" s="313" t="s">
        <v>137</v>
      </c>
      <c r="AT210" s="313" t="s">
        <v>137</v>
      </c>
      <c r="AU210" s="176" t="s">
        <v>190</v>
      </c>
    </row>
    <row r="211" spans="1:47" s="217" customFormat="1" ht="25.5" customHeight="1" outlineLevel="1">
      <c r="A211" s="215" t="s">
        <v>125</v>
      </c>
      <c r="B211" s="151">
        <v>22</v>
      </c>
      <c r="C211" s="151" t="s">
        <v>196</v>
      </c>
      <c r="D211" s="245" t="s">
        <v>129</v>
      </c>
      <c r="E211" s="151" t="s">
        <v>130</v>
      </c>
      <c r="F211" s="151" t="s">
        <v>140</v>
      </c>
      <c r="G211" s="151" t="s">
        <v>33</v>
      </c>
      <c r="H211" s="151" t="s">
        <v>48</v>
      </c>
      <c r="I211" s="256">
        <v>10</v>
      </c>
      <c r="J211" s="151" t="s">
        <v>80</v>
      </c>
      <c r="K211" s="176" t="s">
        <v>132</v>
      </c>
      <c r="L211" s="245">
        <v>30465134</v>
      </c>
      <c r="M211" s="855"/>
      <c r="N211" s="245"/>
      <c r="O211" s="245" t="s">
        <v>436</v>
      </c>
      <c r="P211" s="257" t="s">
        <v>1549</v>
      </c>
      <c r="Q211" s="176" t="s">
        <v>437</v>
      </c>
      <c r="R211" s="273" t="s">
        <v>438</v>
      </c>
      <c r="S211" s="274"/>
      <c r="T211" s="273"/>
      <c r="U211" s="273" t="s">
        <v>439</v>
      </c>
      <c r="V211" s="273">
        <v>110000000</v>
      </c>
      <c r="W211" s="273"/>
      <c r="X211" s="274"/>
      <c r="Y211" s="275">
        <v>110000000</v>
      </c>
      <c r="Z211" s="275">
        <v>0</v>
      </c>
      <c r="AA211" s="296"/>
      <c r="AB211" s="297">
        <v>15000000</v>
      </c>
      <c r="AC211" s="297">
        <f t="shared" si="85"/>
        <v>0</v>
      </c>
      <c r="AD211" s="297">
        <f>+AB211-AC211</f>
        <v>15000000</v>
      </c>
      <c r="AE211" s="297">
        <v>0</v>
      </c>
      <c r="AF211" s="297">
        <v>0</v>
      </c>
      <c r="AG211" s="297">
        <v>0</v>
      </c>
      <c r="AH211" s="297">
        <v>0</v>
      </c>
      <c r="AI211" s="297">
        <v>0</v>
      </c>
      <c r="AJ211" s="297">
        <v>0</v>
      </c>
      <c r="AK211" s="297">
        <v>0</v>
      </c>
      <c r="AL211" s="297">
        <v>0</v>
      </c>
      <c r="AM211" s="297">
        <v>0</v>
      </c>
      <c r="AN211" s="297">
        <v>0</v>
      </c>
      <c r="AO211" s="297">
        <v>0</v>
      </c>
      <c r="AP211" s="297">
        <v>0</v>
      </c>
      <c r="AQ211" s="296"/>
      <c r="AR211" s="297">
        <f>+Y211-Z211-AC211-AD211</f>
        <v>95000000</v>
      </c>
      <c r="AS211" s="313" t="s">
        <v>148</v>
      </c>
      <c r="AT211" s="313" t="s">
        <v>1464</v>
      </c>
      <c r="AU211" s="176" t="s">
        <v>1550</v>
      </c>
    </row>
    <row r="212" spans="1:47" s="217" customFormat="1" ht="25.5" customHeight="1" outlineLevel="1">
      <c r="A212" s="215" t="s">
        <v>125</v>
      </c>
      <c r="B212" s="151">
        <v>31</v>
      </c>
      <c r="C212" s="151" t="s">
        <v>196</v>
      </c>
      <c r="D212" s="245" t="s">
        <v>168</v>
      </c>
      <c r="E212" s="151" t="s">
        <v>169</v>
      </c>
      <c r="F212" s="151" t="s">
        <v>207</v>
      </c>
      <c r="G212" s="151" t="s">
        <v>33</v>
      </c>
      <c r="H212" s="151" t="s">
        <v>48</v>
      </c>
      <c r="I212" s="256">
        <v>10</v>
      </c>
      <c r="J212" s="151" t="s">
        <v>80</v>
      </c>
      <c r="K212" s="176" t="s">
        <v>132</v>
      </c>
      <c r="L212" s="245">
        <v>30480526</v>
      </c>
      <c r="M212" s="855"/>
      <c r="N212" s="245"/>
      <c r="O212" s="245" t="s">
        <v>440</v>
      </c>
      <c r="P212" s="245"/>
      <c r="Q212" s="176" t="s">
        <v>441</v>
      </c>
      <c r="R212" s="273"/>
      <c r="S212" s="274"/>
      <c r="T212" s="273"/>
      <c r="U212" s="273"/>
      <c r="V212" s="273"/>
      <c r="W212" s="273"/>
      <c r="X212" s="274"/>
      <c r="Y212" s="275">
        <v>791085000</v>
      </c>
      <c r="Z212" s="275">
        <v>0</v>
      </c>
      <c r="AA212" s="296"/>
      <c r="AB212" s="297">
        <v>70000000</v>
      </c>
      <c r="AC212" s="297">
        <f t="shared" si="85"/>
        <v>0</v>
      </c>
      <c r="AD212" s="297">
        <f t="shared" ref="AD212" si="88">+AB212-AC212</f>
        <v>70000000</v>
      </c>
      <c r="AE212" s="297">
        <v>0</v>
      </c>
      <c r="AF212" s="297">
        <v>0</v>
      </c>
      <c r="AG212" s="297">
        <v>0</v>
      </c>
      <c r="AH212" s="297">
        <v>0</v>
      </c>
      <c r="AI212" s="297">
        <v>0</v>
      </c>
      <c r="AJ212" s="297">
        <v>0</v>
      </c>
      <c r="AK212" s="297">
        <v>0</v>
      </c>
      <c r="AL212" s="297">
        <v>0</v>
      </c>
      <c r="AM212" s="297">
        <v>0</v>
      </c>
      <c r="AN212" s="297">
        <v>0</v>
      </c>
      <c r="AO212" s="297">
        <v>0</v>
      </c>
      <c r="AP212" s="297">
        <v>0</v>
      </c>
      <c r="AQ212" s="296"/>
      <c r="AR212" s="297">
        <f t="shared" ref="AR212:AR213" si="89">+Y212-Z212-AC212-AD212</f>
        <v>721085000</v>
      </c>
      <c r="AS212" s="313" t="s">
        <v>137</v>
      </c>
      <c r="AT212" s="313" t="s">
        <v>137</v>
      </c>
      <c r="AU212" s="176" t="s">
        <v>190</v>
      </c>
    </row>
    <row r="213" spans="1:47" s="217" customFormat="1" ht="25.5" customHeight="1" outlineLevel="1">
      <c r="A213" s="215" t="s">
        <v>125</v>
      </c>
      <c r="B213" s="247"/>
      <c r="C213" s="247"/>
      <c r="D213" s="248"/>
      <c r="E213" s="249"/>
      <c r="F213" s="249"/>
      <c r="G213" s="249"/>
      <c r="H213" s="249"/>
      <c r="I213" s="249"/>
      <c r="J213" s="247"/>
      <c r="K213" s="259"/>
      <c r="L213" s="248"/>
      <c r="M213" s="248"/>
      <c r="N213" s="250"/>
      <c r="O213" s="250"/>
      <c r="P213" s="250"/>
      <c r="Q213" s="260" t="s">
        <v>201</v>
      </c>
      <c r="R213" s="278"/>
      <c r="S213" s="279"/>
      <c r="T213" s="279"/>
      <c r="U213" s="279"/>
      <c r="V213" s="279"/>
      <c r="W213" s="279"/>
      <c r="X213" s="281"/>
      <c r="Y213" s="286">
        <f>SUBTOTAL(9,Y208:Y212)</f>
        <v>3095274446</v>
      </c>
      <c r="Z213" s="286">
        <f>SUBTOTAL(9,Z208:Z212)</f>
        <v>0</v>
      </c>
      <c r="AA213" s="303"/>
      <c r="AB213" s="286">
        <f t="shared" ref="AB213:AP213" si="90">SUBTOTAL(9,AB208:AB212)</f>
        <v>593423000</v>
      </c>
      <c r="AC213" s="286">
        <f t="shared" si="90"/>
        <v>0</v>
      </c>
      <c r="AD213" s="286">
        <f t="shared" si="90"/>
        <v>593423000</v>
      </c>
      <c r="AE213" s="286">
        <f t="shared" si="90"/>
        <v>0</v>
      </c>
      <c r="AF213" s="286">
        <f t="shared" si="90"/>
        <v>0</v>
      </c>
      <c r="AG213" s="286">
        <f t="shared" si="90"/>
        <v>0</v>
      </c>
      <c r="AH213" s="286">
        <f t="shared" si="90"/>
        <v>0</v>
      </c>
      <c r="AI213" s="286">
        <f t="shared" si="90"/>
        <v>0</v>
      </c>
      <c r="AJ213" s="286">
        <v>0</v>
      </c>
      <c r="AK213" s="286">
        <f t="shared" si="90"/>
        <v>0</v>
      </c>
      <c r="AL213" s="286">
        <f t="shared" si="90"/>
        <v>0</v>
      </c>
      <c r="AM213" s="286">
        <f t="shared" si="90"/>
        <v>0</v>
      </c>
      <c r="AN213" s="286">
        <f t="shared" si="90"/>
        <v>0</v>
      </c>
      <c r="AO213" s="286">
        <f t="shared" si="90"/>
        <v>0</v>
      </c>
      <c r="AP213" s="286">
        <f t="shared" si="90"/>
        <v>0</v>
      </c>
      <c r="AQ213" s="287"/>
      <c r="AR213" s="286">
        <f t="shared" si="89"/>
        <v>2501851446</v>
      </c>
      <c r="AS213" s="315"/>
      <c r="AT213" s="315"/>
      <c r="AU213" s="220"/>
    </row>
    <row r="214" spans="1:47" ht="18.75" customHeight="1" outlineLevel="1">
      <c r="A214" s="215" t="s">
        <v>125</v>
      </c>
      <c r="B214" s="249"/>
      <c r="C214" s="249"/>
      <c r="D214" s="250"/>
      <c r="E214" s="249"/>
      <c r="F214" s="249"/>
      <c r="G214" s="249"/>
      <c r="H214" s="249"/>
      <c r="I214" s="249"/>
      <c r="J214" s="249"/>
      <c r="K214" s="261"/>
      <c r="L214" s="250"/>
      <c r="M214" s="250"/>
      <c r="N214" s="250"/>
      <c r="O214" s="250"/>
      <c r="P214" s="250"/>
      <c r="Q214" s="261"/>
      <c r="R214" s="283"/>
      <c r="S214" s="283"/>
      <c r="T214" s="283"/>
      <c r="U214" s="283"/>
      <c r="V214" s="283"/>
      <c r="W214" s="283"/>
      <c r="X214" s="283"/>
      <c r="Y214" s="284"/>
      <c r="Z214" s="284"/>
      <c r="AA214" s="301"/>
      <c r="AB214" s="301"/>
      <c r="AC214" s="301"/>
      <c r="AD214" s="301"/>
      <c r="AE214" s="301"/>
      <c r="AF214" s="301"/>
      <c r="AG214" s="301"/>
      <c r="AH214" s="301"/>
      <c r="AI214" s="301"/>
      <c r="AJ214" s="301"/>
      <c r="AK214" s="301"/>
      <c r="AL214" s="301"/>
      <c r="AM214" s="301"/>
      <c r="AN214" s="301"/>
      <c r="AO214" s="301"/>
      <c r="AP214" s="301"/>
      <c r="AQ214" s="301"/>
      <c r="AR214" s="301"/>
      <c r="AS214" s="316"/>
      <c r="AT214" s="316"/>
      <c r="AU214" s="317"/>
    </row>
    <row r="215" spans="1:47" s="219" customFormat="1" ht="24.75" customHeight="1" outlineLevel="1">
      <c r="A215" s="215" t="s">
        <v>125</v>
      </c>
      <c r="B215" s="251"/>
      <c r="C215" s="249"/>
      <c r="D215" s="250"/>
      <c r="E215" s="249"/>
      <c r="F215" s="249"/>
      <c r="G215" s="249"/>
      <c r="H215" s="249"/>
      <c r="I215" s="249"/>
      <c r="J215" s="251"/>
      <c r="K215" s="263"/>
      <c r="L215" s="252"/>
      <c r="M215" s="252"/>
      <c r="N215" s="252"/>
      <c r="O215" s="252"/>
      <c r="P215" s="252"/>
      <c r="Q215" s="117" t="s">
        <v>442</v>
      </c>
      <c r="R215" s="288"/>
      <c r="S215" s="289"/>
      <c r="T215" s="289"/>
      <c r="U215" s="289"/>
      <c r="V215" s="289"/>
      <c r="W215" s="289"/>
      <c r="X215" s="290"/>
      <c r="Y215" s="118">
        <f>+Y205+Y213</f>
        <v>15159446909</v>
      </c>
      <c r="Z215" s="118">
        <f>+Z205+Z213</f>
        <v>1431793263</v>
      </c>
      <c r="AA215" s="304"/>
      <c r="AB215" s="118">
        <f t="shared" ref="AB215:AP215" si="91">+AB205+AB213</f>
        <v>1901306034</v>
      </c>
      <c r="AC215" s="118">
        <f t="shared" si="91"/>
        <v>287605041</v>
      </c>
      <c r="AD215" s="118">
        <f t="shared" si="91"/>
        <v>1613700993</v>
      </c>
      <c r="AE215" s="118">
        <f t="shared" si="91"/>
        <v>0</v>
      </c>
      <c r="AF215" s="118">
        <f t="shared" si="91"/>
        <v>0</v>
      </c>
      <c r="AG215" s="118">
        <f t="shared" si="91"/>
        <v>0</v>
      </c>
      <c r="AH215" s="118">
        <f t="shared" si="91"/>
        <v>0</v>
      </c>
      <c r="AI215" s="118">
        <f t="shared" si="91"/>
        <v>0</v>
      </c>
      <c r="AJ215" s="118">
        <v>55404570</v>
      </c>
      <c r="AK215" s="118">
        <f t="shared" si="91"/>
        <v>84123475</v>
      </c>
      <c r="AL215" s="118">
        <f t="shared" si="91"/>
        <v>0</v>
      </c>
      <c r="AM215" s="118">
        <f t="shared" si="91"/>
        <v>77271871</v>
      </c>
      <c r="AN215" s="118">
        <f t="shared" si="91"/>
        <v>40216540</v>
      </c>
      <c r="AO215" s="118">
        <f t="shared" si="91"/>
        <v>30588585</v>
      </c>
      <c r="AP215" s="118">
        <f t="shared" si="91"/>
        <v>0</v>
      </c>
      <c r="AQ215" s="318"/>
      <c r="AR215" s="118">
        <f>+Y215-Z215-AC215-AD215</f>
        <v>11826347612</v>
      </c>
      <c r="AS215" s="333"/>
      <c r="AT215" s="333"/>
      <c r="AU215" s="320"/>
    </row>
    <row r="216" spans="1:47" ht="18.75" customHeight="1" outlineLevel="1">
      <c r="A216" s="215" t="s">
        <v>125</v>
      </c>
      <c r="B216" s="249"/>
      <c r="C216" s="249"/>
      <c r="D216" s="250"/>
      <c r="E216" s="249"/>
      <c r="F216" s="249"/>
      <c r="G216" s="249"/>
      <c r="H216" s="249"/>
      <c r="I216" s="249"/>
      <c r="J216" s="249"/>
      <c r="K216" s="261"/>
      <c r="L216" s="250"/>
      <c r="M216" s="250"/>
      <c r="N216" s="250"/>
      <c r="O216" s="250"/>
      <c r="P216" s="250"/>
      <c r="Q216" s="261"/>
      <c r="R216" s="283"/>
      <c r="S216" s="283"/>
      <c r="T216" s="283"/>
      <c r="U216" s="283"/>
      <c r="V216" s="283"/>
      <c r="W216" s="283"/>
      <c r="X216" s="283"/>
      <c r="Y216" s="284"/>
      <c r="Z216" s="284"/>
      <c r="AA216" s="301"/>
      <c r="AB216" s="301"/>
      <c r="AC216" s="301"/>
      <c r="AD216" s="301"/>
      <c r="AE216" s="301"/>
      <c r="AF216" s="301"/>
      <c r="AG216" s="301"/>
      <c r="AH216" s="301"/>
      <c r="AI216" s="301"/>
      <c r="AJ216" s="301"/>
      <c r="AK216" s="301"/>
      <c r="AL216" s="301"/>
      <c r="AM216" s="301"/>
      <c r="AN216" s="301"/>
      <c r="AO216" s="301"/>
      <c r="AP216" s="301"/>
      <c r="AQ216" s="301"/>
      <c r="AR216" s="301"/>
      <c r="AS216" s="316"/>
      <c r="AT216" s="316"/>
      <c r="AU216" s="317"/>
    </row>
    <row r="217" spans="1:47" ht="26.25" customHeight="1" outlineLevel="1">
      <c r="A217" s="215" t="s">
        <v>125</v>
      </c>
      <c r="B217" s="249"/>
      <c r="C217" s="249"/>
      <c r="D217" s="250"/>
      <c r="E217" s="249"/>
      <c r="F217" s="249"/>
      <c r="G217" s="249"/>
      <c r="H217" s="249"/>
      <c r="I217" s="249"/>
      <c r="J217" s="249"/>
      <c r="K217" s="261"/>
      <c r="L217" s="250"/>
      <c r="M217" s="250"/>
      <c r="N217" s="250"/>
      <c r="O217" s="250"/>
      <c r="P217" s="250"/>
      <c r="Q217" s="264" t="s">
        <v>443</v>
      </c>
      <c r="R217" s="283"/>
      <c r="S217" s="283"/>
      <c r="T217" s="283"/>
      <c r="U217" s="283"/>
      <c r="V217" s="283"/>
      <c r="W217" s="283"/>
      <c r="X217" s="283"/>
      <c r="Y217" s="284"/>
      <c r="Z217" s="284"/>
      <c r="AA217" s="301"/>
      <c r="AB217" s="301"/>
      <c r="AC217" s="301"/>
      <c r="AD217" s="301"/>
      <c r="AE217" s="301"/>
      <c r="AF217" s="301"/>
      <c r="AG217" s="301"/>
      <c r="AH217" s="301"/>
      <c r="AI217" s="301"/>
      <c r="AJ217" s="301"/>
      <c r="AK217" s="301"/>
      <c r="AL217" s="301"/>
      <c r="AM217" s="301"/>
      <c r="AN217" s="301"/>
      <c r="AO217" s="301"/>
      <c r="AP217" s="301"/>
      <c r="AQ217" s="301"/>
      <c r="AR217" s="301"/>
      <c r="AS217" s="316"/>
      <c r="AT217" s="316"/>
      <c r="AU217" s="317"/>
    </row>
    <row r="218" spans="1:47" s="216" customFormat="1" ht="15" customHeight="1" outlineLevel="1">
      <c r="A218" s="215" t="s">
        <v>125</v>
      </c>
      <c r="B218" s="249"/>
      <c r="C218" s="249"/>
      <c r="D218" s="250"/>
      <c r="E218" s="249"/>
      <c r="F218" s="249"/>
      <c r="G218" s="249"/>
      <c r="H218" s="249"/>
      <c r="I218" s="249"/>
      <c r="J218" s="249"/>
      <c r="K218" s="261"/>
      <c r="L218" s="250"/>
      <c r="M218" s="250"/>
      <c r="N218" s="250"/>
      <c r="O218" s="250"/>
      <c r="P218" s="250"/>
      <c r="Q218" s="255"/>
      <c r="R218" s="283"/>
      <c r="S218" s="283"/>
      <c r="T218" s="283"/>
      <c r="U218" s="283"/>
      <c r="V218" s="283"/>
      <c r="W218" s="283"/>
      <c r="X218" s="283"/>
      <c r="Y218" s="284"/>
      <c r="Z218" s="284"/>
      <c r="AA218" s="301"/>
      <c r="AB218" s="301"/>
      <c r="AC218" s="301"/>
      <c r="AD218" s="301"/>
      <c r="AE218" s="301"/>
      <c r="AF218" s="301"/>
      <c r="AG218" s="301"/>
      <c r="AH218" s="301"/>
      <c r="AI218" s="301"/>
      <c r="AJ218" s="301"/>
      <c r="AK218" s="301"/>
      <c r="AL218" s="301"/>
      <c r="AM218" s="301"/>
      <c r="AN218" s="301"/>
      <c r="AO218" s="301"/>
      <c r="AP218" s="301"/>
      <c r="AQ218" s="301"/>
      <c r="AR218" s="301"/>
      <c r="AS218" s="316"/>
      <c r="AT218" s="316"/>
      <c r="AU218" s="317"/>
    </row>
    <row r="219" spans="1:47" s="217" customFormat="1" ht="25.5" customHeight="1" outlineLevel="1">
      <c r="A219" s="215" t="s">
        <v>125</v>
      </c>
      <c r="B219" s="247"/>
      <c r="C219" s="247"/>
      <c r="D219" s="248"/>
      <c r="E219" s="249"/>
      <c r="F219" s="249"/>
      <c r="G219" s="249"/>
      <c r="H219" s="249"/>
      <c r="I219" s="249"/>
      <c r="J219" s="247"/>
      <c r="K219" s="259"/>
      <c r="L219" s="248"/>
      <c r="M219" s="248"/>
      <c r="N219" s="250"/>
      <c r="O219" s="250"/>
      <c r="P219" s="250"/>
      <c r="Q219" s="99" t="s">
        <v>127</v>
      </c>
      <c r="R219" s="283"/>
      <c r="S219" s="283"/>
      <c r="T219" s="283"/>
      <c r="U219" s="283"/>
      <c r="V219" s="283"/>
      <c r="W219" s="283"/>
      <c r="X219" s="283"/>
      <c r="Y219" s="285"/>
      <c r="Z219" s="285"/>
      <c r="AA219" s="302"/>
      <c r="AB219" s="302"/>
      <c r="AC219" s="302"/>
      <c r="AD219" s="302"/>
      <c r="AE219" s="302"/>
      <c r="AF219" s="302"/>
      <c r="AG219" s="302"/>
      <c r="AH219" s="301"/>
      <c r="AI219" s="301"/>
      <c r="AJ219" s="301"/>
      <c r="AK219" s="301"/>
      <c r="AL219" s="301"/>
      <c r="AM219" s="301"/>
      <c r="AN219" s="301"/>
      <c r="AO219" s="301"/>
      <c r="AP219" s="301"/>
      <c r="AQ219" s="302"/>
      <c r="AR219" s="302"/>
      <c r="AS219" s="315"/>
      <c r="AT219" s="315"/>
      <c r="AU219" s="220"/>
    </row>
    <row r="220" spans="1:47" s="218" customFormat="1" ht="25.5" customHeight="1" outlineLevel="2">
      <c r="A220" s="215" t="s">
        <v>125</v>
      </c>
      <c r="B220" s="151">
        <v>31</v>
      </c>
      <c r="C220" s="151" t="s">
        <v>128</v>
      </c>
      <c r="D220" s="245" t="s">
        <v>164</v>
      </c>
      <c r="E220" s="151" t="s">
        <v>169</v>
      </c>
      <c r="F220" s="151" t="s">
        <v>140</v>
      </c>
      <c r="G220" s="151" t="s">
        <v>33</v>
      </c>
      <c r="H220" s="151" t="s">
        <v>49</v>
      </c>
      <c r="I220" s="256">
        <v>11</v>
      </c>
      <c r="J220" s="151" t="s">
        <v>80</v>
      </c>
      <c r="K220" s="176" t="s">
        <v>202</v>
      </c>
      <c r="L220" s="245">
        <v>30085125</v>
      </c>
      <c r="M220" s="855" t="s">
        <v>1609</v>
      </c>
      <c r="N220" s="245" t="s">
        <v>337</v>
      </c>
      <c r="O220" s="245" t="s">
        <v>444</v>
      </c>
      <c r="P220" s="245"/>
      <c r="Q220" s="176" t="s">
        <v>445</v>
      </c>
      <c r="R220" s="273"/>
      <c r="S220" s="274"/>
      <c r="T220" s="273"/>
      <c r="U220" s="273"/>
      <c r="V220" s="273"/>
      <c r="W220" s="273"/>
      <c r="X220" s="274"/>
      <c r="Y220" s="275">
        <v>23800000</v>
      </c>
      <c r="Z220" s="275">
        <v>1300000</v>
      </c>
      <c r="AA220" s="296"/>
      <c r="AB220" s="297">
        <v>22500000</v>
      </c>
      <c r="AC220" s="297">
        <f t="shared" si="85"/>
        <v>8800000</v>
      </c>
      <c r="AD220" s="297">
        <f>+AB220-AC220</f>
        <v>13700000</v>
      </c>
      <c r="AE220" s="297">
        <v>0</v>
      </c>
      <c r="AF220" s="297">
        <v>0</v>
      </c>
      <c r="AG220" s="297">
        <v>0</v>
      </c>
      <c r="AH220" s="297">
        <v>0</v>
      </c>
      <c r="AI220" s="297">
        <v>0</v>
      </c>
      <c r="AJ220" s="297">
        <v>0</v>
      </c>
      <c r="AK220" s="297">
        <v>4400000</v>
      </c>
      <c r="AL220" s="297">
        <v>0</v>
      </c>
      <c r="AM220" s="297">
        <v>0</v>
      </c>
      <c r="AN220" s="297">
        <v>0</v>
      </c>
      <c r="AO220" s="297">
        <v>4400000</v>
      </c>
      <c r="AP220" s="297">
        <v>0</v>
      </c>
      <c r="AQ220" s="296"/>
      <c r="AR220" s="297">
        <f>+Y220-Z220-AC220-AD220</f>
        <v>0</v>
      </c>
      <c r="AS220" s="313" t="s">
        <v>137</v>
      </c>
      <c r="AT220" s="313" t="s">
        <v>137</v>
      </c>
      <c r="AU220" s="176" t="s">
        <v>138</v>
      </c>
    </row>
    <row r="221" spans="1:47" s="218" customFormat="1" ht="25.5" customHeight="1" outlineLevel="2">
      <c r="A221" s="215" t="s">
        <v>125</v>
      </c>
      <c r="B221" s="151">
        <v>31</v>
      </c>
      <c r="C221" s="151" t="s">
        <v>128</v>
      </c>
      <c r="D221" s="245" t="s">
        <v>159</v>
      </c>
      <c r="E221" s="151" t="s">
        <v>169</v>
      </c>
      <c r="F221" s="151" t="s">
        <v>140</v>
      </c>
      <c r="G221" s="151" t="s">
        <v>33</v>
      </c>
      <c r="H221" s="151" t="s">
        <v>49</v>
      </c>
      <c r="I221" s="256">
        <v>11</v>
      </c>
      <c r="J221" s="151" t="s">
        <v>80</v>
      </c>
      <c r="K221" s="176" t="s">
        <v>202</v>
      </c>
      <c r="L221" s="245">
        <v>30328431</v>
      </c>
      <c r="M221" s="855" t="s">
        <v>1609</v>
      </c>
      <c r="N221" s="245" t="s">
        <v>337</v>
      </c>
      <c r="O221" s="245" t="s">
        <v>446</v>
      </c>
      <c r="P221" s="245"/>
      <c r="Q221" s="176" t="s">
        <v>447</v>
      </c>
      <c r="R221" s="273"/>
      <c r="S221" s="274"/>
      <c r="T221" s="273"/>
      <c r="U221" s="273"/>
      <c r="V221" s="273"/>
      <c r="W221" s="273"/>
      <c r="X221" s="274"/>
      <c r="Y221" s="275">
        <v>40280000</v>
      </c>
      <c r="Z221" s="275">
        <v>1000000</v>
      </c>
      <c r="AA221" s="296"/>
      <c r="AB221" s="297">
        <v>39280000</v>
      </c>
      <c r="AC221" s="297">
        <f t="shared" si="85"/>
        <v>19740000</v>
      </c>
      <c r="AD221" s="297">
        <f>+AB221-AC221</f>
        <v>19540000</v>
      </c>
      <c r="AE221" s="297">
        <v>0</v>
      </c>
      <c r="AF221" s="297">
        <v>0</v>
      </c>
      <c r="AG221" s="297">
        <v>0</v>
      </c>
      <c r="AH221" s="297">
        <v>0</v>
      </c>
      <c r="AI221" s="297">
        <v>0</v>
      </c>
      <c r="AJ221" s="297">
        <v>0</v>
      </c>
      <c r="AK221" s="297">
        <v>0</v>
      </c>
      <c r="AL221" s="297">
        <v>0</v>
      </c>
      <c r="AM221" s="297">
        <v>13160000</v>
      </c>
      <c r="AN221" s="297">
        <v>0</v>
      </c>
      <c r="AO221" s="297">
        <v>0</v>
      </c>
      <c r="AP221" s="297">
        <v>6580000</v>
      </c>
      <c r="AQ221" s="296"/>
      <c r="AR221" s="297">
        <f>+Y221-Z221-AC221-AD221</f>
        <v>0</v>
      </c>
      <c r="AS221" s="313" t="s">
        <v>137</v>
      </c>
      <c r="AT221" s="313" t="s">
        <v>137</v>
      </c>
      <c r="AU221" s="176" t="s">
        <v>138</v>
      </c>
    </row>
    <row r="222" spans="1:47" s="218" customFormat="1" ht="25.5" customHeight="1" outlineLevel="2">
      <c r="A222" s="215" t="s">
        <v>125</v>
      </c>
      <c r="B222" s="191">
        <v>33</v>
      </c>
      <c r="C222" s="191" t="s">
        <v>128</v>
      </c>
      <c r="D222" s="246" t="s">
        <v>149</v>
      </c>
      <c r="E222" s="191" t="s">
        <v>130</v>
      </c>
      <c r="F222" s="191" t="s">
        <v>140</v>
      </c>
      <c r="G222" s="191" t="s">
        <v>33</v>
      </c>
      <c r="H222" s="191" t="s">
        <v>49</v>
      </c>
      <c r="I222" s="258">
        <v>11</v>
      </c>
      <c r="J222" s="191" t="s">
        <v>83</v>
      </c>
      <c r="K222" s="192" t="s">
        <v>132</v>
      </c>
      <c r="L222" s="246" t="s">
        <v>83</v>
      </c>
      <c r="M222" s="861" t="s">
        <v>1604</v>
      </c>
      <c r="N222" s="246"/>
      <c r="O222" s="245" t="s">
        <v>183</v>
      </c>
      <c r="P222" s="246"/>
      <c r="Q222" s="192" t="s">
        <v>184</v>
      </c>
      <c r="R222" s="276"/>
      <c r="S222" s="277"/>
      <c r="T222" s="276"/>
      <c r="U222" s="276"/>
      <c r="V222" s="276"/>
      <c r="W222" s="276"/>
      <c r="X222" s="277"/>
      <c r="Y222" s="194">
        <v>100000000</v>
      </c>
      <c r="Z222" s="194">
        <f>+FRIL!J367</f>
        <v>0</v>
      </c>
      <c r="AA222" s="298"/>
      <c r="AB222" s="299">
        <v>100000000</v>
      </c>
      <c r="AC222" s="299">
        <f t="shared" si="85"/>
        <v>0</v>
      </c>
      <c r="AD222" s="299">
        <f>+AB222-AC222</f>
        <v>100000000</v>
      </c>
      <c r="AE222" s="299">
        <v>0</v>
      </c>
      <c r="AF222" s="299">
        <v>0</v>
      </c>
      <c r="AG222" s="299">
        <v>0</v>
      </c>
      <c r="AH222" s="299">
        <v>0</v>
      </c>
      <c r="AI222" s="299">
        <v>0</v>
      </c>
      <c r="AJ222" s="297">
        <v>0</v>
      </c>
      <c r="AK222" s="299">
        <v>0</v>
      </c>
      <c r="AL222" s="299">
        <v>0</v>
      </c>
      <c r="AM222" s="299">
        <v>0</v>
      </c>
      <c r="AN222" s="299">
        <v>0</v>
      </c>
      <c r="AO222" s="297">
        <v>0</v>
      </c>
      <c r="AP222" s="299">
        <v>0</v>
      </c>
      <c r="AQ222" s="298"/>
      <c r="AR222" s="299">
        <f>+Y222-Z222-AC222-AD222</f>
        <v>0</v>
      </c>
      <c r="AS222" s="314" t="s">
        <v>185</v>
      </c>
      <c r="AT222" s="314" t="s">
        <v>83</v>
      </c>
      <c r="AU222" s="192" t="s">
        <v>138</v>
      </c>
    </row>
    <row r="223" spans="1:47" s="218" customFormat="1" ht="25.5" customHeight="1" outlineLevel="2">
      <c r="A223" s="215" t="s">
        <v>125</v>
      </c>
      <c r="B223" s="151">
        <v>33</v>
      </c>
      <c r="C223" s="151" t="s">
        <v>128</v>
      </c>
      <c r="D223" s="245" t="s">
        <v>149</v>
      </c>
      <c r="E223" s="151" t="s">
        <v>130</v>
      </c>
      <c r="F223" s="151" t="s">
        <v>140</v>
      </c>
      <c r="G223" s="151" t="s">
        <v>33</v>
      </c>
      <c r="H223" s="151" t="s">
        <v>49</v>
      </c>
      <c r="I223" s="256">
        <v>11</v>
      </c>
      <c r="J223" s="151" t="s">
        <v>83</v>
      </c>
      <c r="K223" s="176" t="s">
        <v>132</v>
      </c>
      <c r="L223" s="245" t="s">
        <v>83</v>
      </c>
      <c r="M223" s="855"/>
      <c r="N223" s="245"/>
      <c r="O223" s="245" t="s">
        <v>183</v>
      </c>
      <c r="P223" s="245"/>
      <c r="Q223" s="176" t="s">
        <v>385</v>
      </c>
      <c r="R223" s="273"/>
      <c r="S223" s="274"/>
      <c r="T223" s="273"/>
      <c r="U223" s="273"/>
      <c r="V223" s="273"/>
      <c r="W223" s="273"/>
      <c r="X223" s="274"/>
      <c r="Y223" s="275">
        <v>200000000</v>
      </c>
      <c r="Z223" s="275">
        <f>+FRIL!J368</f>
        <v>0</v>
      </c>
      <c r="AA223" s="296"/>
      <c r="AB223" s="297">
        <v>200000000</v>
      </c>
      <c r="AC223" s="297">
        <f t="shared" si="85"/>
        <v>78356571</v>
      </c>
      <c r="AD223" s="297">
        <f>+AB223-AC223</f>
        <v>121643429</v>
      </c>
      <c r="AE223" s="297">
        <v>0</v>
      </c>
      <c r="AF223" s="297">
        <v>0</v>
      </c>
      <c r="AG223" s="297">
        <v>0</v>
      </c>
      <c r="AH223" s="297">
        <v>0</v>
      </c>
      <c r="AI223" s="297">
        <v>0</v>
      </c>
      <c r="AJ223" s="297">
        <v>0</v>
      </c>
      <c r="AK223" s="297">
        <v>0</v>
      </c>
      <c r="AL223" s="297">
        <v>9381246</v>
      </c>
      <c r="AM223" s="297">
        <v>7681695</v>
      </c>
      <c r="AN223" s="297">
        <v>0</v>
      </c>
      <c r="AO223" s="297">
        <f>+FRIL!L115</f>
        <v>61293630</v>
      </c>
      <c r="AP223" s="297">
        <v>0</v>
      </c>
      <c r="AQ223" s="296"/>
      <c r="AR223" s="297">
        <f>+Y223-Z223-AC223-AD223</f>
        <v>0</v>
      </c>
      <c r="AS223" s="313" t="s">
        <v>185</v>
      </c>
      <c r="AT223" s="313" t="s">
        <v>83</v>
      </c>
      <c r="AU223" s="176" t="s">
        <v>138</v>
      </c>
    </row>
    <row r="224" spans="1:47" s="217" customFormat="1" ht="25.5" customHeight="1" outlineLevel="1">
      <c r="A224" s="215" t="s">
        <v>125</v>
      </c>
      <c r="B224" s="247"/>
      <c r="C224" s="247"/>
      <c r="D224" s="248"/>
      <c r="E224" s="249"/>
      <c r="F224" s="249"/>
      <c r="G224" s="249"/>
      <c r="H224" s="249"/>
      <c r="I224" s="249"/>
      <c r="J224" s="247"/>
      <c r="K224" s="259"/>
      <c r="L224" s="248"/>
      <c r="M224" s="248"/>
      <c r="N224" s="250"/>
      <c r="O224" s="250"/>
      <c r="P224" s="250"/>
      <c r="Q224" s="260" t="s">
        <v>187</v>
      </c>
      <c r="R224" s="278"/>
      <c r="S224" s="279"/>
      <c r="T224" s="279"/>
      <c r="U224" s="279"/>
      <c r="V224" s="279"/>
      <c r="W224" s="279"/>
      <c r="X224" s="281"/>
      <c r="Y224" s="286">
        <f>+Y220+Y221+Y222+Y223</f>
        <v>364080000</v>
      </c>
      <c r="Z224" s="286">
        <f t="shared" ref="Z224:AP224" si="92">+Z220+Z221+Z222+Z223</f>
        <v>2300000</v>
      </c>
      <c r="AA224" s="303"/>
      <c r="AB224" s="286">
        <f t="shared" si="92"/>
        <v>361780000</v>
      </c>
      <c r="AC224" s="286">
        <f>SUBTOTAL(9,AE224:AP224)</f>
        <v>106896571</v>
      </c>
      <c r="AD224" s="286">
        <f t="shared" si="92"/>
        <v>254883429</v>
      </c>
      <c r="AE224" s="286">
        <f t="shared" si="92"/>
        <v>0</v>
      </c>
      <c r="AF224" s="286">
        <f t="shared" si="92"/>
        <v>0</v>
      </c>
      <c r="AG224" s="286">
        <f t="shared" si="92"/>
        <v>0</v>
      </c>
      <c r="AH224" s="286">
        <f t="shared" si="92"/>
        <v>0</v>
      </c>
      <c r="AI224" s="286">
        <f t="shared" si="92"/>
        <v>0</v>
      </c>
      <c r="AJ224" s="286">
        <v>0</v>
      </c>
      <c r="AK224" s="286">
        <v>4400000</v>
      </c>
      <c r="AL224" s="286">
        <v>9381246</v>
      </c>
      <c r="AM224" s="286">
        <f t="shared" si="92"/>
        <v>20841695</v>
      </c>
      <c r="AN224" s="286">
        <f t="shared" si="92"/>
        <v>0</v>
      </c>
      <c r="AO224" s="286">
        <f t="shared" si="92"/>
        <v>65693630</v>
      </c>
      <c r="AP224" s="286">
        <f t="shared" si="92"/>
        <v>6580000</v>
      </c>
      <c r="AQ224" s="287"/>
      <c r="AR224" s="286">
        <f>+Y224-Z224-AC224-AD224</f>
        <v>0</v>
      </c>
      <c r="AS224" s="315"/>
      <c r="AT224" s="315"/>
      <c r="AU224" s="220"/>
    </row>
    <row r="225" spans="1:49" ht="18.75" customHeight="1" outlineLevel="1">
      <c r="A225" s="215" t="s">
        <v>125</v>
      </c>
      <c r="B225" s="249"/>
      <c r="C225" s="249"/>
      <c r="D225" s="250"/>
      <c r="E225" s="249"/>
      <c r="F225" s="249"/>
      <c r="G225" s="249"/>
      <c r="H225" s="249"/>
      <c r="I225" s="249"/>
      <c r="J225" s="249"/>
      <c r="K225" s="261"/>
      <c r="L225" s="250"/>
      <c r="M225" s="250"/>
      <c r="N225" s="250"/>
      <c r="O225" s="250"/>
      <c r="P225" s="250"/>
      <c r="Q225" s="261"/>
      <c r="R225" s="283"/>
      <c r="S225" s="283"/>
      <c r="T225" s="283"/>
      <c r="U225" s="283"/>
      <c r="V225" s="283"/>
      <c r="W225" s="283"/>
      <c r="X225" s="283"/>
      <c r="Y225" s="284"/>
      <c r="Z225" s="284"/>
      <c r="AA225" s="301"/>
      <c r="AB225" s="301"/>
      <c r="AC225" s="301"/>
      <c r="AD225" s="301"/>
      <c r="AE225" s="301"/>
      <c r="AF225" s="301"/>
      <c r="AG225" s="301"/>
      <c r="AH225" s="301"/>
      <c r="AI225" s="301"/>
      <c r="AJ225" s="301"/>
      <c r="AK225" s="301"/>
      <c r="AL225" s="301"/>
      <c r="AM225" s="301"/>
      <c r="AN225" s="301"/>
      <c r="AO225" s="301"/>
      <c r="AP225" s="301"/>
      <c r="AQ225" s="301"/>
      <c r="AR225" s="301"/>
      <c r="AS225" s="316"/>
      <c r="AT225" s="316"/>
      <c r="AU225" s="317"/>
    </row>
    <row r="226" spans="1:49" s="217" customFormat="1" ht="25.5" customHeight="1" outlineLevel="1">
      <c r="A226" s="215" t="s">
        <v>125</v>
      </c>
      <c r="B226" s="247"/>
      <c r="C226" s="247"/>
      <c r="D226" s="248"/>
      <c r="E226" s="249"/>
      <c r="F226" s="249"/>
      <c r="G226" s="249"/>
      <c r="H226" s="249"/>
      <c r="I226" s="249"/>
      <c r="J226" s="247"/>
      <c r="K226" s="259"/>
      <c r="L226" s="248"/>
      <c r="M226" s="248"/>
      <c r="N226" s="250"/>
      <c r="O226" s="250"/>
      <c r="P226" s="250"/>
      <c r="Q226" s="99" t="s">
        <v>188</v>
      </c>
      <c r="R226" s="283"/>
      <c r="S226" s="283"/>
      <c r="T226" s="283"/>
      <c r="U226" s="283"/>
      <c r="V226" s="283"/>
      <c r="W226" s="283"/>
      <c r="X226" s="283"/>
      <c r="Y226" s="285"/>
      <c r="Z226" s="285"/>
      <c r="AA226" s="302"/>
      <c r="AB226" s="302"/>
      <c r="AC226" s="302"/>
      <c r="AD226" s="302"/>
      <c r="AE226" s="302"/>
      <c r="AF226" s="302"/>
      <c r="AG226" s="302"/>
      <c r="AH226" s="301"/>
      <c r="AI226" s="301"/>
      <c r="AJ226" s="301"/>
      <c r="AK226" s="301"/>
      <c r="AL226" s="301"/>
      <c r="AM226" s="301"/>
      <c r="AN226" s="301"/>
      <c r="AO226" s="301"/>
      <c r="AP226" s="301"/>
      <c r="AQ226" s="302"/>
      <c r="AR226" s="302"/>
      <c r="AS226" s="315"/>
      <c r="AT226" s="315"/>
      <c r="AU226" s="220"/>
    </row>
    <row r="227" spans="1:49" s="218" customFormat="1" ht="25.5" customHeight="1" outlineLevel="2">
      <c r="A227" s="215" t="s">
        <v>125</v>
      </c>
      <c r="B227" s="151">
        <v>31</v>
      </c>
      <c r="C227" s="151" t="s">
        <v>128</v>
      </c>
      <c r="D227" s="245" t="s">
        <v>139</v>
      </c>
      <c r="E227" s="151" t="s">
        <v>130</v>
      </c>
      <c r="F227" s="151" t="s">
        <v>140</v>
      </c>
      <c r="G227" s="151" t="s">
        <v>33</v>
      </c>
      <c r="H227" s="151" t="s">
        <v>49</v>
      </c>
      <c r="I227" s="256">
        <v>11</v>
      </c>
      <c r="J227" s="151" t="s">
        <v>80</v>
      </c>
      <c r="K227" s="176" t="s">
        <v>202</v>
      </c>
      <c r="L227" s="245">
        <v>40006863</v>
      </c>
      <c r="M227" s="855"/>
      <c r="N227" s="245" t="e">
        <v>#N/A</v>
      </c>
      <c r="O227" s="245" t="s">
        <v>448</v>
      </c>
      <c r="P227" s="257" t="s">
        <v>449</v>
      </c>
      <c r="Q227" s="176" t="s">
        <v>450</v>
      </c>
      <c r="R227" s="273" t="s">
        <v>451</v>
      </c>
      <c r="S227" s="274"/>
      <c r="T227" s="273"/>
      <c r="U227" s="273" t="s">
        <v>1498</v>
      </c>
      <c r="V227" s="273">
        <v>129430000</v>
      </c>
      <c r="W227" s="273"/>
      <c r="X227" s="274"/>
      <c r="Y227" s="275">
        <v>129430000</v>
      </c>
      <c r="Z227" s="275">
        <v>0</v>
      </c>
      <c r="AA227" s="296"/>
      <c r="AB227" s="297">
        <v>60000000</v>
      </c>
      <c r="AC227" s="297">
        <f t="shared" si="85"/>
        <v>0</v>
      </c>
      <c r="AD227" s="297">
        <f>+AB227-AC227</f>
        <v>60000000</v>
      </c>
      <c r="AE227" s="297">
        <v>0</v>
      </c>
      <c r="AF227" s="297">
        <v>0</v>
      </c>
      <c r="AG227" s="297">
        <v>0</v>
      </c>
      <c r="AH227" s="297">
        <v>0</v>
      </c>
      <c r="AI227" s="297">
        <v>0</v>
      </c>
      <c r="AJ227" s="297">
        <v>0</v>
      </c>
      <c r="AK227" s="297">
        <v>0</v>
      </c>
      <c r="AL227" s="297">
        <v>0</v>
      </c>
      <c r="AM227" s="297">
        <v>0</v>
      </c>
      <c r="AN227" s="297">
        <v>0</v>
      </c>
      <c r="AO227" s="297">
        <v>0</v>
      </c>
      <c r="AP227" s="297">
        <v>0</v>
      </c>
      <c r="AQ227" s="296"/>
      <c r="AR227" s="297">
        <f>+Y227-Z227-AC227-AD227</f>
        <v>69430000</v>
      </c>
      <c r="AS227" s="313" t="s">
        <v>137</v>
      </c>
      <c r="AT227" s="313" t="s">
        <v>137</v>
      </c>
      <c r="AU227" s="176" t="s">
        <v>158</v>
      </c>
    </row>
    <row r="228" spans="1:49" s="217" customFormat="1" ht="25.5" customHeight="1" outlineLevel="1">
      <c r="A228" s="215" t="s">
        <v>125</v>
      </c>
      <c r="B228" s="151">
        <v>29</v>
      </c>
      <c r="C228" s="151" t="s">
        <v>196</v>
      </c>
      <c r="D228" s="245" t="s">
        <v>144</v>
      </c>
      <c r="E228" s="151" t="s">
        <v>169</v>
      </c>
      <c r="F228" s="151" t="s">
        <v>140</v>
      </c>
      <c r="G228" s="151" t="s">
        <v>33</v>
      </c>
      <c r="H228" s="151" t="s">
        <v>49</v>
      </c>
      <c r="I228" s="256">
        <v>11</v>
      </c>
      <c r="J228" s="151" t="s">
        <v>84</v>
      </c>
      <c r="K228" s="176" t="s">
        <v>132</v>
      </c>
      <c r="L228" s="245">
        <v>30328279</v>
      </c>
      <c r="M228" s="855"/>
      <c r="N228" s="245"/>
      <c r="O228" s="245" t="s">
        <v>452</v>
      </c>
      <c r="P228" s="813" t="s">
        <v>453</v>
      </c>
      <c r="Q228" s="176" t="s">
        <v>454</v>
      </c>
      <c r="R228" s="273" t="s">
        <v>455</v>
      </c>
      <c r="S228" s="274"/>
      <c r="T228" s="273"/>
      <c r="U228" s="273" t="s">
        <v>1499</v>
      </c>
      <c r="V228" s="273">
        <v>127690000</v>
      </c>
      <c r="W228" s="273"/>
      <c r="X228" s="274"/>
      <c r="Y228" s="275">
        <v>127689582</v>
      </c>
      <c r="Z228" s="275">
        <v>0</v>
      </c>
      <c r="AA228" s="296"/>
      <c r="AB228" s="297">
        <v>127689582</v>
      </c>
      <c r="AC228" s="297">
        <f t="shared" si="85"/>
        <v>0</v>
      </c>
      <c r="AD228" s="297">
        <f>+AB228-AC228</f>
        <v>127689582</v>
      </c>
      <c r="AE228" s="297">
        <v>0</v>
      </c>
      <c r="AF228" s="297">
        <v>0</v>
      </c>
      <c r="AG228" s="297">
        <v>0</v>
      </c>
      <c r="AH228" s="297">
        <v>0</v>
      </c>
      <c r="AI228" s="297">
        <v>0</v>
      </c>
      <c r="AJ228" s="297">
        <v>0</v>
      </c>
      <c r="AK228" s="297">
        <v>0</v>
      </c>
      <c r="AL228" s="297">
        <v>0</v>
      </c>
      <c r="AM228" s="297">
        <v>0</v>
      </c>
      <c r="AN228" s="297">
        <v>0</v>
      </c>
      <c r="AO228" s="297">
        <v>0</v>
      </c>
      <c r="AP228" s="297">
        <v>0</v>
      </c>
      <c r="AQ228" s="296"/>
      <c r="AR228" s="297">
        <f>+Y228-Z228-AC228-AD228</f>
        <v>0</v>
      </c>
      <c r="AS228" s="313" t="s">
        <v>148</v>
      </c>
      <c r="AT228" s="313" t="s">
        <v>1464</v>
      </c>
      <c r="AU228" s="176" t="s">
        <v>158</v>
      </c>
      <c r="AW228" s="391"/>
    </row>
    <row r="229" spans="1:49" s="218" customFormat="1" ht="25.5" customHeight="1" outlineLevel="2">
      <c r="A229" s="215" t="s">
        <v>125</v>
      </c>
      <c r="B229" s="151">
        <v>29</v>
      </c>
      <c r="C229" s="151" t="s">
        <v>128</v>
      </c>
      <c r="D229" s="245" t="s">
        <v>164</v>
      </c>
      <c r="E229" s="151" t="s">
        <v>169</v>
      </c>
      <c r="F229" s="151" t="s">
        <v>140</v>
      </c>
      <c r="G229" s="151" t="s">
        <v>33</v>
      </c>
      <c r="H229" s="151" t="s">
        <v>49</v>
      </c>
      <c r="I229" s="256">
        <v>11</v>
      </c>
      <c r="J229" s="151" t="s">
        <v>81</v>
      </c>
      <c r="K229" s="176" t="s">
        <v>132</v>
      </c>
      <c r="L229" s="245">
        <v>40005418</v>
      </c>
      <c r="M229" s="855"/>
      <c r="N229" s="245" t="e">
        <v>#N/A</v>
      </c>
      <c r="O229" s="245" t="s">
        <v>456</v>
      </c>
      <c r="P229" s="813" t="s">
        <v>457</v>
      </c>
      <c r="Q229" s="176" t="s">
        <v>458</v>
      </c>
      <c r="R229" s="273"/>
      <c r="S229" s="274"/>
      <c r="T229" s="273"/>
      <c r="U229" s="273" t="s">
        <v>1500</v>
      </c>
      <c r="V229" s="273">
        <v>137960000</v>
      </c>
      <c r="W229" s="273"/>
      <c r="X229" s="274"/>
      <c r="Y229" s="275">
        <v>54300000</v>
      </c>
      <c r="Z229" s="275">
        <v>0</v>
      </c>
      <c r="AA229" s="296"/>
      <c r="AB229" s="297">
        <f>+Y229</f>
        <v>54300000</v>
      </c>
      <c r="AC229" s="297">
        <f>SUBTOTAL(9,AE229:AP229)</f>
        <v>0</v>
      </c>
      <c r="AD229" s="297">
        <f>+AB229-AC229</f>
        <v>54300000</v>
      </c>
      <c r="AE229" s="297">
        <v>0</v>
      </c>
      <c r="AF229" s="297">
        <v>0</v>
      </c>
      <c r="AG229" s="297">
        <v>0</v>
      </c>
      <c r="AH229" s="297">
        <v>0</v>
      </c>
      <c r="AI229" s="297">
        <v>0</v>
      </c>
      <c r="AJ229" s="297">
        <v>0</v>
      </c>
      <c r="AK229" s="297">
        <v>0</v>
      </c>
      <c r="AL229" s="297">
        <v>0</v>
      </c>
      <c r="AM229" s="297">
        <v>0</v>
      </c>
      <c r="AN229" s="297">
        <v>0</v>
      </c>
      <c r="AO229" s="297">
        <v>0</v>
      </c>
      <c r="AP229" s="297">
        <v>0</v>
      </c>
      <c r="AQ229" s="296"/>
      <c r="AR229" s="297">
        <f>+Y229-Z229-AC229-AD229</f>
        <v>0</v>
      </c>
      <c r="AS229" s="313" t="s">
        <v>148</v>
      </c>
      <c r="AT229" s="313" t="s">
        <v>1464</v>
      </c>
      <c r="AU229" s="176" t="s">
        <v>158</v>
      </c>
    </row>
    <row r="230" spans="1:49" s="217" customFormat="1" ht="25.5" customHeight="1" outlineLevel="1">
      <c r="A230" s="215" t="s">
        <v>125</v>
      </c>
      <c r="B230" s="151">
        <v>31</v>
      </c>
      <c r="C230" s="151" t="s">
        <v>196</v>
      </c>
      <c r="D230" s="245" t="s">
        <v>168</v>
      </c>
      <c r="E230" s="151" t="s">
        <v>169</v>
      </c>
      <c r="F230" s="151" t="s">
        <v>207</v>
      </c>
      <c r="G230" s="151" t="s">
        <v>33</v>
      </c>
      <c r="H230" s="151" t="s">
        <v>49</v>
      </c>
      <c r="I230" s="256">
        <v>11</v>
      </c>
      <c r="J230" s="151" t="s">
        <v>80</v>
      </c>
      <c r="K230" s="176" t="s">
        <v>132</v>
      </c>
      <c r="L230" s="245">
        <v>30116479</v>
      </c>
      <c r="M230" s="855"/>
      <c r="N230" s="245" t="s">
        <v>337</v>
      </c>
      <c r="O230" s="245" t="s">
        <v>459</v>
      </c>
      <c r="P230" s="813" t="s">
        <v>460</v>
      </c>
      <c r="Q230" s="176" t="s">
        <v>461</v>
      </c>
      <c r="R230" s="273" t="s">
        <v>462</v>
      </c>
      <c r="S230" s="274"/>
      <c r="T230" s="273"/>
      <c r="U230" s="273" t="s">
        <v>1501</v>
      </c>
      <c r="V230" s="273">
        <v>425454000</v>
      </c>
      <c r="W230" s="273"/>
      <c r="X230" s="274"/>
      <c r="Y230" s="326">
        <v>425454000</v>
      </c>
      <c r="Z230" s="275">
        <v>0</v>
      </c>
      <c r="AA230" s="296"/>
      <c r="AB230" s="297">
        <v>80000000</v>
      </c>
      <c r="AC230" s="297">
        <f t="shared" si="85"/>
        <v>0</v>
      </c>
      <c r="AD230" s="297">
        <f>+AB230-AC230</f>
        <v>80000000</v>
      </c>
      <c r="AE230" s="297">
        <v>0</v>
      </c>
      <c r="AF230" s="297">
        <v>0</v>
      </c>
      <c r="AG230" s="297">
        <v>0</v>
      </c>
      <c r="AH230" s="297">
        <v>0</v>
      </c>
      <c r="AI230" s="297">
        <v>0</v>
      </c>
      <c r="AJ230" s="297">
        <v>0</v>
      </c>
      <c r="AK230" s="297">
        <v>0</v>
      </c>
      <c r="AL230" s="297">
        <v>0</v>
      </c>
      <c r="AM230" s="297">
        <v>0</v>
      </c>
      <c r="AN230" s="297">
        <v>0</v>
      </c>
      <c r="AO230" s="297">
        <v>0</v>
      </c>
      <c r="AP230" s="297">
        <v>0</v>
      </c>
      <c r="AQ230" s="296"/>
      <c r="AR230" s="297">
        <f>+Y230-Z230-AC230-AD230</f>
        <v>345454000</v>
      </c>
      <c r="AS230" s="313" t="s">
        <v>137</v>
      </c>
      <c r="AT230" s="313" t="s">
        <v>137</v>
      </c>
      <c r="AU230" s="176" t="s">
        <v>1502</v>
      </c>
      <c r="AW230" s="391"/>
    </row>
    <row r="231" spans="1:49" s="217" customFormat="1" ht="25.5" customHeight="1" outlineLevel="1">
      <c r="A231" s="215" t="s">
        <v>125</v>
      </c>
      <c r="B231" s="151">
        <v>29</v>
      </c>
      <c r="C231" s="151" t="s">
        <v>196</v>
      </c>
      <c r="D231" s="245" t="s">
        <v>139</v>
      </c>
      <c r="E231" s="151" t="s">
        <v>130</v>
      </c>
      <c r="F231" s="151" t="s">
        <v>140</v>
      </c>
      <c r="G231" s="151" t="s">
        <v>33</v>
      </c>
      <c r="H231" s="151" t="s">
        <v>49</v>
      </c>
      <c r="I231" s="256">
        <v>11</v>
      </c>
      <c r="J231" s="151" t="s">
        <v>80</v>
      </c>
      <c r="K231" s="176" t="s">
        <v>132</v>
      </c>
      <c r="L231" s="245">
        <v>40013393</v>
      </c>
      <c r="M231" s="855"/>
      <c r="N231" s="245"/>
      <c r="O231" s="245" t="s">
        <v>463</v>
      </c>
      <c r="P231" s="257"/>
      <c r="Q231" s="176" t="s">
        <v>464</v>
      </c>
      <c r="R231" s="273" t="s">
        <v>465</v>
      </c>
      <c r="S231" s="274"/>
      <c r="T231" s="273"/>
      <c r="U231" s="273"/>
      <c r="V231" s="273"/>
      <c r="W231" s="273"/>
      <c r="X231" s="274"/>
      <c r="Y231" s="275">
        <v>290674000</v>
      </c>
      <c r="Z231" s="275">
        <v>0</v>
      </c>
      <c r="AA231" s="296"/>
      <c r="AB231" s="297">
        <v>0</v>
      </c>
      <c r="AC231" s="297">
        <f t="shared" si="85"/>
        <v>0</v>
      </c>
      <c r="AD231" s="297">
        <f t="shared" ref="AD231:AD233" si="93">+AB231-AC231</f>
        <v>0</v>
      </c>
      <c r="AE231" s="297">
        <v>0</v>
      </c>
      <c r="AF231" s="297">
        <v>0</v>
      </c>
      <c r="AG231" s="297">
        <v>0</v>
      </c>
      <c r="AH231" s="297">
        <v>0</v>
      </c>
      <c r="AI231" s="297">
        <v>0</v>
      </c>
      <c r="AJ231" s="297">
        <v>0</v>
      </c>
      <c r="AK231" s="297">
        <v>0</v>
      </c>
      <c r="AL231" s="297">
        <v>0</v>
      </c>
      <c r="AM231" s="297">
        <v>0</v>
      </c>
      <c r="AN231" s="297">
        <v>0</v>
      </c>
      <c r="AO231" s="297">
        <v>0</v>
      </c>
      <c r="AP231" s="297">
        <v>0</v>
      </c>
      <c r="AQ231" s="296"/>
      <c r="AR231" s="297">
        <f t="shared" ref="AR231:AR234" si="94">+Y231-Z231-AC231-AD231</f>
        <v>290674000</v>
      </c>
      <c r="AS231" s="313" t="s">
        <v>148</v>
      </c>
      <c r="AT231" s="313" t="s">
        <v>1464</v>
      </c>
      <c r="AU231" s="176" t="s">
        <v>200</v>
      </c>
    </row>
    <row r="232" spans="1:49" s="217" customFormat="1" ht="25.5" customHeight="1" outlineLevel="1">
      <c r="A232" s="215" t="s">
        <v>125</v>
      </c>
      <c r="B232" s="151">
        <v>31</v>
      </c>
      <c r="C232" s="151" t="s">
        <v>196</v>
      </c>
      <c r="D232" s="245" t="s">
        <v>139</v>
      </c>
      <c r="E232" s="151" t="s">
        <v>169</v>
      </c>
      <c r="F232" s="151" t="s">
        <v>140</v>
      </c>
      <c r="G232" s="151" t="s">
        <v>33</v>
      </c>
      <c r="H232" s="151" t="s">
        <v>49</v>
      </c>
      <c r="I232" s="256">
        <v>11</v>
      </c>
      <c r="J232" s="151" t="s">
        <v>80</v>
      </c>
      <c r="K232" s="176" t="s">
        <v>202</v>
      </c>
      <c r="L232" s="245">
        <v>40015801</v>
      </c>
      <c r="M232" s="855"/>
      <c r="N232" s="245"/>
      <c r="O232" s="245" t="s">
        <v>466</v>
      </c>
      <c r="P232" s="257"/>
      <c r="Q232" s="176" t="s">
        <v>467</v>
      </c>
      <c r="R232" s="273"/>
      <c r="S232" s="274"/>
      <c r="T232" s="273"/>
      <c r="U232" s="273"/>
      <c r="V232" s="273"/>
      <c r="W232" s="273"/>
      <c r="X232" s="274"/>
      <c r="Y232" s="275">
        <v>122370000</v>
      </c>
      <c r="Z232" s="275">
        <v>0</v>
      </c>
      <c r="AA232" s="296"/>
      <c r="AB232" s="297">
        <v>25000000</v>
      </c>
      <c r="AC232" s="297">
        <f t="shared" si="85"/>
        <v>0</v>
      </c>
      <c r="AD232" s="297">
        <f t="shared" si="93"/>
        <v>25000000</v>
      </c>
      <c r="AE232" s="297">
        <v>0</v>
      </c>
      <c r="AF232" s="297">
        <v>0</v>
      </c>
      <c r="AG232" s="297">
        <v>0</v>
      </c>
      <c r="AH232" s="297">
        <v>0</v>
      </c>
      <c r="AI232" s="297">
        <v>0</v>
      </c>
      <c r="AJ232" s="297">
        <v>0</v>
      </c>
      <c r="AK232" s="297">
        <v>0</v>
      </c>
      <c r="AL232" s="297">
        <v>0</v>
      </c>
      <c r="AM232" s="297">
        <v>0</v>
      </c>
      <c r="AN232" s="297">
        <v>0</v>
      </c>
      <c r="AO232" s="297">
        <v>0</v>
      </c>
      <c r="AP232" s="297">
        <v>0</v>
      </c>
      <c r="AQ232" s="296"/>
      <c r="AR232" s="297">
        <f t="shared" si="94"/>
        <v>97370000</v>
      </c>
      <c r="AS232" s="313" t="s">
        <v>137</v>
      </c>
      <c r="AT232" s="313" t="s">
        <v>137</v>
      </c>
      <c r="AU232" s="176" t="s">
        <v>190</v>
      </c>
    </row>
    <row r="233" spans="1:49" s="217" customFormat="1" ht="25.5" customHeight="1" outlineLevel="1">
      <c r="A233" s="215" t="s">
        <v>125</v>
      </c>
      <c r="B233" s="321">
        <v>31</v>
      </c>
      <c r="C233" s="321" t="s">
        <v>196</v>
      </c>
      <c r="D233" s="322" t="s">
        <v>251</v>
      </c>
      <c r="E233" s="321" t="s">
        <v>169</v>
      </c>
      <c r="F233" s="321" t="s">
        <v>251</v>
      </c>
      <c r="G233" s="321" t="s">
        <v>33</v>
      </c>
      <c r="H233" s="321" t="s">
        <v>49</v>
      </c>
      <c r="I233" s="324">
        <v>11</v>
      </c>
      <c r="J233" s="321" t="s">
        <v>80</v>
      </c>
      <c r="K233" s="325" t="s">
        <v>132</v>
      </c>
      <c r="L233" s="322">
        <v>40019107</v>
      </c>
      <c r="M233" s="862" t="s">
        <v>1605</v>
      </c>
      <c r="N233" s="322"/>
      <c r="O233" s="245" t="s">
        <v>468</v>
      </c>
      <c r="P233" s="389"/>
      <c r="Q233" s="870" t="s">
        <v>1579</v>
      </c>
      <c r="R233" s="328" t="s">
        <v>1580</v>
      </c>
      <c r="S233" s="329"/>
      <c r="T233" s="328"/>
      <c r="U233" s="328"/>
      <c r="V233" s="328"/>
      <c r="W233" s="328"/>
      <c r="X233" s="329"/>
      <c r="Y233" s="869">
        <v>769101000</v>
      </c>
      <c r="Z233" s="330">
        <v>0</v>
      </c>
      <c r="AA233" s="331"/>
      <c r="AB233" s="330">
        <v>766527000</v>
      </c>
      <c r="AC233" s="332">
        <f t="shared" ref="AC233:AC276" si="95">SUBTOTAL(9,AE233:AP233)</f>
        <v>0</v>
      </c>
      <c r="AD233" s="332">
        <f t="shared" si="93"/>
        <v>766527000</v>
      </c>
      <c r="AE233" s="332">
        <v>0</v>
      </c>
      <c r="AF233" s="332">
        <v>0</v>
      </c>
      <c r="AG233" s="332">
        <v>0</v>
      </c>
      <c r="AH233" s="332">
        <v>0</v>
      </c>
      <c r="AI233" s="332">
        <v>0</v>
      </c>
      <c r="AJ233" s="297">
        <v>0</v>
      </c>
      <c r="AK233" s="297">
        <v>0</v>
      </c>
      <c r="AL233" s="297">
        <v>0</v>
      </c>
      <c r="AM233" s="297">
        <v>0</v>
      </c>
      <c r="AN233" s="297">
        <v>0</v>
      </c>
      <c r="AO233" s="332">
        <v>0</v>
      </c>
      <c r="AP233" s="332">
        <v>0</v>
      </c>
      <c r="AQ233" s="331"/>
      <c r="AR233" s="332">
        <f t="shared" si="94"/>
        <v>2574000</v>
      </c>
      <c r="AS233" s="335" t="s">
        <v>137</v>
      </c>
      <c r="AT233" s="313" t="s">
        <v>137</v>
      </c>
      <c r="AU233" s="176" t="s">
        <v>200</v>
      </c>
    </row>
    <row r="234" spans="1:49" s="217" customFormat="1" ht="25.5" customHeight="1" outlineLevel="1">
      <c r="A234" s="215" t="s">
        <v>125</v>
      </c>
      <c r="B234" s="247"/>
      <c r="C234" s="247"/>
      <c r="D234" s="248"/>
      <c r="E234" s="249"/>
      <c r="F234" s="249"/>
      <c r="G234" s="249"/>
      <c r="H234" s="249"/>
      <c r="I234" s="249"/>
      <c r="J234" s="247"/>
      <c r="K234" s="259"/>
      <c r="L234" s="248"/>
      <c r="M234" s="248"/>
      <c r="N234" s="250"/>
      <c r="O234" s="250"/>
      <c r="P234" s="250"/>
      <c r="Q234" s="260" t="s">
        <v>201</v>
      </c>
      <c r="R234" s="278"/>
      <c r="S234" s="279"/>
      <c r="T234" s="279"/>
      <c r="U234" s="279"/>
      <c r="V234" s="279"/>
      <c r="W234" s="279"/>
      <c r="X234" s="281"/>
      <c r="Y234" s="286">
        <f>SUBTOTAL(9,Y227:Y233)</f>
        <v>1919018582</v>
      </c>
      <c r="Z234" s="286">
        <f>SUBTOTAL(9,Z227:Z233)</f>
        <v>0</v>
      </c>
      <c r="AA234" s="303"/>
      <c r="AB234" s="286">
        <f>SUBTOTAL(9,AB227:AB233)</f>
        <v>1113516582</v>
      </c>
      <c r="AC234" s="286">
        <f>SUM(AE234:AP234)</f>
        <v>0</v>
      </c>
      <c r="AD234" s="286">
        <f>SUBTOTAL(9,AD227:AD233)</f>
        <v>1113516582</v>
      </c>
      <c r="AE234" s="286">
        <f>SUM(AE227:AE233)</f>
        <v>0</v>
      </c>
      <c r="AF234" s="286">
        <f t="shared" ref="AF234:AP234" si="96">SUM(AF227:AF233)</f>
        <v>0</v>
      </c>
      <c r="AG234" s="286">
        <f t="shared" si="96"/>
        <v>0</v>
      </c>
      <c r="AH234" s="286">
        <f t="shared" si="96"/>
        <v>0</v>
      </c>
      <c r="AI234" s="286">
        <f t="shared" si="96"/>
        <v>0</v>
      </c>
      <c r="AJ234" s="286">
        <v>0</v>
      </c>
      <c r="AK234" s="286">
        <f t="shared" si="96"/>
        <v>0</v>
      </c>
      <c r="AL234" s="286">
        <f t="shared" si="96"/>
        <v>0</v>
      </c>
      <c r="AM234" s="286">
        <f t="shared" si="96"/>
        <v>0</v>
      </c>
      <c r="AN234" s="286">
        <f t="shared" si="96"/>
        <v>0</v>
      </c>
      <c r="AO234" s="286">
        <f t="shared" si="96"/>
        <v>0</v>
      </c>
      <c r="AP234" s="286">
        <f t="shared" si="96"/>
        <v>0</v>
      </c>
      <c r="AQ234" s="287"/>
      <c r="AR234" s="286">
        <f t="shared" si="94"/>
        <v>805502000</v>
      </c>
      <c r="AS234" s="315"/>
      <c r="AT234" s="315"/>
      <c r="AU234" s="220"/>
    </row>
    <row r="235" spans="1:49" ht="18.75" customHeight="1" outlineLevel="1">
      <c r="A235" s="215" t="s">
        <v>125</v>
      </c>
      <c r="B235" s="249"/>
      <c r="C235" s="249"/>
      <c r="D235" s="250"/>
      <c r="E235" s="249"/>
      <c r="F235" s="249"/>
      <c r="G235" s="249"/>
      <c r="H235" s="249"/>
      <c r="I235" s="249"/>
      <c r="J235" s="249"/>
      <c r="K235" s="261"/>
      <c r="L235" s="250"/>
      <c r="M235" s="250"/>
      <c r="N235" s="250"/>
      <c r="O235" s="250"/>
      <c r="P235" s="250"/>
      <c r="Q235" s="261"/>
      <c r="R235" s="283"/>
      <c r="S235" s="283"/>
      <c r="T235" s="283"/>
      <c r="U235" s="283"/>
      <c r="V235" s="283"/>
      <c r="W235" s="283"/>
      <c r="X235" s="283"/>
      <c r="Y235" s="284"/>
      <c r="Z235" s="284"/>
      <c r="AA235" s="301"/>
      <c r="AB235" s="301"/>
      <c r="AC235" s="301"/>
      <c r="AD235" s="301"/>
      <c r="AE235" s="301"/>
      <c r="AF235" s="301"/>
      <c r="AG235" s="301"/>
      <c r="AH235" s="301"/>
      <c r="AI235" s="301"/>
      <c r="AJ235" s="301"/>
      <c r="AK235" s="301"/>
      <c r="AL235" s="301"/>
      <c r="AM235" s="301"/>
      <c r="AN235" s="301"/>
      <c r="AO235" s="301"/>
      <c r="AP235" s="301"/>
      <c r="AQ235" s="301"/>
      <c r="AR235" s="301"/>
      <c r="AS235" s="316"/>
      <c r="AT235" s="316"/>
      <c r="AU235" s="317"/>
    </row>
    <row r="236" spans="1:49" s="219" customFormat="1" ht="24.75" customHeight="1" outlineLevel="1">
      <c r="A236" s="215" t="s">
        <v>125</v>
      </c>
      <c r="B236" s="251"/>
      <c r="C236" s="249"/>
      <c r="D236" s="250"/>
      <c r="E236" s="249"/>
      <c r="F236" s="249"/>
      <c r="G236" s="249"/>
      <c r="H236" s="249"/>
      <c r="I236" s="249"/>
      <c r="J236" s="251"/>
      <c r="K236" s="263"/>
      <c r="L236" s="252"/>
      <c r="M236" s="252"/>
      <c r="N236" s="252"/>
      <c r="O236" s="252"/>
      <c r="P236" s="252"/>
      <c r="Q236" s="117" t="s">
        <v>470</v>
      </c>
      <c r="R236" s="288"/>
      <c r="S236" s="289"/>
      <c r="T236" s="289"/>
      <c r="U236" s="289"/>
      <c r="V236" s="289"/>
      <c r="W236" s="289"/>
      <c r="X236" s="290"/>
      <c r="Y236" s="118">
        <f>+Y224+Y234</f>
        <v>2283098582</v>
      </c>
      <c r="Z236" s="118">
        <f>+Z224+Z234</f>
        <v>2300000</v>
      </c>
      <c r="AA236" s="304"/>
      <c r="AB236" s="118">
        <f t="shared" ref="AB236:AP236" si="97">+AB224+AB234</f>
        <v>1475296582</v>
      </c>
      <c r="AC236" s="118">
        <f t="shared" si="97"/>
        <v>106896571</v>
      </c>
      <c r="AD236" s="118">
        <f t="shared" si="97"/>
        <v>1368400011</v>
      </c>
      <c r="AE236" s="118">
        <f t="shared" si="97"/>
        <v>0</v>
      </c>
      <c r="AF236" s="118">
        <f t="shared" si="97"/>
        <v>0</v>
      </c>
      <c r="AG236" s="118">
        <f t="shared" si="97"/>
        <v>0</v>
      </c>
      <c r="AH236" s="118">
        <f t="shared" si="97"/>
        <v>0</v>
      </c>
      <c r="AI236" s="118">
        <f t="shared" si="97"/>
        <v>0</v>
      </c>
      <c r="AJ236" s="118">
        <v>0</v>
      </c>
      <c r="AK236" s="118">
        <f t="shared" si="97"/>
        <v>4400000</v>
      </c>
      <c r="AL236" s="118">
        <f t="shared" si="97"/>
        <v>9381246</v>
      </c>
      <c r="AM236" s="118">
        <f t="shared" si="97"/>
        <v>20841695</v>
      </c>
      <c r="AN236" s="118">
        <f t="shared" si="97"/>
        <v>0</v>
      </c>
      <c r="AO236" s="118">
        <f t="shared" si="97"/>
        <v>65693630</v>
      </c>
      <c r="AP236" s="118">
        <f t="shared" si="97"/>
        <v>6580000</v>
      </c>
      <c r="AQ236" s="318"/>
      <c r="AR236" s="118">
        <f>+Y236-Z236-AC236-AD236</f>
        <v>805502000</v>
      </c>
      <c r="AS236" s="333"/>
      <c r="AT236" s="333"/>
      <c r="AU236" s="320"/>
    </row>
    <row r="237" spans="1:49" ht="18.75" customHeight="1" outlineLevel="1">
      <c r="A237" s="215" t="s">
        <v>125</v>
      </c>
      <c r="B237" s="249"/>
      <c r="C237" s="249"/>
      <c r="D237" s="250"/>
      <c r="E237" s="249"/>
      <c r="F237" s="249"/>
      <c r="G237" s="249"/>
      <c r="H237" s="249"/>
      <c r="I237" s="249"/>
      <c r="J237" s="249"/>
      <c r="K237" s="261"/>
      <c r="L237" s="250"/>
      <c r="M237" s="250"/>
      <c r="N237" s="250"/>
      <c r="O237" s="250"/>
      <c r="P237" s="250"/>
      <c r="Q237" s="261"/>
      <c r="R237" s="283"/>
      <c r="S237" s="283"/>
      <c r="T237" s="283"/>
      <c r="U237" s="283"/>
      <c r="V237" s="283"/>
      <c r="W237" s="283"/>
      <c r="X237" s="283"/>
      <c r="Y237" s="284"/>
      <c r="Z237" s="284"/>
      <c r="AA237" s="301"/>
      <c r="AB237" s="301"/>
      <c r="AC237" s="301"/>
      <c r="AD237" s="301"/>
      <c r="AE237" s="301"/>
      <c r="AF237" s="301"/>
      <c r="AG237" s="301"/>
      <c r="AH237" s="301"/>
      <c r="AI237" s="301"/>
      <c r="AJ237" s="301"/>
      <c r="AK237" s="301"/>
      <c r="AL237" s="301"/>
      <c r="AM237" s="301"/>
      <c r="AN237" s="301"/>
      <c r="AO237" s="301"/>
      <c r="AP237" s="301"/>
      <c r="AQ237" s="301"/>
      <c r="AR237" s="301"/>
      <c r="AS237" s="316"/>
      <c r="AT237" s="316"/>
      <c r="AU237" s="317"/>
    </row>
    <row r="238" spans="1:49" ht="26.25" customHeight="1" outlineLevel="1">
      <c r="A238" s="215" t="s">
        <v>125</v>
      </c>
      <c r="B238" s="249"/>
      <c r="C238" s="249"/>
      <c r="D238" s="250"/>
      <c r="E238" s="249"/>
      <c r="F238" s="249"/>
      <c r="G238" s="249"/>
      <c r="H238" s="249"/>
      <c r="I238" s="249"/>
      <c r="J238" s="249"/>
      <c r="K238" s="261"/>
      <c r="L238" s="250"/>
      <c r="M238" s="250"/>
      <c r="N238" s="250"/>
      <c r="O238" s="250"/>
      <c r="P238" s="250"/>
      <c r="Q238" s="264" t="s">
        <v>471</v>
      </c>
      <c r="R238" s="283"/>
      <c r="S238" s="283"/>
      <c r="T238" s="283"/>
      <c r="U238" s="283"/>
      <c r="V238" s="283"/>
      <c r="W238" s="283"/>
      <c r="X238" s="283"/>
      <c r="Y238" s="284"/>
      <c r="Z238" s="284"/>
      <c r="AA238" s="301"/>
      <c r="AB238" s="301"/>
      <c r="AC238" s="301"/>
      <c r="AD238" s="301"/>
      <c r="AE238" s="301"/>
      <c r="AF238" s="301"/>
      <c r="AG238" s="301"/>
      <c r="AH238" s="301"/>
      <c r="AI238" s="301"/>
      <c r="AJ238" s="301"/>
      <c r="AK238" s="301"/>
      <c r="AL238" s="301"/>
      <c r="AM238" s="301"/>
      <c r="AN238" s="301"/>
      <c r="AO238" s="301"/>
      <c r="AP238" s="301"/>
      <c r="AQ238" s="301"/>
      <c r="AR238" s="301"/>
      <c r="AS238" s="316"/>
      <c r="AT238" s="316"/>
      <c r="AU238" s="317"/>
    </row>
    <row r="239" spans="1:49" s="216" customFormat="1" ht="15" customHeight="1" outlineLevel="1">
      <c r="A239" s="215" t="s">
        <v>125</v>
      </c>
      <c r="B239" s="249"/>
      <c r="C239" s="249"/>
      <c r="D239" s="250"/>
      <c r="E239" s="249"/>
      <c r="F239" s="249"/>
      <c r="G239" s="249"/>
      <c r="H239" s="249"/>
      <c r="I239" s="249"/>
      <c r="J239" s="249"/>
      <c r="K239" s="261"/>
      <c r="L239" s="250"/>
      <c r="M239" s="250"/>
      <c r="N239" s="250"/>
      <c r="O239" s="250"/>
      <c r="P239" s="250"/>
      <c r="Q239" s="255"/>
      <c r="R239" s="283"/>
      <c r="S239" s="283"/>
      <c r="T239" s="283"/>
      <c r="U239" s="283"/>
      <c r="V239" s="283"/>
      <c r="W239" s="283"/>
      <c r="X239" s="283"/>
      <c r="Y239" s="284"/>
      <c r="Z239" s="284"/>
      <c r="AA239" s="301"/>
      <c r="AB239" s="301"/>
      <c r="AC239" s="301"/>
      <c r="AD239" s="301"/>
      <c r="AE239" s="301"/>
      <c r="AF239" s="301"/>
      <c r="AG239" s="301"/>
      <c r="AH239" s="301"/>
      <c r="AI239" s="301"/>
      <c r="AJ239" s="301"/>
      <c r="AK239" s="301"/>
      <c r="AL239" s="301"/>
      <c r="AM239" s="301"/>
      <c r="AN239" s="301"/>
      <c r="AO239" s="301"/>
      <c r="AP239" s="301"/>
      <c r="AQ239" s="301"/>
      <c r="AR239" s="301"/>
      <c r="AS239" s="316"/>
      <c r="AT239" s="316"/>
      <c r="AU239" s="317"/>
    </row>
    <row r="240" spans="1:49" s="217" customFormat="1" ht="25.5" customHeight="1" outlineLevel="1">
      <c r="A240" s="215" t="s">
        <v>125</v>
      </c>
      <c r="B240" s="247"/>
      <c r="C240" s="247"/>
      <c r="D240" s="248"/>
      <c r="E240" s="249"/>
      <c r="F240" s="249"/>
      <c r="G240" s="249"/>
      <c r="H240" s="249"/>
      <c r="I240" s="249"/>
      <c r="J240" s="247"/>
      <c r="K240" s="259"/>
      <c r="L240" s="248"/>
      <c r="M240" s="248"/>
      <c r="N240" s="250"/>
      <c r="O240" s="250"/>
      <c r="P240" s="250"/>
      <c r="Q240" s="99" t="s">
        <v>127</v>
      </c>
      <c r="R240" s="283"/>
      <c r="S240" s="283"/>
      <c r="T240" s="283"/>
      <c r="U240" s="283"/>
      <c r="V240" s="283"/>
      <c r="W240" s="283"/>
      <c r="X240" s="283"/>
      <c r="Y240" s="285"/>
      <c r="Z240" s="285"/>
      <c r="AA240" s="302"/>
      <c r="AB240" s="302"/>
      <c r="AC240" s="302"/>
      <c r="AD240" s="302"/>
      <c r="AE240" s="302"/>
      <c r="AF240" s="302"/>
      <c r="AG240" s="302"/>
      <c r="AH240" s="301"/>
      <c r="AI240" s="301"/>
      <c r="AJ240" s="301"/>
      <c r="AK240" s="301"/>
      <c r="AL240" s="301"/>
      <c r="AM240" s="301"/>
      <c r="AN240" s="301"/>
      <c r="AO240" s="301"/>
      <c r="AP240" s="301"/>
      <c r="AQ240" s="302"/>
      <c r="AR240" s="302"/>
      <c r="AS240" s="315"/>
      <c r="AT240" s="315"/>
      <c r="AU240" s="220"/>
    </row>
    <row r="241" spans="1:47" s="218" customFormat="1" ht="25.5" customHeight="1" outlineLevel="2">
      <c r="A241" s="215" t="s">
        <v>125</v>
      </c>
      <c r="B241" s="151">
        <v>31</v>
      </c>
      <c r="C241" s="151" t="s">
        <v>128</v>
      </c>
      <c r="D241" s="245" t="s">
        <v>168</v>
      </c>
      <c r="E241" s="151" t="s">
        <v>169</v>
      </c>
      <c r="F241" s="151" t="s">
        <v>397</v>
      </c>
      <c r="G241" s="151" t="s">
        <v>33</v>
      </c>
      <c r="H241" s="151" t="s">
        <v>50</v>
      </c>
      <c r="I241" s="256">
        <v>12</v>
      </c>
      <c r="J241" s="151" t="s">
        <v>80</v>
      </c>
      <c r="K241" s="176" t="s">
        <v>132</v>
      </c>
      <c r="L241" s="390">
        <v>30088011</v>
      </c>
      <c r="M241" s="855" t="s">
        <v>1608</v>
      </c>
      <c r="N241" s="245" t="s">
        <v>373</v>
      </c>
      <c r="O241" s="245" t="s">
        <v>472</v>
      </c>
      <c r="P241" s="245"/>
      <c r="Q241" s="176" t="s">
        <v>473</v>
      </c>
      <c r="R241" s="273"/>
      <c r="S241" s="274"/>
      <c r="T241" s="273"/>
      <c r="U241" s="273"/>
      <c r="V241" s="273"/>
      <c r="W241" s="273"/>
      <c r="X241" s="274"/>
      <c r="Y241" s="275">
        <v>646979000</v>
      </c>
      <c r="Z241" s="275">
        <v>305360040</v>
      </c>
      <c r="AA241" s="296"/>
      <c r="AB241" s="297">
        <f>277920108+63698852</f>
        <v>341618960</v>
      </c>
      <c r="AC241" s="297">
        <f t="shared" si="95"/>
        <v>29853568</v>
      </c>
      <c r="AD241" s="297">
        <f t="shared" ref="AD241:AD248" si="98">+AB241-AC241</f>
        <v>311765392</v>
      </c>
      <c r="AE241" s="297">
        <v>0</v>
      </c>
      <c r="AF241" s="297">
        <v>0</v>
      </c>
      <c r="AG241" s="297">
        <v>0</v>
      </c>
      <c r="AH241" s="297">
        <v>0</v>
      </c>
      <c r="AI241" s="297">
        <v>0</v>
      </c>
      <c r="AJ241" s="297">
        <v>0</v>
      </c>
      <c r="AK241" s="297">
        <v>0</v>
      </c>
      <c r="AL241" s="297">
        <v>0</v>
      </c>
      <c r="AM241" s="297">
        <v>0</v>
      </c>
      <c r="AN241" s="297">
        <v>10007311</v>
      </c>
      <c r="AO241" s="297">
        <v>3487763</v>
      </c>
      <c r="AP241" s="297">
        <v>16358494</v>
      </c>
      <c r="AQ241" s="296"/>
      <c r="AR241" s="297">
        <f t="shared" ref="AR241:AR249" si="99">+Y241-Z241-AC241-AD241</f>
        <v>0</v>
      </c>
      <c r="AS241" s="313" t="s">
        <v>137</v>
      </c>
      <c r="AT241" s="313" t="s">
        <v>137</v>
      </c>
      <c r="AU241" s="176" t="s">
        <v>138</v>
      </c>
    </row>
    <row r="242" spans="1:47" s="218" customFormat="1" ht="25.5" customHeight="1" outlineLevel="2">
      <c r="A242" s="215" t="s">
        <v>125</v>
      </c>
      <c r="B242" s="151">
        <v>31</v>
      </c>
      <c r="C242" s="151" t="s">
        <v>128</v>
      </c>
      <c r="D242" s="245" t="s">
        <v>168</v>
      </c>
      <c r="E242" s="151" t="s">
        <v>169</v>
      </c>
      <c r="F242" s="151" t="s">
        <v>207</v>
      </c>
      <c r="G242" s="151" t="s">
        <v>33</v>
      </c>
      <c r="H242" s="151" t="s">
        <v>50</v>
      </c>
      <c r="I242" s="256">
        <v>12</v>
      </c>
      <c r="J242" s="151" t="s">
        <v>80</v>
      </c>
      <c r="K242" s="176" t="s">
        <v>132</v>
      </c>
      <c r="L242" s="245">
        <v>30397144</v>
      </c>
      <c r="M242" s="855" t="s">
        <v>1608</v>
      </c>
      <c r="N242" s="245" t="s">
        <v>373</v>
      </c>
      <c r="O242" s="245" t="s">
        <v>474</v>
      </c>
      <c r="P242" s="245"/>
      <c r="Q242" s="176" t="s">
        <v>475</v>
      </c>
      <c r="R242" s="273"/>
      <c r="S242" s="274"/>
      <c r="T242" s="273"/>
      <c r="U242" s="273"/>
      <c r="V242" s="273"/>
      <c r="W242" s="273"/>
      <c r="X242" s="274"/>
      <c r="Y242" s="275">
        <v>1134291000</v>
      </c>
      <c r="Z242" s="275">
        <v>698836765</v>
      </c>
      <c r="AA242" s="296"/>
      <c r="AB242" s="297">
        <f>+Y242-Z242</f>
        <v>435454235</v>
      </c>
      <c r="AC242" s="297">
        <f t="shared" si="95"/>
        <v>258467213</v>
      </c>
      <c r="AD242" s="297">
        <f t="shared" si="98"/>
        <v>176987022</v>
      </c>
      <c r="AE242" s="297">
        <v>0</v>
      </c>
      <c r="AF242" s="297">
        <v>0</v>
      </c>
      <c r="AG242" s="297">
        <v>0</v>
      </c>
      <c r="AH242" s="297">
        <v>0</v>
      </c>
      <c r="AI242" s="297">
        <v>0</v>
      </c>
      <c r="AJ242" s="297">
        <v>1250000</v>
      </c>
      <c r="AK242" s="297">
        <v>1250000</v>
      </c>
      <c r="AL242" s="297">
        <v>9961818</v>
      </c>
      <c r="AM242" s="297">
        <v>39677906</v>
      </c>
      <c r="AN242" s="297">
        <v>67667864</v>
      </c>
      <c r="AO242" s="297">
        <v>42695534</v>
      </c>
      <c r="AP242" s="297">
        <v>95964091</v>
      </c>
      <c r="AQ242" s="296"/>
      <c r="AR242" s="297">
        <f t="shared" si="99"/>
        <v>0</v>
      </c>
      <c r="AS242" s="313" t="s">
        <v>1611</v>
      </c>
      <c r="AT242" s="313" t="s">
        <v>1611</v>
      </c>
      <c r="AU242" s="176" t="s">
        <v>1612</v>
      </c>
    </row>
    <row r="243" spans="1:47" s="218" customFormat="1" ht="25.5" customHeight="1" outlineLevel="2">
      <c r="A243" s="215" t="s">
        <v>125</v>
      </c>
      <c r="B243" s="151">
        <v>31</v>
      </c>
      <c r="C243" s="151" t="s">
        <v>128</v>
      </c>
      <c r="D243" s="245" t="s">
        <v>139</v>
      </c>
      <c r="E243" s="151" t="s">
        <v>169</v>
      </c>
      <c r="F243" s="151" t="s">
        <v>140</v>
      </c>
      <c r="G243" s="151" t="s">
        <v>33</v>
      </c>
      <c r="H243" s="151" t="s">
        <v>50</v>
      </c>
      <c r="I243" s="256">
        <v>12</v>
      </c>
      <c r="J243" s="151" t="s">
        <v>80</v>
      </c>
      <c r="K243" s="176" t="s">
        <v>132</v>
      </c>
      <c r="L243" s="245">
        <v>30396276</v>
      </c>
      <c r="M243" s="855"/>
      <c r="N243" s="245" t="s">
        <v>337</v>
      </c>
      <c r="O243" s="245" t="s">
        <v>476</v>
      </c>
      <c r="P243" s="245"/>
      <c r="Q243" s="176" t="s">
        <v>477</v>
      </c>
      <c r="R243" s="273"/>
      <c r="S243" s="274"/>
      <c r="T243" s="273"/>
      <c r="U243" s="273"/>
      <c r="V243" s="273"/>
      <c r="W243" s="273"/>
      <c r="X243" s="274"/>
      <c r="Y243" s="275">
        <v>68303000</v>
      </c>
      <c r="Z243" s="275">
        <v>61049360</v>
      </c>
      <c r="AA243" s="296"/>
      <c r="AB243" s="297">
        <f>+Y243-Z243</f>
        <v>7253640</v>
      </c>
      <c r="AC243" s="297">
        <f t="shared" si="95"/>
        <v>6450636</v>
      </c>
      <c r="AD243" s="297">
        <f t="shared" si="98"/>
        <v>803004</v>
      </c>
      <c r="AE243" s="297">
        <v>0</v>
      </c>
      <c r="AF243" s="297">
        <v>0</v>
      </c>
      <c r="AG243" s="297">
        <v>0</v>
      </c>
      <c r="AH243" s="297">
        <v>0</v>
      </c>
      <c r="AI243" s="297">
        <v>0</v>
      </c>
      <c r="AJ243" s="297">
        <v>0</v>
      </c>
      <c r="AK243" s="297">
        <v>1416666</v>
      </c>
      <c r="AL243" s="297">
        <v>3617304</v>
      </c>
      <c r="AM243" s="297">
        <v>0</v>
      </c>
      <c r="AN243" s="297">
        <v>0</v>
      </c>
      <c r="AO243" s="297">
        <v>0</v>
      </c>
      <c r="AP243" s="297">
        <v>1416666</v>
      </c>
      <c r="AQ243" s="296"/>
      <c r="AR243" s="297">
        <f t="shared" si="99"/>
        <v>0</v>
      </c>
      <c r="AS243" s="313" t="s">
        <v>148</v>
      </c>
      <c r="AT243" s="313" t="s">
        <v>1464</v>
      </c>
      <c r="AU243" s="176" t="s">
        <v>138</v>
      </c>
    </row>
    <row r="244" spans="1:47" s="218" customFormat="1" ht="25.5" customHeight="1" outlineLevel="2">
      <c r="A244" s="215" t="s">
        <v>125</v>
      </c>
      <c r="B244" s="151">
        <v>31</v>
      </c>
      <c r="C244" s="151" t="s">
        <v>128</v>
      </c>
      <c r="D244" s="245" t="s">
        <v>164</v>
      </c>
      <c r="E244" s="151" t="s">
        <v>169</v>
      </c>
      <c r="F244" s="151" t="s">
        <v>140</v>
      </c>
      <c r="G244" s="151" t="s">
        <v>33</v>
      </c>
      <c r="H244" s="151" t="s">
        <v>50</v>
      </c>
      <c r="I244" s="256">
        <v>12</v>
      </c>
      <c r="J244" s="151" t="s">
        <v>80</v>
      </c>
      <c r="K244" s="176" t="s">
        <v>132</v>
      </c>
      <c r="L244" s="245">
        <v>30282773</v>
      </c>
      <c r="M244" s="855" t="s">
        <v>164</v>
      </c>
      <c r="N244" s="245" t="s">
        <v>337</v>
      </c>
      <c r="O244" s="245" t="s">
        <v>478</v>
      </c>
      <c r="P244" s="245"/>
      <c r="Q244" s="176" t="s">
        <v>479</v>
      </c>
      <c r="R244" s="273"/>
      <c r="S244" s="274"/>
      <c r="T244" s="273"/>
      <c r="U244" s="273"/>
      <c r="V244" s="273"/>
      <c r="W244" s="273"/>
      <c r="X244" s="274"/>
      <c r="Y244" s="275">
        <v>466789000</v>
      </c>
      <c r="Z244" s="275">
        <v>27961790</v>
      </c>
      <c r="AA244" s="296"/>
      <c r="AB244" s="297">
        <f>172805000+266022210</f>
        <v>438827210</v>
      </c>
      <c r="AC244" s="297">
        <f t="shared" si="95"/>
        <v>89282896</v>
      </c>
      <c r="AD244" s="297">
        <f t="shared" si="98"/>
        <v>349544314</v>
      </c>
      <c r="AE244" s="297">
        <v>0</v>
      </c>
      <c r="AF244" s="297">
        <v>0</v>
      </c>
      <c r="AG244" s="297">
        <v>0</v>
      </c>
      <c r="AH244" s="297">
        <v>0</v>
      </c>
      <c r="AI244" s="297">
        <v>0</v>
      </c>
      <c r="AJ244" s="297">
        <v>1330000</v>
      </c>
      <c r="AK244" s="297">
        <v>66702268</v>
      </c>
      <c r="AL244" s="297">
        <v>6795593</v>
      </c>
      <c r="AM244" s="297">
        <v>10465035</v>
      </c>
      <c r="AN244" s="297">
        <v>2660000</v>
      </c>
      <c r="AO244" s="297">
        <v>0</v>
      </c>
      <c r="AP244" s="297">
        <v>1330000</v>
      </c>
      <c r="AQ244" s="296"/>
      <c r="AR244" s="297">
        <f t="shared" si="99"/>
        <v>0</v>
      </c>
      <c r="AS244" s="313" t="s">
        <v>137</v>
      </c>
      <c r="AT244" s="313" t="s">
        <v>137</v>
      </c>
      <c r="AU244" s="176" t="s">
        <v>138</v>
      </c>
    </row>
    <row r="245" spans="1:47" s="218" customFormat="1" ht="25.5" customHeight="1" outlineLevel="2">
      <c r="A245" s="215" t="s">
        <v>125</v>
      </c>
      <c r="B245" s="151">
        <v>29</v>
      </c>
      <c r="C245" s="151" t="s">
        <v>128</v>
      </c>
      <c r="D245" s="245" t="s">
        <v>144</v>
      </c>
      <c r="E245" s="151" t="s">
        <v>169</v>
      </c>
      <c r="F245" s="151" t="s">
        <v>140</v>
      </c>
      <c r="G245" s="151" t="s">
        <v>33</v>
      </c>
      <c r="H245" s="151" t="s">
        <v>50</v>
      </c>
      <c r="I245" s="256">
        <v>12</v>
      </c>
      <c r="J245" s="151" t="s">
        <v>80</v>
      </c>
      <c r="K245" s="176" t="s">
        <v>132</v>
      </c>
      <c r="L245" s="245">
        <v>30340925</v>
      </c>
      <c r="M245" s="855"/>
      <c r="N245" s="245" t="e">
        <v>#N/A</v>
      </c>
      <c r="O245" s="245" t="s">
        <v>480</v>
      </c>
      <c r="P245" s="245"/>
      <c r="Q245" s="176" t="s">
        <v>481</v>
      </c>
      <c r="R245" s="273" t="s">
        <v>482</v>
      </c>
      <c r="S245" s="274"/>
      <c r="T245" s="273"/>
      <c r="U245" s="273"/>
      <c r="V245" s="273"/>
      <c r="W245" s="273"/>
      <c r="X245" s="274"/>
      <c r="Y245" s="275">
        <v>534844000</v>
      </c>
      <c r="Z245" s="275">
        <v>0</v>
      </c>
      <c r="AA245" s="296"/>
      <c r="AB245" s="297">
        <f>213104219-1018869</f>
        <v>212085350</v>
      </c>
      <c r="AC245" s="297">
        <f t="shared" si="95"/>
        <v>0</v>
      </c>
      <c r="AD245" s="297">
        <f t="shared" si="98"/>
        <v>212085350</v>
      </c>
      <c r="AE245" s="297">
        <v>0</v>
      </c>
      <c r="AF245" s="297">
        <v>0</v>
      </c>
      <c r="AG245" s="297">
        <v>0</v>
      </c>
      <c r="AH245" s="297">
        <v>0</v>
      </c>
      <c r="AI245" s="297">
        <v>0</v>
      </c>
      <c r="AJ245" s="297">
        <v>0</v>
      </c>
      <c r="AK245" s="297">
        <v>0</v>
      </c>
      <c r="AL245" s="297">
        <v>0</v>
      </c>
      <c r="AM245" s="297">
        <v>0</v>
      </c>
      <c r="AN245" s="297">
        <v>0</v>
      </c>
      <c r="AO245" s="297">
        <v>0</v>
      </c>
      <c r="AP245" s="297">
        <v>0</v>
      </c>
      <c r="AQ245" s="296"/>
      <c r="AR245" s="297">
        <f t="shared" si="99"/>
        <v>322758650</v>
      </c>
      <c r="AS245" s="313" t="s">
        <v>148</v>
      </c>
      <c r="AT245" s="313" t="s">
        <v>1464</v>
      </c>
      <c r="AU245" s="176" t="s">
        <v>138</v>
      </c>
    </row>
    <row r="246" spans="1:47" s="218" customFormat="1" ht="25.5" customHeight="1" outlineLevel="2">
      <c r="A246" s="215" t="s">
        <v>125</v>
      </c>
      <c r="B246" s="151">
        <v>31</v>
      </c>
      <c r="C246" s="151" t="s">
        <v>128</v>
      </c>
      <c r="D246" s="245" t="s">
        <v>168</v>
      </c>
      <c r="E246" s="151" t="s">
        <v>169</v>
      </c>
      <c r="F246" s="151" t="s">
        <v>207</v>
      </c>
      <c r="G246" s="151" t="s">
        <v>33</v>
      </c>
      <c r="H246" s="151" t="s">
        <v>50</v>
      </c>
      <c r="I246" s="256">
        <v>12</v>
      </c>
      <c r="J246" s="151" t="s">
        <v>80</v>
      </c>
      <c r="K246" s="176" t="s">
        <v>132</v>
      </c>
      <c r="L246" s="245">
        <v>30212472</v>
      </c>
      <c r="M246" s="855"/>
      <c r="N246" s="245" t="s">
        <v>337</v>
      </c>
      <c r="O246" s="245" t="s">
        <v>483</v>
      </c>
      <c r="P246" s="245"/>
      <c r="Q246" s="176" t="s">
        <v>484</v>
      </c>
      <c r="R246" s="273" t="s">
        <v>485</v>
      </c>
      <c r="S246" s="274"/>
      <c r="T246" s="273"/>
      <c r="U246" s="273"/>
      <c r="V246" s="273"/>
      <c r="W246" s="273"/>
      <c r="X246" s="274"/>
      <c r="Y246" s="275">
        <v>490790000</v>
      </c>
      <c r="Z246" s="275">
        <v>376365503</v>
      </c>
      <c r="AA246" s="296"/>
      <c r="AB246" s="297">
        <v>114424497</v>
      </c>
      <c r="AC246" s="297">
        <f t="shared" si="95"/>
        <v>0</v>
      </c>
      <c r="AD246" s="297">
        <f t="shared" si="98"/>
        <v>114424497</v>
      </c>
      <c r="AE246" s="297">
        <v>0</v>
      </c>
      <c r="AF246" s="297">
        <v>0</v>
      </c>
      <c r="AG246" s="297">
        <v>0</v>
      </c>
      <c r="AH246" s="297">
        <v>0</v>
      </c>
      <c r="AI246" s="297">
        <v>0</v>
      </c>
      <c r="AJ246" s="297">
        <v>0</v>
      </c>
      <c r="AK246" s="297">
        <v>0</v>
      </c>
      <c r="AL246" s="297">
        <v>0</v>
      </c>
      <c r="AM246" s="297">
        <v>0</v>
      </c>
      <c r="AN246" s="297">
        <v>0</v>
      </c>
      <c r="AO246" s="297">
        <v>0</v>
      </c>
      <c r="AP246" s="297">
        <v>0</v>
      </c>
      <c r="AQ246" s="296"/>
      <c r="AR246" s="297">
        <f t="shared" si="99"/>
        <v>0</v>
      </c>
      <c r="AS246" s="313" t="s">
        <v>137</v>
      </c>
      <c r="AT246" s="313" t="s">
        <v>137</v>
      </c>
      <c r="AU246" s="176" t="s">
        <v>214</v>
      </c>
    </row>
    <row r="247" spans="1:47" s="218" customFormat="1" ht="25.5" customHeight="1" outlineLevel="2">
      <c r="A247" s="215" t="s">
        <v>125</v>
      </c>
      <c r="B247" s="191">
        <v>33</v>
      </c>
      <c r="C247" s="191" t="s">
        <v>128</v>
      </c>
      <c r="D247" s="246" t="s">
        <v>149</v>
      </c>
      <c r="E247" s="191" t="s">
        <v>130</v>
      </c>
      <c r="F247" s="191" t="s">
        <v>140</v>
      </c>
      <c r="G247" s="191" t="s">
        <v>33</v>
      </c>
      <c r="H247" s="191" t="s">
        <v>50</v>
      </c>
      <c r="I247" s="258">
        <v>12</v>
      </c>
      <c r="J247" s="191" t="s">
        <v>83</v>
      </c>
      <c r="K247" s="192" t="s">
        <v>132</v>
      </c>
      <c r="L247" s="246" t="s">
        <v>83</v>
      </c>
      <c r="M247" s="861" t="s">
        <v>1604</v>
      </c>
      <c r="N247" s="246"/>
      <c r="O247" s="245" t="s">
        <v>183</v>
      </c>
      <c r="P247" s="246"/>
      <c r="Q247" s="192" t="s">
        <v>184</v>
      </c>
      <c r="R247" s="276"/>
      <c r="S247" s="277"/>
      <c r="T247" s="276"/>
      <c r="U247" s="276"/>
      <c r="V247" s="276"/>
      <c r="W247" s="276"/>
      <c r="X247" s="277"/>
      <c r="Y247" s="194">
        <v>100000000</v>
      </c>
      <c r="Z247" s="194">
        <f>+FRIL!J395</f>
        <v>0</v>
      </c>
      <c r="AA247" s="298"/>
      <c r="AB247" s="299">
        <v>100000000</v>
      </c>
      <c r="AC247" s="299">
        <f t="shared" si="95"/>
        <v>0</v>
      </c>
      <c r="AD247" s="299">
        <f t="shared" si="98"/>
        <v>100000000</v>
      </c>
      <c r="AE247" s="299">
        <v>0</v>
      </c>
      <c r="AF247" s="299">
        <v>0</v>
      </c>
      <c r="AG247" s="299">
        <v>0</v>
      </c>
      <c r="AH247" s="299">
        <v>0</v>
      </c>
      <c r="AI247" s="299">
        <v>0</v>
      </c>
      <c r="AJ247" s="297">
        <v>0</v>
      </c>
      <c r="AK247" s="299">
        <v>0</v>
      </c>
      <c r="AL247" s="299">
        <v>0</v>
      </c>
      <c r="AM247" s="299">
        <v>0</v>
      </c>
      <c r="AN247" s="299">
        <v>0</v>
      </c>
      <c r="AO247" s="297">
        <v>0</v>
      </c>
      <c r="AP247" s="299">
        <v>0</v>
      </c>
      <c r="AQ247" s="298"/>
      <c r="AR247" s="299">
        <f t="shared" si="99"/>
        <v>0</v>
      </c>
      <c r="AS247" s="314" t="s">
        <v>185</v>
      </c>
      <c r="AT247" s="314" t="s">
        <v>83</v>
      </c>
      <c r="AU247" s="192" t="s">
        <v>138</v>
      </c>
    </row>
    <row r="248" spans="1:47" s="218" customFormat="1" ht="25.5" customHeight="1" outlineLevel="2">
      <c r="A248" s="215" t="s">
        <v>125</v>
      </c>
      <c r="B248" s="151">
        <v>33</v>
      </c>
      <c r="C248" s="151" t="s">
        <v>128</v>
      </c>
      <c r="D248" s="245" t="s">
        <v>149</v>
      </c>
      <c r="E248" s="151" t="s">
        <v>130</v>
      </c>
      <c r="F248" s="151" t="s">
        <v>140</v>
      </c>
      <c r="G248" s="151" t="s">
        <v>33</v>
      </c>
      <c r="H248" s="151" t="s">
        <v>50</v>
      </c>
      <c r="I248" s="256">
        <v>12</v>
      </c>
      <c r="J248" s="151" t="s">
        <v>83</v>
      </c>
      <c r="K248" s="176" t="s">
        <v>132</v>
      </c>
      <c r="L248" s="245" t="s">
        <v>83</v>
      </c>
      <c r="M248" s="855"/>
      <c r="N248" s="245"/>
      <c r="O248" s="245" t="s">
        <v>183</v>
      </c>
      <c r="P248" s="245"/>
      <c r="Q248" s="176" t="s">
        <v>486</v>
      </c>
      <c r="R248" s="273"/>
      <c r="S248" s="274"/>
      <c r="T248" s="273"/>
      <c r="U248" s="273"/>
      <c r="V248" s="273"/>
      <c r="W248" s="273"/>
      <c r="X248" s="274"/>
      <c r="Y248" s="275">
        <v>200000000</v>
      </c>
      <c r="Z248" s="275">
        <f>+FRIL!J396</f>
        <v>0</v>
      </c>
      <c r="AA248" s="296"/>
      <c r="AB248" s="297">
        <v>200000000</v>
      </c>
      <c r="AC248" s="297">
        <f t="shared" si="95"/>
        <v>92828132</v>
      </c>
      <c r="AD248" s="297">
        <f t="shared" si="98"/>
        <v>107171868</v>
      </c>
      <c r="AE248" s="297">
        <v>0</v>
      </c>
      <c r="AF248" s="297">
        <v>0</v>
      </c>
      <c r="AG248" s="297">
        <v>0</v>
      </c>
      <c r="AH248" s="297">
        <v>0</v>
      </c>
      <c r="AI248" s="297">
        <v>0</v>
      </c>
      <c r="AJ248" s="297">
        <v>0</v>
      </c>
      <c r="AK248" s="297">
        <v>5966708</v>
      </c>
      <c r="AL248" s="297">
        <v>0</v>
      </c>
      <c r="AM248" s="297">
        <v>35633834</v>
      </c>
      <c r="AN248" s="297">
        <v>0</v>
      </c>
      <c r="AO248" s="297">
        <f>+FRIL!L128</f>
        <v>51227590</v>
      </c>
      <c r="AP248" s="297">
        <v>0</v>
      </c>
      <c r="AQ248" s="296"/>
      <c r="AR248" s="297">
        <f t="shared" si="99"/>
        <v>0</v>
      </c>
      <c r="AS248" s="313" t="s">
        <v>185</v>
      </c>
      <c r="AT248" s="313" t="s">
        <v>83</v>
      </c>
      <c r="AU248" s="176" t="s">
        <v>138</v>
      </c>
    </row>
    <row r="249" spans="1:47" s="217" customFormat="1" ht="25.5" customHeight="1" outlineLevel="1">
      <c r="A249" s="215" t="s">
        <v>125</v>
      </c>
      <c r="B249" s="247"/>
      <c r="C249" s="247"/>
      <c r="D249" s="248"/>
      <c r="E249" s="249"/>
      <c r="F249" s="249"/>
      <c r="G249" s="249"/>
      <c r="H249" s="249"/>
      <c r="I249" s="249"/>
      <c r="J249" s="247"/>
      <c r="K249" s="259"/>
      <c r="L249" s="248"/>
      <c r="M249" s="248"/>
      <c r="N249" s="250"/>
      <c r="O249" s="250"/>
      <c r="P249" s="250"/>
      <c r="Q249" s="260" t="s">
        <v>187</v>
      </c>
      <c r="R249" s="278"/>
      <c r="S249" s="279"/>
      <c r="T249" s="279"/>
      <c r="U249" s="279"/>
      <c r="V249" s="279"/>
      <c r="W249" s="279"/>
      <c r="X249" s="281"/>
      <c r="Y249" s="286">
        <f>+Y241+Y242+Y243+Y244+Y245+Y246+Y247+Y248</f>
        <v>3641996000</v>
      </c>
      <c r="Z249" s="286">
        <f t="shared" ref="Z249:AP249" si="100">+Z241+Z242+Z243+Z244+Z245+Z246+Z247+Z248</f>
        <v>1469573458</v>
      </c>
      <c r="AA249" s="303"/>
      <c r="AB249" s="286">
        <f t="shared" si="100"/>
        <v>1849663892</v>
      </c>
      <c r="AC249" s="286">
        <f t="shared" si="95"/>
        <v>476882445</v>
      </c>
      <c r="AD249" s="286">
        <f t="shared" si="100"/>
        <v>1372781447</v>
      </c>
      <c r="AE249" s="286">
        <f t="shared" si="100"/>
        <v>0</v>
      </c>
      <c r="AF249" s="286">
        <f t="shared" si="100"/>
        <v>0</v>
      </c>
      <c r="AG249" s="286">
        <f t="shared" si="100"/>
        <v>0</v>
      </c>
      <c r="AH249" s="286">
        <f t="shared" si="100"/>
        <v>0</v>
      </c>
      <c r="AI249" s="286">
        <f t="shared" si="100"/>
        <v>0</v>
      </c>
      <c r="AJ249" s="286">
        <v>2580000</v>
      </c>
      <c r="AK249" s="286">
        <v>75335642</v>
      </c>
      <c r="AL249" s="286">
        <v>20374715</v>
      </c>
      <c r="AM249" s="286">
        <f t="shared" si="100"/>
        <v>85776775</v>
      </c>
      <c r="AN249" s="286">
        <f t="shared" si="100"/>
        <v>80335175</v>
      </c>
      <c r="AO249" s="286">
        <f t="shared" si="100"/>
        <v>97410887</v>
      </c>
      <c r="AP249" s="286">
        <f t="shared" si="100"/>
        <v>115069251</v>
      </c>
      <c r="AQ249" s="287"/>
      <c r="AR249" s="286">
        <f t="shared" si="99"/>
        <v>322758650</v>
      </c>
      <c r="AS249" s="315"/>
      <c r="AT249" s="315"/>
      <c r="AU249" s="220"/>
    </row>
    <row r="250" spans="1:47" ht="18.75" customHeight="1" outlineLevel="1">
      <c r="A250" s="215" t="s">
        <v>125</v>
      </c>
      <c r="B250" s="249"/>
      <c r="C250" s="249"/>
      <c r="D250" s="250"/>
      <c r="E250" s="249"/>
      <c r="F250" s="249"/>
      <c r="G250" s="249"/>
      <c r="H250" s="249"/>
      <c r="I250" s="249"/>
      <c r="J250" s="249"/>
      <c r="K250" s="261"/>
      <c r="L250" s="250"/>
      <c r="M250" s="250"/>
      <c r="N250" s="250"/>
      <c r="O250" s="250"/>
      <c r="P250" s="250"/>
      <c r="Q250" s="261"/>
      <c r="R250" s="283"/>
      <c r="S250" s="283"/>
      <c r="T250" s="283"/>
      <c r="U250" s="283"/>
      <c r="V250" s="283"/>
      <c r="W250" s="283"/>
      <c r="X250" s="283"/>
      <c r="Y250" s="284"/>
      <c r="Z250" s="284"/>
      <c r="AA250" s="301"/>
      <c r="AB250" s="301"/>
      <c r="AC250" s="301"/>
      <c r="AD250" s="301"/>
      <c r="AE250" s="301"/>
      <c r="AF250" s="301"/>
      <c r="AG250" s="301"/>
      <c r="AH250" s="301"/>
      <c r="AI250" s="301"/>
      <c r="AJ250" s="301"/>
      <c r="AK250" s="301"/>
      <c r="AL250" s="301"/>
      <c r="AM250" s="301"/>
      <c r="AN250" s="301"/>
      <c r="AO250" s="301"/>
      <c r="AP250" s="301"/>
      <c r="AQ250" s="301"/>
      <c r="AR250" s="301"/>
      <c r="AS250" s="316"/>
      <c r="AT250" s="316"/>
      <c r="AU250" s="317"/>
    </row>
    <row r="251" spans="1:47" s="217" customFormat="1" ht="25.5" customHeight="1" outlineLevel="1">
      <c r="A251" s="215" t="s">
        <v>125</v>
      </c>
      <c r="B251" s="247"/>
      <c r="C251" s="247"/>
      <c r="D251" s="248"/>
      <c r="E251" s="249"/>
      <c r="F251" s="249"/>
      <c r="G251" s="249"/>
      <c r="H251" s="249"/>
      <c r="I251" s="249"/>
      <c r="J251" s="247"/>
      <c r="K251" s="259"/>
      <c r="L251" s="248"/>
      <c r="M251" s="248"/>
      <c r="N251" s="250"/>
      <c r="O251" s="250"/>
      <c r="P251" s="250"/>
      <c r="Q251" s="99" t="s">
        <v>188</v>
      </c>
      <c r="R251" s="283"/>
      <c r="S251" s="283"/>
      <c r="T251" s="283"/>
      <c r="U251" s="283"/>
      <c r="V251" s="283"/>
      <c r="W251" s="283"/>
      <c r="X251" s="283"/>
      <c r="Y251" s="285"/>
      <c r="Z251" s="285"/>
      <c r="AA251" s="302"/>
      <c r="AB251" s="302"/>
      <c r="AC251" s="302"/>
      <c r="AD251" s="302"/>
      <c r="AE251" s="302"/>
      <c r="AF251" s="302"/>
      <c r="AG251" s="302"/>
      <c r="AH251" s="301"/>
      <c r="AI251" s="301"/>
      <c r="AJ251" s="301"/>
      <c r="AK251" s="301"/>
      <c r="AL251" s="301"/>
      <c r="AM251" s="301"/>
      <c r="AN251" s="301"/>
      <c r="AO251" s="301"/>
      <c r="AP251" s="301"/>
      <c r="AQ251" s="302"/>
      <c r="AR251" s="302"/>
      <c r="AS251" s="315"/>
      <c r="AT251" s="315"/>
      <c r="AU251" s="220"/>
    </row>
    <row r="252" spans="1:47" s="218" customFormat="1" ht="25.5" customHeight="1" outlineLevel="2">
      <c r="A252" s="215" t="s">
        <v>125</v>
      </c>
      <c r="B252" s="151">
        <v>31</v>
      </c>
      <c r="C252" s="151" t="s">
        <v>128</v>
      </c>
      <c r="D252" s="245" t="s">
        <v>159</v>
      </c>
      <c r="E252" s="151" t="s">
        <v>130</v>
      </c>
      <c r="F252" s="151" t="s">
        <v>140</v>
      </c>
      <c r="G252" s="151" t="s">
        <v>33</v>
      </c>
      <c r="H252" s="151" t="s">
        <v>50</v>
      </c>
      <c r="I252" s="256">
        <v>12</v>
      </c>
      <c r="J252" s="151" t="s">
        <v>80</v>
      </c>
      <c r="K252" s="176" t="s">
        <v>132</v>
      </c>
      <c r="L252" s="245">
        <v>30134714</v>
      </c>
      <c r="M252" s="855"/>
      <c r="N252" s="245" t="e">
        <v>#N/A</v>
      </c>
      <c r="O252" s="245" t="s">
        <v>487</v>
      </c>
      <c r="P252" s="245"/>
      <c r="Q252" s="176" t="s">
        <v>488</v>
      </c>
      <c r="R252" s="273" t="s">
        <v>489</v>
      </c>
      <c r="S252" s="274"/>
      <c r="T252" s="327">
        <v>919116000</v>
      </c>
      <c r="U252" s="327" t="s">
        <v>1510</v>
      </c>
      <c r="V252" s="273">
        <v>909473000</v>
      </c>
      <c r="W252" s="273"/>
      <c r="X252" s="274"/>
      <c r="Y252" s="275">
        <v>919116000</v>
      </c>
      <c r="Z252" s="275">
        <v>0</v>
      </c>
      <c r="AA252" s="296"/>
      <c r="AB252" s="297">
        <v>319116000</v>
      </c>
      <c r="AC252" s="297">
        <f t="shared" si="95"/>
        <v>0</v>
      </c>
      <c r="AD252" s="297">
        <f>+AB252-AC252</f>
        <v>319116000</v>
      </c>
      <c r="AE252" s="297">
        <v>0</v>
      </c>
      <c r="AF252" s="297">
        <v>0</v>
      </c>
      <c r="AG252" s="297">
        <v>0</v>
      </c>
      <c r="AH252" s="297">
        <v>0</v>
      </c>
      <c r="AI252" s="297">
        <v>0</v>
      </c>
      <c r="AJ252" s="297">
        <v>0</v>
      </c>
      <c r="AK252" s="297">
        <v>0</v>
      </c>
      <c r="AL252" s="297">
        <v>0</v>
      </c>
      <c r="AM252" s="297">
        <v>0</v>
      </c>
      <c r="AN252" s="297">
        <v>0</v>
      </c>
      <c r="AO252" s="297">
        <v>0</v>
      </c>
      <c r="AP252" s="297">
        <v>0</v>
      </c>
      <c r="AQ252" s="296"/>
      <c r="AR252" s="297">
        <f>+Y252-Z252-AC252-AD252</f>
        <v>600000000</v>
      </c>
      <c r="AS252" s="313" t="s">
        <v>137</v>
      </c>
      <c r="AT252" s="313" t="s">
        <v>137</v>
      </c>
      <c r="AU252" s="176" t="s">
        <v>1506</v>
      </c>
    </row>
    <row r="253" spans="1:47" s="218" customFormat="1" ht="25.5" customHeight="1" outlineLevel="2">
      <c r="A253" s="215" t="s">
        <v>125</v>
      </c>
      <c r="B253" s="151">
        <v>31</v>
      </c>
      <c r="C253" s="151" t="s">
        <v>128</v>
      </c>
      <c r="D253" s="245" t="s">
        <v>129</v>
      </c>
      <c r="E253" s="151" t="s">
        <v>169</v>
      </c>
      <c r="F253" s="151" t="s">
        <v>131</v>
      </c>
      <c r="G253" s="151" t="s">
        <v>33</v>
      </c>
      <c r="H253" s="151" t="s">
        <v>50</v>
      </c>
      <c r="I253" s="256">
        <v>12</v>
      </c>
      <c r="J253" s="151" t="s">
        <v>81</v>
      </c>
      <c r="K253" s="176" t="s">
        <v>132</v>
      </c>
      <c r="L253" s="245">
        <v>40006229</v>
      </c>
      <c r="M253" s="855"/>
      <c r="N253" s="245" t="e">
        <v>#N/A</v>
      </c>
      <c r="O253" s="245" t="s">
        <v>490</v>
      </c>
      <c r="P253" s="257" t="s">
        <v>491</v>
      </c>
      <c r="Q253" s="176" t="s">
        <v>492</v>
      </c>
      <c r="R253" s="273"/>
      <c r="S253" s="274"/>
      <c r="T253" s="273"/>
      <c r="U253" s="273"/>
      <c r="V253" s="273"/>
      <c r="W253" s="273"/>
      <c r="X253" s="274"/>
      <c r="Y253" s="275">
        <v>774200000</v>
      </c>
      <c r="Z253" s="275">
        <v>0</v>
      </c>
      <c r="AA253" s="296"/>
      <c r="AB253" s="297">
        <f>274200000-36578742</f>
        <v>237621258</v>
      </c>
      <c r="AC253" s="297">
        <f t="shared" si="95"/>
        <v>0</v>
      </c>
      <c r="AD253" s="297">
        <f>+AB253-AC253</f>
        <v>237621258</v>
      </c>
      <c r="AE253" s="297">
        <v>0</v>
      </c>
      <c r="AF253" s="297">
        <v>0</v>
      </c>
      <c r="AG253" s="297">
        <v>0</v>
      </c>
      <c r="AH253" s="297">
        <v>0</v>
      </c>
      <c r="AI253" s="297">
        <v>0</v>
      </c>
      <c r="AJ253" s="297">
        <v>0</v>
      </c>
      <c r="AK253" s="297">
        <v>0</v>
      </c>
      <c r="AL253" s="297">
        <v>0</v>
      </c>
      <c r="AM253" s="297">
        <v>0</v>
      </c>
      <c r="AN253" s="297">
        <v>0</v>
      </c>
      <c r="AO253" s="297">
        <v>0</v>
      </c>
      <c r="AP253" s="297">
        <v>0</v>
      </c>
      <c r="AQ253" s="296"/>
      <c r="AR253" s="297">
        <f>+Y253-Z253-AC253-AD253</f>
        <v>536578742</v>
      </c>
      <c r="AS253" s="313" t="s">
        <v>137</v>
      </c>
      <c r="AT253" s="313" t="s">
        <v>137</v>
      </c>
      <c r="AU253" s="176" t="s">
        <v>394</v>
      </c>
    </row>
    <row r="254" spans="1:47" s="217" customFormat="1" ht="25.5" customHeight="1" outlineLevel="1">
      <c r="A254" s="215" t="s">
        <v>125</v>
      </c>
      <c r="B254" s="151">
        <v>31</v>
      </c>
      <c r="C254" s="151" t="s">
        <v>196</v>
      </c>
      <c r="D254" s="245" t="s">
        <v>129</v>
      </c>
      <c r="E254" s="151" t="s">
        <v>169</v>
      </c>
      <c r="F254" s="151" t="s">
        <v>131</v>
      </c>
      <c r="G254" s="151" t="s">
        <v>33</v>
      </c>
      <c r="H254" s="151" t="s">
        <v>50</v>
      </c>
      <c r="I254" s="256">
        <v>12</v>
      </c>
      <c r="J254" s="151" t="s">
        <v>81</v>
      </c>
      <c r="K254" s="176" t="s">
        <v>132</v>
      </c>
      <c r="L254" s="245">
        <v>30396424</v>
      </c>
      <c r="M254" s="855"/>
      <c r="N254" s="245"/>
      <c r="O254" s="245" t="s">
        <v>493</v>
      </c>
      <c r="P254" s="257" t="s">
        <v>1508</v>
      </c>
      <c r="Q254" s="176" t="s">
        <v>494</v>
      </c>
      <c r="R254" s="273" t="s">
        <v>495</v>
      </c>
      <c r="S254" s="274"/>
      <c r="T254" s="273"/>
      <c r="U254" s="273" t="s">
        <v>1509</v>
      </c>
      <c r="V254" s="273">
        <v>866629000</v>
      </c>
      <c r="W254" s="273"/>
      <c r="X254" s="274"/>
      <c r="Y254" s="275">
        <v>866629000</v>
      </c>
      <c r="Z254" s="275">
        <v>0</v>
      </c>
      <c r="AA254" s="296"/>
      <c r="AB254" s="297">
        <v>150000000</v>
      </c>
      <c r="AC254" s="297">
        <f t="shared" si="95"/>
        <v>0</v>
      </c>
      <c r="AD254" s="297">
        <f>+AB254-AC254</f>
        <v>150000000</v>
      </c>
      <c r="AE254" s="297">
        <v>0</v>
      </c>
      <c r="AF254" s="297">
        <v>0</v>
      </c>
      <c r="AG254" s="297">
        <v>0</v>
      </c>
      <c r="AH254" s="297">
        <v>0</v>
      </c>
      <c r="AI254" s="297">
        <v>0</v>
      </c>
      <c r="AJ254" s="297">
        <v>0</v>
      </c>
      <c r="AK254" s="297">
        <v>0</v>
      </c>
      <c r="AL254" s="297">
        <v>0</v>
      </c>
      <c r="AM254" s="297">
        <v>0</v>
      </c>
      <c r="AN254" s="297">
        <v>0</v>
      </c>
      <c r="AO254" s="297">
        <v>0</v>
      </c>
      <c r="AP254" s="297">
        <v>0</v>
      </c>
      <c r="AQ254" s="296"/>
      <c r="AR254" s="297">
        <f>+Y254-Z254-AC254-AD254</f>
        <v>716629000</v>
      </c>
      <c r="AS254" s="313" t="s">
        <v>148</v>
      </c>
      <c r="AT254" s="313" t="s">
        <v>1464</v>
      </c>
      <c r="AU254" s="176" t="s">
        <v>1507</v>
      </c>
    </row>
    <row r="255" spans="1:47" s="217" customFormat="1" ht="25.5" customHeight="1" outlineLevel="1">
      <c r="A255" s="215" t="s">
        <v>125</v>
      </c>
      <c r="B255" s="247"/>
      <c r="C255" s="247"/>
      <c r="D255" s="248"/>
      <c r="E255" s="249"/>
      <c r="F255" s="249"/>
      <c r="G255" s="249"/>
      <c r="H255" s="249"/>
      <c r="I255" s="249"/>
      <c r="J255" s="247"/>
      <c r="K255" s="259"/>
      <c r="L255" s="248"/>
      <c r="M255" s="248"/>
      <c r="N255" s="250"/>
      <c r="O255" s="250"/>
      <c r="P255" s="250"/>
      <c r="Q255" s="260" t="s">
        <v>201</v>
      </c>
      <c r="R255" s="278"/>
      <c r="S255" s="279"/>
      <c r="T255" s="279"/>
      <c r="U255" s="279"/>
      <c r="V255" s="279"/>
      <c r="W255" s="279"/>
      <c r="X255" s="281"/>
      <c r="Y255" s="286">
        <f>SUM(Y252:Y254)</f>
        <v>2559945000</v>
      </c>
      <c r="Z255" s="286">
        <f t="shared" ref="Z255:AP255" si="101">SUM(Z252:Z254)</f>
        <v>0</v>
      </c>
      <c r="AA255" s="303"/>
      <c r="AB255" s="286">
        <f t="shared" si="101"/>
        <v>706737258</v>
      </c>
      <c r="AC255" s="286">
        <f t="shared" si="95"/>
        <v>0</v>
      </c>
      <c r="AD255" s="286">
        <f t="shared" si="101"/>
        <v>706737258</v>
      </c>
      <c r="AE255" s="286">
        <f t="shared" si="101"/>
        <v>0</v>
      </c>
      <c r="AF255" s="286">
        <f t="shared" si="101"/>
        <v>0</v>
      </c>
      <c r="AG255" s="286">
        <f t="shared" si="101"/>
        <v>0</v>
      </c>
      <c r="AH255" s="286">
        <f t="shared" si="101"/>
        <v>0</v>
      </c>
      <c r="AI255" s="286">
        <f t="shared" si="101"/>
        <v>0</v>
      </c>
      <c r="AJ255" s="286">
        <v>0</v>
      </c>
      <c r="AK255" s="286">
        <v>0</v>
      </c>
      <c r="AL255" s="286">
        <v>0</v>
      </c>
      <c r="AM255" s="286">
        <f t="shared" si="101"/>
        <v>0</v>
      </c>
      <c r="AN255" s="286">
        <f t="shared" si="101"/>
        <v>0</v>
      </c>
      <c r="AO255" s="286">
        <f t="shared" si="101"/>
        <v>0</v>
      </c>
      <c r="AP255" s="286">
        <f t="shared" si="101"/>
        <v>0</v>
      </c>
      <c r="AQ255" s="287"/>
      <c r="AR255" s="286">
        <f>+Y255-Z255-AC255-AD255</f>
        <v>1853207742</v>
      </c>
      <c r="AS255" s="315"/>
      <c r="AT255" s="315"/>
      <c r="AU255" s="220"/>
    </row>
    <row r="256" spans="1:47" ht="18.75" customHeight="1" outlineLevel="1">
      <c r="A256" s="215" t="s">
        <v>125</v>
      </c>
      <c r="B256" s="249"/>
      <c r="C256" s="249"/>
      <c r="D256" s="250"/>
      <c r="E256" s="249"/>
      <c r="F256" s="249"/>
      <c r="G256" s="249"/>
      <c r="H256" s="249"/>
      <c r="I256" s="249"/>
      <c r="J256" s="249"/>
      <c r="K256" s="261"/>
      <c r="L256" s="250"/>
      <c r="M256" s="250"/>
      <c r="N256" s="250"/>
      <c r="O256" s="250"/>
      <c r="P256" s="250"/>
      <c r="Q256" s="261"/>
      <c r="R256" s="283"/>
      <c r="S256" s="283"/>
      <c r="T256" s="283"/>
      <c r="U256" s="283"/>
      <c r="V256" s="283"/>
      <c r="W256" s="283"/>
      <c r="X256" s="283"/>
      <c r="Y256" s="284"/>
      <c r="Z256" s="284"/>
      <c r="AA256" s="301"/>
      <c r="AB256" s="301"/>
      <c r="AC256" s="301"/>
      <c r="AD256" s="301"/>
      <c r="AE256" s="301"/>
      <c r="AF256" s="301"/>
      <c r="AG256" s="301"/>
      <c r="AH256" s="301"/>
      <c r="AI256" s="301"/>
      <c r="AJ256" s="301"/>
      <c r="AK256" s="301"/>
      <c r="AL256" s="301"/>
      <c r="AM256" s="301"/>
      <c r="AN256" s="301"/>
      <c r="AO256" s="301"/>
      <c r="AP256" s="301"/>
      <c r="AQ256" s="301"/>
      <c r="AR256" s="301"/>
      <c r="AS256" s="316"/>
      <c r="AT256" s="316"/>
      <c r="AU256" s="317"/>
    </row>
    <row r="257" spans="1:47" s="219" customFormat="1" ht="24.75" customHeight="1" outlineLevel="1">
      <c r="A257" s="215" t="s">
        <v>125</v>
      </c>
      <c r="B257" s="251"/>
      <c r="C257" s="249"/>
      <c r="D257" s="250"/>
      <c r="E257" s="249"/>
      <c r="F257" s="249"/>
      <c r="G257" s="249"/>
      <c r="H257" s="249"/>
      <c r="I257" s="249"/>
      <c r="J257" s="251"/>
      <c r="K257" s="263"/>
      <c r="L257" s="252"/>
      <c r="M257" s="252"/>
      <c r="N257" s="252"/>
      <c r="O257" s="252"/>
      <c r="P257" s="252"/>
      <c r="Q257" s="117" t="s">
        <v>496</v>
      </c>
      <c r="R257" s="288"/>
      <c r="S257" s="289"/>
      <c r="T257" s="289"/>
      <c r="U257" s="289"/>
      <c r="V257" s="289"/>
      <c r="W257" s="289"/>
      <c r="X257" s="290"/>
      <c r="Y257" s="118">
        <f>+Y249+Y255</f>
        <v>6201941000</v>
      </c>
      <c r="Z257" s="118">
        <f>+Z249+Z255</f>
        <v>1469573458</v>
      </c>
      <c r="AA257" s="304"/>
      <c r="AB257" s="118">
        <f t="shared" ref="AB257:AP257" si="102">+AB249+AB255</f>
        <v>2556401150</v>
      </c>
      <c r="AC257" s="118">
        <f t="shared" si="102"/>
        <v>476882445</v>
      </c>
      <c r="AD257" s="118">
        <f t="shared" si="102"/>
        <v>2079518705</v>
      </c>
      <c r="AE257" s="118">
        <f t="shared" si="102"/>
        <v>0</v>
      </c>
      <c r="AF257" s="118">
        <f t="shared" si="102"/>
        <v>0</v>
      </c>
      <c r="AG257" s="118">
        <f t="shared" si="102"/>
        <v>0</v>
      </c>
      <c r="AH257" s="118">
        <f t="shared" si="102"/>
        <v>0</v>
      </c>
      <c r="AI257" s="118">
        <f t="shared" si="102"/>
        <v>0</v>
      </c>
      <c r="AJ257" s="118">
        <v>2580000</v>
      </c>
      <c r="AK257" s="118">
        <f t="shared" si="102"/>
        <v>75335642</v>
      </c>
      <c r="AL257" s="118">
        <f t="shared" si="102"/>
        <v>20374715</v>
      </c>
      <c r="AM257" s="118">
        <f t="shared" si="102"/>
        <v>85776775</v>
      </c>
      <c r="AN257" s="118">
        <f t="shared" si="102"/>
        <v>80335175</v>
      </c>
      <c r="AO257" s="118">
        <f t="shared" si="102"/>
        <v>97410887</v>
      </c>
      <c r="AP257" s="118">
        <f t="shared" si="102"/>
        <v>115069251</v>
      </c>
      <c r="AQ257" s="318"/>
      <c r="AR257" s="118">
        <f>+Y257-Z257-AC257-AD257</f>
        <v>2175966392</v>
      </c>
      <c r="AS257" s="333"/>
      <c r="AT257" s="333"/>
      <c r="AU257" s="320"/>
    </row>
    <row r="258" spans="1:47" ht="18.75" customHeight="1" outlineLevel="1">
      <c r="A258" s="215" t="s">
        <v>125</v>
      </c>
      <c r="B258" s="249"/>
      <c r="C258" s="249"/>
      <c r="D258" s="250"/>
      <c r="E258" s="249"/>
      <c r="F258" s="249"/>
      <c r="G258" s="249"/>
      <c r="H258" s="249"/>
      <c r="I258" s="249"/>
      <c r="J258" s="249"/>
      <c r="K258" s="261"/>
      <c r="L258" s="250"/>
      <c r="M258" s="250"/>
      <c r="N258" s="250"/>
      <c r="O258" s="250"/>
      <c r="P258" s="250"/>
      <c r="Q258" s="261"/>
      <c r="R258" s="283"/>
      <c r="S258" s="283"/>
      <c r="T258" s="283"/>
      <c r="U258" s="283"/>
      <c r="V258" s="283"/>
      <c r="W258" s="283"/>
      <c r="X258" s="283"/>
      <c r="Y258" s="284"/>
      <c r="Z258" s="284"/>
      <c r="AA258" s="301"/>
      <c r="AB258" s="301"/>
      <c r="AC258" s="301"/>
      <c r="AD258" s="301"/>
      <c r="AE258" s="301"/>
      <c r="AF258" s="301"/>
      <c r="AG258" s="301"/>
      <c r="AH258" s="301"/>
      <c r="AI258" s="301"/>
      <c r="AJ258" s="301"/>
      <c r="AK258" s="301"/>
      <c r="AL258" s="301"/>
      <c r="AM258" s="301"/>
      <c r="AN258" s="301"/>
      <c r="AO258" s="301"/>
      <c r="AP258" s="301"/>
      <c r="AQ258" s="301"/>
      <c r="AR258" s="301"/>
      <c r="AS258" s="316"/>
      <c r="AT258" s="316"/>
      <c r="AU258" s="317"/>
    </row>
    <row r="259" spans="1:47" ht="26.25" customHeight="1" outlineLevel="1">
      <c r="A259" s="215" t="s">
        <v>125</v>
      </c>
      <c r="B259" s="249"/>
      <c r="C259" s="249"/>
      <c r="D259" s="250"/>
      <c r="E259" s="249"/>
      <c r="F259" s="249"/>
      <c r="G259" s="249"/>
      <c r="H259" s="249"/>
      <c r="I259" s="249"/>
      <c r="J259" s="249"/>
      <c r="K259" s="261"/>
      <c r="L259" s="250"/>
      <c r="M259" s="250"/>
      <c r="N259" s="250"/>
      <c r="O259" s="250"/>
      <c r="P259" s="250"/>
      <c r="Q259" s="264" t="s">
        <v>497</v>
      </c>
      <c r="R259" s="283"/>
      <c r="S259" s="283"/>
      <c r="T259" s="283"/>
      <c r="U259" s="283"/>
      <c r="V259" s="283"/>
      <c r="W259" s="283"/>
      <c r="X259" s="283"/>
      <c r="Y259" s="284"/>
      <c r="Z259" s="284"/>
      <c r="AA259" s="301"/>
      <c r="AB259" s="301"/>
      <c r="AC259" s="301"/>
      <c r="AD259" s="301"/>
      <c r="AE259" s="301"/>
      <c r="AF259" s="301"/>
      <c r="AG259" s="301"/>
      <c r="AH259" s="301"/>
      <c r="AI259" s="301"/>
      <c r="AJ259" s="301"/>
      <c r="AK259" s="301"/>
      <c r="AL259" s="301"/>
      <c r="AM259" s="301"/>
      <c r="AN259" s="301"/>
      <c r="AO259" s="301"/>
      <c r="AP259" s="301"/>
      <c r="AQ259" s="301"/>
      <c r="AR259" s="301"/>
      <c r="AS259" s="316"/>
      <c r="AT259" s="316"/>
      <c r="AU259" s="317"/>
    </row>
    <row r="260" spans="1:47" s="216" customFormat="1" ht="15" customHeight="1" outlineLevel="1">
      <c r="A260" s="215" t="s">
        <v>125</v>
      </c>
      <c r="B260" s="249"/>
      <c r="C260" s="249"/>
      <c r="D260" s="250"/>
      <c r="E260" s="249"/>
      <c r="F260" s="249"/>
      <c r="G260" s="249"/>
      <c r="H260" s="249"/>
      <c r="I260" s="249"/>
      <c r="J260" s="249"/>
      <c r="K260" s="261"/>
      <c r="L260" s="250"/>
      <c r="M260" s="250"/>
      <c r="N260" s="250"/>
      <c r="O260" s="250"/>
      <c r="P260" s="250"/>
      <c r="Q260" s="255"/>
      <c r="R260" s="283"/>
      <c r="S260" s="283"/>
      <c r="T260" s="283"/>
      <c r="U260" s="283"/>
      <c r="V260" s="283"/>
      <c r="W260" s="283"/>
      <c r="X260" s="283"/>
      <c r="Y260" s="284"/>
      <c r="Z260" s="284"/>
      <c r="AA260" s="301"/>
      <c r="AB260" s="301"/>
      <c r="AC260" s="301"/>
      <c r="AD260" s="301"/>
      <c r="AE260" s="301"/>
      <c r="AF260" s="301"/>
      <c r="AG260" s="301"/>
      <c r="AH260" s="301"/>
      <c r="AI260" s="301"/>
      <c r="AJ260" s="301"/>
      <c r="AK260" s="301"/>
      <c r="AL260" s="301"/>
      <c r="AM260" s="301"/>
      <c r="AN260" s="301"/>
      <c r="AO260" s="301"/>
      <c r="AP260" s="301"/>
      <c r="AQ260" s="301"/>
      <c r="AR260" s="301"/>
      <c r="AS260" s="316"/>
      <c r="AT260" s="316"/>
      <c r="AU260" s="317"/>
    </row>
    <row r="261" spans="1:47" s="217" customFormat="1" ht="25.5" customHeight="1" outlineLevel="1">
      <c r="A261" s="215" t="s">
        <v>125</v>
      </c>
      <c r="B261" s="247"/>
      <c r="C261" s="247"/>
      <c r="D261" s="248"/>
      <c r="E261" s="249"/>
      <c r="F261" s="249"/>
      <c r="G261" s="249"/>
      <c r="H261" s="249"/>
      <c r="I261" s="249"/>
      <c r="J261" s="247"/>
      <c r="K261" s="259"/>
      <c r="L261" s="248"/>
      <c r="M261" s="248"/>
      <c r="N261" s="250"/>
      <c r="O261" s="250"/>
      <c r="P261" s="250"/>
      <c r="Q261" s="99" t="s">
        <v>127</v>
      </c>
      <c r="R261" s="283"/>
      <c r="S261" s="283"/>
      <c r="T261" s="283"/>
      <c r="U261" s="283"/>
      <c r="V261" s="283"/>
      <c r="W261" s="283"/>
      <c r="X261" s="283"/>
      <c r="Y261" s="285"/>
      <c r="Z261" s="285"/>
      <c r="AA261" s="302"/>
      <c r="AB261" s="302"/>
      <c r="AC261" s="302"/>
      <c r="AD261" s="302"/>
      <c r="AE261" s="302"/>
      <c r="AF261" s="302"/>
      <c r="AG261" s="302"/>
      <c r="AH261" s="301"/>
      <c r="AI261" s="301"/>
      <c r="AJ261" s="301"/>
      <c r="AK261" s="301"/>
      <c r="AL261" s="301"/>
      <c r="AM261" s="301"/>
      <c r="AN261" s="301"/>
      <c r="AO261" s="301"/>
      <c r="AP261" s="301"/>
      <c r="AQ261" s="302"/>
      <c r="AR261" s="302"/>
      <c r="AS261" s="315"/>
      <c r="AT261" s="315"/>
      <c r="AU261" s="220"/>
    </row>
    <row r="262" spans="1:47" s="218" customFormat="1" ht="25.5" customHeight="1" outlineLevel="2">
      <c r="A262" s="215" t="s">
        <v>125</v>
      </c>
      <c r="B262" s="151">
        <v>31</v>
      </c>
      <c r="C262" s="151" t="s">
        <v>128</v>
      </c>
      <c r="D262" s="245" t="s">
        <v>168</v>
      </c>
      <c r="E262" s="151" t="s">
        <v>169</v>
      </c>
      <c r="F262" s="151" t="s">
        <v>207</v>
      </c>
      <c r="G262" s="151" t="s">
        <v>33</v>
      </c>
      <c r="H262" s="151" t="s">
        <v>51</v>
      </c>
      <c r="I262" s="256">
        <v>13</v>
      </c>
      <c r="J262" s="151" t="s">
        <v>80</v>
      </c>
      <c r="K262" s="176" t="s">
        <v>132</v>
      </c>
      <c r="L262" s="245">
        <v>30484262</v>
      </c>
      <c r="M262" s="855"/>
      <c r="N262" s="245" t="s">
        <v>337</v>
      </c>
      <c r="O262" s="245" t="s">
        <v>498</v>
      </c>
      <c r="P262" s="245"/>
      <c r="Q262" s="176" t="s">
        <v>499</v>
      </c>
      <c r="R262" s="273"/>
      <c r="S262" s="274"/>
      <c r="T262" s="273"/>
      <c r="U262" s="273"/>
      <c r="V262" s="273"/>
      <c r="W262" s="273"/>
      <c r="X262" s="274"/>
      <c r="Y262" s="275">
        <v>373315000</v>
      </c>
      <c r="Z262" s="275">
        <v>222006266</v>
      </c>
      <c r="AA262" s="296"/>
      <c r="AB262" s="297">
        <f>138611000+12697734</f>
        <v>151308734</v>
      </c>
      <c r="AC262" s="297">
        <f t="shared" si="95"/>
        <v>146837549</v>
      </c>
      <c r="AD262" s="297">
        <f t="shared" ref="AD262:AD268" si="103">+AB262-AC262</f>
        <v>4471185</v>
      </c>
      <c r="AE262" s="297">
        <v>0</v>
      </c>
      <c r="AF262" s="297">
        <v>0</v>
      </c>
      <c r="AG262" s="297">
        <v>0</v>
      </c>
      <c r="AH262" s="297">
        <v>0</v>
      </c>
      <c r="AI262" s="297">
        <v>0</v>
      </c>
      <c r="AJ262" s="297">
        <v>0</v>
      </c>
      <c r="AK262" s="297">
        <v>1122000</v>
      </c>
      <c r="AL262" s="297">
        <v>3482005</v>
      </c>
      <c r="AM262" s="297">
        <v>1122000</v>
      </c>
      <c r="AN262" s="297">
        <v>1122000</v>
      </c>
      <c r="AO262" s="297">
        <v>43406118</v>
      </c>
      <c r="AP262" s="297">
        <v>96583426</v>
      </c>
      <c r="AQ262" s="296"/>
      <c r="AR262" s="297">
        <f t="shared" ref="AR262:AR269" si="104">+Y262-Z262-AC262-AD262</f>
        <v>0</v>
      </c>
      <c r="AS262" s="313" t="s">
        <v>137</v>
      </c>
      <c r="AT262" s="313" t="s">
        <v>137</v>
      </c>
      <c r="AU262" s="176" t="s">
        <v>138</v>
      </c>
    </row>
    <row r="263" spans="1:47" s="218" customFormat="1" ht="25.5" customHeight="1" outlineLevel="2">
      <c r="A263" s="215" t="s">
        <v>125</v>
      </c>
      <c r="B263" s="151">
        <v>31</v>
      </c>
      <c r="C263" s="151" t="s">
        <v>128</v>
      </c>
      <c r="D263" s="245" t="s">
        <v>168</v>
      </c>
      <c r="E263" s="151" t="s">
        <v>169</v>
      </c>
      <c r="F263" s="151" t="s">
        <v>207</v>
      </c>
      <c r="G263" s="151" t="s">
        <v>33</v>
      </c>
      <c r="H263" s="151" t="s">
        <v>51</v>
      </c>
      <c r="I263" s="256">
        <v>13</v>
      </c>
      <c r="J263" s="151" t="s">
        <v>80</v>
      </c>
      <c r="K263" s="176" t="s">
        <v>132</v>
      </c>
      <c r="L263" s="245">
        <v>30465246</v>
      </c>
      <c r="M263" s="855"/>
      <c r="N263" s="245" t="s">
        <v>373</v>
      </c>
      <c r="O263" s="245" t="s">
        <v>500</v>
      </c>
      <c r="P263" s="245"/>
      <c r="Q263" s="176" t="s">
        <v>501</v>
      </c>
      <c r="R263" s="273"/>
      <c r="S263" s="274"/>
      <c r="T263" s="273"/>
      <c r="U263" s="273"/>
      <c r="V263" s="273"/>
      <c r="W263" s="273"/>
      <c r="X263" s="274"/>
      <c r="Y263" s="275">
        <v>175409000</v>
      </c>
      <c r="Z263" s="275">
        <v>148115391</v>
      </c>
      <c r="AA263" s="296"/>
      <c r="AB263" s="297">
        <f>+Y263-Z263</f>
        <v>27293609</v>
      </c>
      <c r="AC263" s="297">
        <f t="shared" si="95"/>
        <v>3600000</v>
      </c>
      <c r="AD263" s="297">
        <f t="shared" si="103"/>
        <v>23693609</v>
      </c>
      <c r="AE263" s="297">
        <v>0</v>
      </c>
      <c r="AF263" s="297">
        <v>0</v>
      </c>
      <c r="AG263" s="297">
        <v>0</v>
      </c>
      <c r="AH263" s="297">
        <v>0</v>
      </c>
      <c r="AI263" s="297">
        <v>0</v>
      </c>
      <c r="AJ263" s="297">
        <v>0</v>
      </c>
      <c r="AK263" s="297">
        <v>0</v>
      </c>
      <c r="AL263" s="297">
        <v>0</v>
      </c>
      <c r="AM263" s="297">
        <v>0</v>
      </c>
      <c r="AN263" s="297">
        <v>1200000</v>
      </c>
      <c r="AO263" s="297">
        <v>1200000</v>
      </c>
      <c r="AP263" s="297">
        <v>1200000</v>
      </c>
      <c r="AQ263" s="296"/>
      <c r="AR263" s="297">
        <f t="shared" si="104"/>
        <v>0</v>
      </c>
      <c r="AS263" s="313" t="s">
        <v>137</v>
      </c>
      <c r="AT263" s="313" t="s">
        <v>137</v>
      </c>
      <c r="AU263" s="176" t="s">
        <v>138</v>
      </c>
    </row>
    <row r="264" spans="1:47" s="218" customFormat="1" ht="25.5" customHeight="1" outlineLevel="2">
      <c r="A264" s="215" t="s">
        <v>125</v>
      </c>
      <c r="B264" s="151">
        <v>31</v>
      </c>
      <c r="C264" s="151" t="s">
        <v>128</v>
      </c>
      <c r="D264" s="245" t="s">
        <v>139</v>
      </c>
      <c r="E264" s="151" t="s">
        <v>169</v>
      </c>
      <c r="F264" s="151" t="s">
        <v>140</v>
      </c>
      <c r="G264" s="151" t="s">
        <v>33</v>
      </c>
      <c r="H264" s="151" t="s">
        <v>51</v>
      </c>
      <c r="I264" s="256">
        <v>13</v>
      </c>
      <c r="J264" s="151" t="s">
        <v>80</v>
      </c>
      <c r="K264" s="176" t="s">
        <v>132</v>
      </c>
      <c r="L264" s="245">
        <v>40005302</v>
      </c>
      <c r="M264" s="855"/>
      <c r="N264" s="245" t="e">
        <v>#N/A</v>
      </c>
      <c r="O264" s="245" t="s">
        <v>502</v>
      </c>
      <c r="P264" s="245"/>
      <c r="Q264" s="245" t="s">
        <v>503</v>
      </c>
      <c r="R264" s="273"/>
      <c r="S264" s="274"/>
      <c r="T264" s="273"/>
      <c r="U264" s="273"/>
      <c r="V264" s="273"/>
      <c r="W264" s="273"/>
      <c r="X264" s="274"/>
      <c r="Y264" s="275">
        <v>280198000</v>
      </c>
      <c r="Z264" s="275">
        <v>124191673</v>
      </c>
      <c r="AA264" s="296"/>
      <c r="AB264" s="297">
        <f>+Y264-Z264</f>
        <v>156006327</v>
      </c>
      <c r="AC264" s="297">
        <f t="shared" si="95"/>
        <v>129532035</v>
      </c>
      <c r="AD264" s="297">
        <f t="shared" si="103"/>
        <v>26474292</v>
      </c>
      <c r="AE264" s="297">
        <v>0</v>
      </c>
      <c r="AF264" s="297">
        <v>0</v>
      </c>
      <c r="AG264" s="297">
        <v>0</v>
      </c>
      <c r="AH264" s="297">
        <v>0</v>
      </c>
      <c r="AI264" s="297">
        <v>0</v>
      </c>
      <c r="AJ264" s="297">
        <v>0</v>
      </c>
      <c r="AK264" s="297">
        <v>0</v>
      </c>
      <c r="AL264" s="297">
        <v>13923534</v>
      </c>
      <c r="AM264" s="297">
        <v>32144875</v>
      </c>
      <c r="AN264" s="297">
        <v>29393595</v>
      </c>
      <c r="AO264" s="297">
        <v>15779103</v>
      </c>
      <c r="AP264" s="297">
        <v>38290928</v>
      </c>
      <c r="AQ264" s="296"/>
      <c r="AR264" s="297">
        <f t="shared" si="104"/>
        <v>0</v>
      </c>
      <c r="AS264" s="313" t="s">
        <v>148</v>
      </c>
      <c r="AT264" s="313" t="s">
        <v>1464</v>
      </c>
      <c r="AU264" s="176" t="s">
        <v>138</v>
      </c>
    </row>
    <row r="265" spans="1:47" s="218" customFormat="1" ht="25.5" customHeight="1" outlineLevel="2">
      <c r="A265" s="215" t="s">
        <v>125</v>
      </c>
      <c r="B265" s="151">
        <v>31</v>
      </c>
      <c r="C265" s="151" t="s">
        <v>128</v>
      </c>
      <c r="D265" s="245" t="s">
        <v>129</v>
      </c>
      <c r="E265" s="151" t="s">
        <v>169</v>
      </c>
      <c r="F265" s="151" t="s">
        <v>131</v>
      </c>
      <c r="G265" s="151" t="s">
        <v>33</v>
      </c>
      <c r="H265" s="151" t="s">
        <v>51</v>
      </c>
      <c r="I265" s="256">
        <v>13</v>
      </c>
      <c r="J265" s="151" t="s">
        <v>81</v>
      </c>
      <c r="K265" s="176" t="s">
        <v>132</v>
      </c>
      <c r="L265" s="245">
        <v>30077934</v>
      </c>
      <c r="M265" s="855"/>
      <c r="N265" s="245" t="e">
        <v>#N/A</v>
      </c>
      <c r="O265" s="245" t="s">
        <v>504</v>
      </c>
      <c r="P265" s="245"/>
      <c r="Q265" s="176" t="s">
        <v>505</v>
      </c>
      <c r="R265" s="273"/>
      <c r="S265" s="274"/>
      <c r="T265" s="273"/>
      <c r="U265" s="273"/>
      <c r="V265" s="273"/>
      <c r="W265" s="273"/>
      <c r="X265" s="274"/>
      <c r="Y265" s="275">
        <v>1461360000</v>
      </c>
      <c r="Z265" s="275">
        <v>26796157</v>
      </c>
      <c r="AA265" s="296"/>
      <c r="AB265" s="297">
        <f>500000000+55302775+153392100+71441875+36578742</f>
        <v>816715492</v>
      </c>
      <c r="AC265" s="297">
        <f t="shared" si="95"/>
        <v>816715492</v>
      </c>
      <c r="AD265" s="297">
        <f t="shared" si="103"/>
        <v>0</v>
      </c>
      <c r="AE265" s="297">
        <v>0</v>
      </c>
      <c r="AF265" s="297">
        <v>0</v>
      </c>
      <c r="AG265" s="297">
        <v>0</v>
      </c>
      <c r="AH265" s="297">
        <v>0</v>
      </c>
      <c r="AI265" s="297">
        <v>0</v>
      </c>
      <c r="AJ265" s="297">
        <v>108020617</v>
      </c>
      <c r="AK265" s="297">
        <v>153392100</v>
      </c>
      <c r="AL265" s="297">
        <v>185052534</v>
      </c>
      <c r="AM265" s="297">
        <v>170070988</v>
      </c>
      <c r="AN265" s="297">
        <v>200179253</v>
      </c>
      <c r="AO265" s="297">
        <v>0</v>
      </c>
      <c r="AP265" s="297">
        <v>0</v>
      </c>
      <c r="AQ265" s="296"/>
      <c r="AR265" s="297">
        <f t="shared" si="104"/>
        <v>617848351</v>
      </c>
      <c r="AS265" s="313" t="s">
        <v>137</v>
      </c>
      <c r="AT265" s="313" t="s">
        <v>137</v>
      </c>
      <c r="AU265" s="176" t="s">
        <v>138</v>
      </c>
    </row>
    <row r="266" spans="1:47" s="218" customFormat="1" ht="25.5" customHeight="1" outlineLevel="2">
      <c r="A266" s="215" t="s">
        <v>125</v>
      </c>
      <c r="B266" s="151">
        <v>31</v>
      </c>
      <c r="C266" s="151" t="s">
        <v>128</v>
      </c>
      <c r="D266" s="245" t="s">
        <v>168</v>
      </c>
      <c r="E266" s="151" t="s">
        <v>169</v>
      </c>
      <c r="F266" s="151" t="s">
        <v>140</v>
      </c>
      <c r="G266" s="151" t="s">
        <v>33</v>
      </c>
      <c r="H266" s="151" t="s">
        <v>51</v>
      </c>
      <c r="I266" s="256">
        <v>13</v>
      </c>
      <c r="J266" s="151" t="s">
        <v>80</v>
      </c>
      <c r="K266" s="176" t="s">
        <v>132</v>
      </c>
      <c r="L266" s="245">
        <v>30485141</v>
      </c>
      <c r="M266" s="855"/>
      <c r="N266" s="245" t="e">
        <v>#N/A</v>
      </c>
      <c r="O266" s="245" t="s">
        <v>506</v>
      </c>
      <c r="P266" s="257" t="s">
        <v>507</v>
      </c>
      <c r="Q266" s="176" t="s">
        <v>508</v>
      </c>
      <c r="R266" s="273"/>
      <c r="S266" s="274"/>
      <c r="T266" s="273"/>
      <c r="U266" s="273"/>
      <c r="V266" s="273"/>
      <c r="W266" s="273"/>
      <c r="X266" s="274"/>
      <c r="Y266" s="275">
        <v>229003000</v>
      </c>
      <c r="Z266" s="275">
        <v>0</v>
      </c>
      <c r="AA266" s="296"/>
      <c r="AB266" s="297">
        <f>229003000-71441875</f>
        <v>157561125</v>
      </c>
      <c r="AC266" s="297">
        <f t="shared" si="95"/>
        <v>13908959</v>
      </c>
      <c r="AD266" s="297">
        <f>+AB266-AC266</f>
        <v>143652166</v>
      </c>
      <c r="AE266" s="297">
        <v>0</v>
      </c>
      <c r="AF266" s="297">
        <v>0</v>
      </c>
      <c r="AG266" s="297">
        <v>0</v>
      </c>
      <c r="AH266" s="297">
        <v>0</v>
      </c>
      <c r="AI266" s="297">
        <v>0</v>
      </c>
      <c r="AJ266" s="297">
        <v>5036628</v>
      </c>
      <c r="AK266" s="297">
        <v>1600000</v>
      </c>
      <c r="AL266" s="297">
        <v>7272331</v>
      </c>
      <c r="AM266" s="297">
        <v>0</v>
      </c>
      <c r="AN266" s="297">
        <v>0</v>
      </c>
      <c r="AO266" s="297">
        <v>0</v>
      </c>
      <c r="AP266" s="297">
        <v>0</v>
      </c>
      <c r="AQ266" s="296"/>
      <c r="AR266" s="297">
        <f>+Y266-Z266-AC266-AD266</f>
        <v>71441875</v>
      </c>
      <c r="AS266" s="313" t="s">
        <v>137</v>
      </c>
      <c r="AT266" s="313" t="s">
        <v>137</v>
      </c>
      <c r="AU266" s="176" t="s">
        <v>138</v>
      </c>
    </row>
    <row r="267" spans="1:47" s="218" customFormat="1" ht="25.5" customHeight="1" outlineLevel="2">
      <c r="A267" s="215" t="s">
        <v>125</v>
      </c>
      <c r="B267" s="191">
        <v>33</v>
      </c>
      <c r="C267" s="191" t="s">
        <v>128</v>
      </c>
      <c r="D267" s="246" t="s">
        <v>149</v>
      </c>
      <c r="E267" s="191" t="s">
        <v>130</v>
      </c>
      <c r="F267" s="191" t="s">
        <v>140</v>
      </c>
      <c r="G267" s="191" t="s">
        <v>33</v>
      </c>
      <c r="H267" s="191" t="s">
        <v>51</v>
      </c>
      <c r="I267" s="258">
        <v>13</v>
      </c>
      <c r="J267" s="191" t="s">
        <v>83</v>
      </c>
      <c r="K267" s="192" t="s">
        <v>132</v>
      </c>
      <c r="L267" s="246" t="s">
        <v>83</v>
      </c>
      <c r="M267" s="861" t="s">
        <v>1604</v>
      </c>
      <c r="N267" s="246"/>
      <c r="O267" s="245" t="s">
        <v>183</v>
      </c>
      <c r="P267" s="246"/>
      <c r="Q267" s="192" t="s">
        <v>184</v>
      </c>
      <c r="R267" s="276"/>
      <c r="S267" s="277"/>
      <c r="T267" s="276"/>
      <c r="U267" s="276"/>
      <c r="V267" s="276"/>
      <c r="W267" s="276"/>
      <c r="X267" s="277"/>
      <c r="Y267" s="194">
        <v>100000000</v>
      </c>
      <c r="Z267" s="194">
        <f>+FRIL!J421</f>
        <v>0</v>
      </c>
      <c r="AA267" s="298"/>
      <c r="AB267" s="299">
        <v>100000000</v>
      </c>
      <c r="AC267" s="299">
        <f t="shared" si="95"/>
        <v>0</v>
      </c>
      <c r="AD267" s="299">
        <f t="shared" si="103"/>
        <v>100000000</v>
      </c>
      <c r="AE267" s="299">
        <v>0</v>
      </c>
      <c r="AF267" s="299">
        <v>0</v>
      </c>
      <c r="AG267" s="299">
        <v>0</v>
      </c>
      <c r="AH267" s="299">
        <v>0</v>
      </c>
      <c r="AI267" s="299">
        <v>0</v>
      </c>
      <c r="AJ267" s="297">
        <v>0</v>
      </c>
      <c r="AK267" s="299">
        <v>0</v>
      </c>
      <c r="AL267" s="299">
        <v>0</v>
      </c>
      <c r="AM267" s="299">
        <v>0</v>
      </c>
      <c r="AN267" s="299">
        <v>0</v>
      </c>
      <c r="AO267" s="297">
        <v>0</v>
      </c>
      <c r="AP267" s="299">
        <v>0</v>
      </c>
      <c r="AQ267" s="298"/>
      <c r="AR267" s="299">
        <f t="shared" si="104"/>
        <v>0</v>
      </c>
      <c r="AS267" s="314" t="s">
        <v>185</v>
      </c>
      <c r="AT267" s="314" t="s">
        <v>83</v>
      </c>
      <c r="AU267" s="192" t="s">
        <v>138</v>
      </c>
    </row>
    <row r="268" spans="1:47" s="218" customFormat="1" ht="25.5" customHeight="1" outlineLevel="2">
      <c r="A268" s="215" t="s">
        <v>125</v>
      </c>
      <c r="B268" s="151">
        <v>33</v>
      </c>
      <c r="C268" s="151" t="s">
        <v>128</v>
      </c>
      <c r="D268" s="245" t="s">
        <v>149</v>
      </c>
      <c r="E268" s="151" t="s">
        <v>130</v>
      </c>
      <c r="F268" s="151" t="s">
        <v>140</v>
      </c>
      <c r="G268" s="151" t="s">
        <v>33</v>
      </c>
      <c r="H268" s="151" t="s">
        <v>51</v>
      </c>
      <c r="I268" s="256">
        <v>13</v>
      </c>
      <c r="J268" s="151" t="s">
        <v>83</v>
      </c>
      <c r="K268" s="176" t="s">
        <v>132</v>
      </c>
      <c r="L268" s="245" t="s">
        <v>83</v>
      </c>
      <c r="M268" s="855"/>
      <c r="N268" s="245"/>
      <c r="O268" s="245" t="s">
        <v>183</v>
      </c>
      <c r="P268" s="245"/>
      <c r="Q268" s="176" t="s">
        <v>486</v>
      </c>
      <c r="R268" s="273"/>
      <c r="S268" s="274"/>
      <c r="T268" s="273"/>
      <c r="U268" s="273"/>
      <c r="V268" s="273"/>
      <c r="W268" s="273"/>
      <c r="X268" s="274"/>
      <c r="Y268" s="275">
        <v>200000000</v>
      </c>
      <c r="Z268" s="275">
        <f>+FRIL!J422</f>
        <v>0</v>
      </c>
      <c r="AA268" s="296"/>
      <c r="AB268" s="297">
        <v>200000000</v>
      </c>
      <c r="AC268" s="297">
        <f t="shared" si="95"/>
        <v>146340240</v>
      </c>
      <c r="AD268" s="297">
        <f t="shared" si="103"/>
        <v>53659760</v>
      </c>
      <c r="AE268" s="297">
        <v>0</v>
      </c>
      <c r="AF268" s="297">
        <v>0</v>
      </c>
      <c r="AG268" s="297">
        <v>0</v>
      </c>
      <c r="AH268" s="297">
        <v>0</v>
      </c>
      <c r="AI268" s="297">
        <v>0</v>
      </c>
      <c r="AJ268" s="297">
        <v>0</v>
      </c>
      <c r="AK268" s="297">
        <v>33502308</v>
      </c>
      <c r="AL268" s="297">
        <v>17866850</v>
      </c>
      <c r="AM268" s="297">
        <v>80706105</v>
      </c>
      <c r="AN268" s="297">
        <v>14264977</v>
      </c>
      <c r="AO268" s="297">
        <f>+FRIL!L139</f>
        <v>0</v>
      </c>
      <c r="AP268" s="297">
        <v>0</v>
      </c>
      <c r="AQ268" s="296"/>
      <c r="AR268" s="297">
        <f t="shared" si="104"/>
        <v>0</v>
      </c>
      <c r="AS268" s="313" t="s">
        <v>185</v>
      </c>
      <c r="AT268" s="313" t="s">
        <v>83</v>
      </c>
      <c r="AU268" s="176" t="s">
        <v>138</v>
      </c>
    </row>
    <row r="269" spans="1:47" s="217" customFormat="1" ht="25.5" customHeight="1" outlineLevel="1">
      <c r="A269" s="215" t="s">
        <v>125</v>
      </c>
      <c r="B269" s="247"/>
      <c r="C269" s="247"/>
      <c r="D269" s="248"/>
      <c r="E269" s="249"/>
      <c r="F269" s="249"/>
      <c r="G269" s="249"/>
      <c r="H269" s="249"/>
      <c r="I269" s="249"/>
      <c r="J269" s="247"/>
      <c r="K269" s="259"/>
      <c r="L269" s="248"/>
      <c r="M269" s="248"/>
      <c r="N269" s="250"/>
      <c r="O269" s="250"/>
      <c r="P269" s="250"/>
      <c r="Q269" s="260" t="s">
        <v>187</v>
      </c>
      <c r="R269" s="278"/>
      <c r="S269" s="279"/>
      <c r="T269" s="279"/>
      <c r="U269" s="279"/>
      <c r="V269" s="279"/>
      <c r="W269" s="279"/>
      <c r="X269" s="281"/>
      <c r="Y269" s="286">
        <f>+Y262+Y263+Y264+Y265+Y267+Y268+Y266</f>
        <v>2819285000</v>
      </c>
      <c r="Z269" s="286">
        <f>+Z262+Z263+Z264+Z265+Z267+Z268+Z266</f>
        <v>521109487</v>
      </c>
      <c r="AA269" s="303"/>
      <c r="AB269" s="286">
        <f t="shared" ref="AB269:AP269" si="105">+AB262+AB263+AB264+AB265+AB267+AB268+AB266</f>
        <v>1608885287</v>
      </c>
      <c r="AC269" s="286">
        <f t="shared" si="95"/>
        <v>1256934275</v>
      </c>
      <c r="AD269" s="286">
        <f t="shared" si="105"/>
        <v>351951012</v>
      </c>
      <c r="AE269" s="286">
        <f t="shared" si="105"/>
        <v>0</v>
      </c>
      <c r="AF269" s="286">
        <f t="shared" si="105"/>
        <v>0</v>
      </c>
      <c r="AG269" s="286">
        <f t="shared" si="105"/>
        <v>0</v>
      </c>
      <c r="AH269" s="286">
        <f t="shared" si="105"/>
        <v>0</v>
      </c>
      <c r="AI269" s="286">
        <f t="shared" si="105"/>
        <v>0</v>
      </c>
      <c r="AJ269" s="286">
        <v>113057245</v>
      </c>
      <c r="AK269" s="286">
        <v>189616408</v>
      </c>
      <c r="AL269" s="286">
        <v>227597254</v>
      </c>
      <c r="AM269" s="286">
        <f t="shared" si="105"/>
        <v>284043968</v>
      </c>
      <c r="AN269" s="286">
        <f t="shared" si="105"/>
        <v>246159825</v>
      </c>
      <c r="AO269" s="286">
        <f t="shared" si="105"/>
        <v>60385221</v>
      </c>
      <c r="AP269" s="286">
        <f t="shared" si="105"/>
        <v>136074354</v>
      </c>
      <c r="AQ269" s="287"/>
      <c r="AR269" s="286">
        <f t="shared" si="104"/>
        <v>689290226</v>
      </c>
      <c r="AS269" s="315"/>
      <c r="AT269" s="315"/>
      <c r="AU269" s="220"/>
    </row>
    <row r="270" spans="1:47" ht="18.75" customHeight="1" outlineLevel="1">
      <c r="A270" s="215" t="s">
        <v>125</v>
      </c>
      <c r="B270" s="249"/>
      <c r="C270" s="249"/>
      <c r="D270" s="250"/>
      <c r="E270" s="249"/>
      <c r="F270" s="249"/>
      <c r="G270" s="249"/>
      <c r="H270" s="249"/>
      <c r="I270" s="249"/>
      <c r="J270" s="249"/>
      <c r="K270" s="261"/>
      <c r="L270" s="250"/>
      <c r="M270" s="250"/>
      <c r="N270" s="250"/>
      <c r="O270" s="250"/>
      <c r="P270" s="250"/>
      <c r="Q270" s="261"/>
      <c r="R270" s="283"/>
      <c r="S270" s="283"/>
      <c r="T270" s="283"/>
      <c r="U270" s="283"/>
      <c r="V270" s="283"/>
      <c r="W270" s="283"/>
      <c r="X270" s="283"/>
      <c r="Y270" s="284"/>
      <c r="Z270" s="284"/>
      <c r="AA270" s="301"/>
      <c r="AB270" s="301"/>
      <c r="AC270" s="301"/>
      <c r="AD270" s="301"/>
      <c r="AE270" s="301"/>
      <c r="AF270" s="301"/>
      <c r="AG270" s="301"/>
      <c r="AH270" s="301"/>
      <c r="AI270" s="301"/>
      <c r="AJ270" s="301"/>
      <c r="AK270" s="301"/>
      <c r="AL270" s="301"/>
      <c r="AM270" s="301"/>
      <c r="AN270" s="301"/>
      <c r="AO270" s="301"/>
      <c r="AP270" s="301"/>
      <c r="AQ270" s="301"/>
      <c r="AR270" s="301"/>
      <c r="AS270" s="316"/>
      <c r="AT270" s="316"/>
      <c r="AU270" s="317"/>
    </row>
    <row r="271" spans="1:47" s="217" customFormat="1" ht="25.5" customHeight="1" outlineLevel="1">
      <c r="A271" s="215" t="s">
        <v>125</v>
      </c>
      <c r="B271" s="247"/>
      <c r="C271" s="247"/>
      <c r="D271" s="248"/>
      <c r="E271" s="249"/>
      <c r="F271" s="249"/>
      <c r="G271" s="249"/>
      <c r="H271" s="249"/>
      <c r="I271" s="249"/>
      <c r="J271" s="247"/>
      <c r="K271" s="259"/>
      <c r="L271" s="248"/>
      <c r="M271" s="248"/>
      <c r="N271" s="250"/>
      <c r="O271" s="250"/>
      <c r="P271" s="250"/>
      <c r="Q271" s="99" t="s">
        <v>188</v>
      </c>
      <c r="R271" s="283"/>
      <c r="S271" s="283"/>
      <c r="T271" s="283"/>
      <c r="U271" s="283"/>
      <c r="V271" s="283"/>
      <c r="W271" s="283"/>
      <c r="X271" s="283"/>
      <c r="Y271" s="285"/>
      <c r="Z271" s="285"/>
      <c r="AA271" s="302"/>
      <c r="AB271" s="302"/>
      <c r="AC271" s="302"/>
      <c r="AD271" s="302"/>
      <c r="AE271" s="302"/>
      <c r="AF271" s="302"/>
      <c r="AG271" s="302"/>
      <c r="AH271" s="301"/>
      <c r="AI271" s="301"/>
      <c r="AJ271" s="301"/>
      <c r="AK271" s="301"/>
      <c r="AL271" s="301"/>
      <c r="AM271" s="301"/>
      <c r="AN271" s="301"/>
      <c r="AO271" s="301"/>
      <c r="AP271" s="301"/>
      <c r="AQ271" s="302"/>
      <c r="AR271" s="302"/>
      <c r="AS271" s="315"/>
      <c r="AT271" s="315"/>
      <c r="AU271" s="220"/>
    </row>
    <row r="272" spans="1:47" s="218" customFormat="1" ht="25.5" customHeight="1" outlineLevel="2">
      <c r="A272" s="215" t="s">
        <v>125</v>
      </c>
      <c r="B272" s="151">
        <v>31</v>
      </c>
      <c r="C272" s="151" t="s">
        <v>128</v>
      </c>
      <c r="D272" s="245" t="s">
        <v>168</v>
      </c>
      <c r="E272" s="151" t="s">
        <v>169</v>
      </c>
      <c r="F272" s="151" t="s">
        <v>140</v>
      </c>
      <c r="G272" s="151" t="s">
        <v>33</v>
      </c>
      <c r="H272" s="151" t="s">
        <v>51</v>
      </c>
      <c r="I272" s="256">
        <v>13</v>
      </c>
      <c r="J272" s="151" t="s">
        <v>80</v>
      </c>
      <c r="K272" s="176" t="s">
        <v>132</v>
      </c>
      <c r="L272" s="245">
        <v>30485139</v>
      </c>
      <c r="M272" s="855"/>
      <c r="N272" s="245" t="s">
        <v>337</v>
      </c>
      <c r="O272" s="245" t="s">
        <v>509</v>
      </c>
      <c r="P272" s="257" t="s">
        <v>510</v>
      </c>
      <c r="Q272" s="176" t="s">
        <v>511</v>
      </c>
      <c r="R272" s="273"/>
      <c r="S272" s="274"/>
      <c r="T272" s="273"/>
      <c r="U272" s="273" t="s">
        <v>1514</v>
      </c>
      <c r="V272" s="273">
        <v>160436000</v>
      </c>
      <c r="W272" s="273"/>
      <c r="X272" s="274"/>
      <c r="Y272" s="275">
        <v>218397000</v>
      </c>
      <c r="Z272" s="275">
        <v>0</v>
      </c>
      <c r="AA272" s="296"/>
      <c r="AB272" s="297">
        <v>218397000</v>
      </c>
      <c r="AC272" s="297">
        <f t="shared" si="95"/>
        <v>0</v>
      </c>
      <c r="AD272" s="297">
        <f>+AB272-AC272</f>
        <v>218397000</v>
      </c>
      <c r="AE272" s="297">
        <v>0</v>
      </c>
      <c r="AF272" s="297">
        <v>0</v>
      </c>
      <c r="AG272" s="297">
        <v>0</v>
      </c>
      <c r="AH272" s="297">
        <v>0</v>
      </c>
      <c r="AI272" s="297">
        <v>0</v>
      </c>
      <c r="AJ272" s="297">
        <v>0</v>
      </c>
      <c r="AK272" s="297">
        <v>0</v>
      </c>
      <c r="AL272" s="297">
        <v>0</v>
      </c>
      <c r="AM272" s="297">
        <v>0</v>
      </c>
      <c r="AN272" s="297">
        <v>0</v>
      </c>
      <c r="AO272" s="297">
        <v>0</v>
      </c>
      <c r="AP272" s="297">
        <v>0</v>
      </c>
      <c r="AQ272" s="296"/>
      <c r="AR272" s="297">
        <f t="shared" ref="AR272:AR276" si="106">+Y272-Z272-AC272-AD272</f>
        <v>0</v>
      </c>
      <c r="AS272" s="313" t="s">
        <v>137</v>
      </c>
      <c r="AT272" s="313" t="s">
        <v>137</v>
      </c>
      <c r="AU272" s="176" t="s">
        <v>1511</v>
      </c>
    </row>
    <row r="273" spans="1:49" s="218" customFormat="1" ht="25.5" customHeight="1" outlineLevel="2">
      <c r="A273" s="215" t="s">
        <v>125</v>
      </c>
      <c r="B273" s="151">
        <v>31</v>
      </c>
      <c r="C273" s="151" t="s">
        <v>128</v>
      </c>
      <c r="D273" s="245" t="s">
        <v>168</v>
      </c>
      <c r="E273" s="151" t="s">
        <v>169</v>
      </c>
      <c r="F273" s="151" t="s">
        <v>140</v>
      </c>
      <c r="G273" s="151" t="s">
        <v>33</v>
      </c>
      <c r="H273" s="151" t="s">
        <v>51</v>
      </c>
      <c r="I273" s="256">
        <v>13</v>
      </c>
      <c r="J273" s="151" t="s">
        <v>80</v>
      </c>
      <c r="K273" s="176" t="s">
        <v>132</v>
      </c>
      <c r="L273" s="245">
        <v>30485133</v>
      </c>
      <c r="M273" s="855"/>
      <c r="N273" s="245" t="e">
        <v>#N/A</v>
      </c>
      <c r="O273" s="245" t="s">
        <v>512</v>
      </c>
      <c r="P273" s="257" t="s">
        <v>1513</v>
      </c>
      <c r="Q273" s="176" t="s">
        <v>513</v>
      </c>
      <c r="R273" s="273" t="s">
        <v>514</v>
      </c>
      <c r="S273" s="274"/>
      <c r="T273" s="273"/>
      <c r="U273" s="273" t="s">
        <v>1515</v>
      </c>
      <c r="V273" s="273">
        <v>449572000</v>
      </c>
      <c r="W273" s="273"/>
      <c r="X273" s="274"/>
      <c r="Y273" s="275">
        <v>449572000</v>
      </c>
      <c r="Z273" s="275">
        <v>0</v>
      </c>
      <c r="AA273" s="296"/>
      <c r="AB273" s="297">
        <v>341863000</v>
      </c>
      <c r="AC273" s="297">
        <f t="shared" si="95"/>
        <v>0</v>
      </c>
      <c r="AD273" s="297">
        <f>+AB273-AC273</f>
        <v>341863000</v>
      </c>
      <c r="AE273" s="297">
        <v>0</v>
      </c>
      <c r="AF273" s="297">
        <v>0</v>
      </c>
      <c r="AG273" s="297">
        <v>0</v>
      </c>
      <c r="AH273" s="297">
        <v>0</v>
      </c>
      <c r="AI273" s="297">
        <v>0</v>
      </c>
      <c r="AJ273" s="297">
        <v>0</v>
      </c>
      <c r="AK273" s="297">
        <v>0</v>
      </c>
      <c r="AL273" s="297">
        <v>0</v>
      </c>
      <c r="AM273" s="297">
        <v>0</v>
      </c>
      <c r="AN273" s="297">
        <v>0</v>
      </c>
      <c r="AO273" s="297">
        <v>0</v>
      </c>
      <c r="AP273" s="297">
        <v>0</v>
      </c>
      <c r="AQ273" s="296"/>
      <c r="AR273" s="297">
        <f t="shared" si="106"/>
        <v>107709000</v>
      </c>
      <c r="AS273" s="313" t="s">
        <v>137</v>
      </c>
      <c r="AT273" s="313" t="s">
        <v>137</v>
      </c>
      <c r="AU273" s="176" t="s">
        <v>1512</v>
      </c>
    </row>
    <row r="274" spans="1:49" s="218" customFormat="1" ht="25.5" customHeight="1" outlineLevel="2">
      <c r="A274" s="215" t="s">
        <v>125</v>
      </c>
      <c r="B274" s="151">
        <v>31</v>
      </c>
      <c r="C274" s="151" t="s">
        <v>128</v>
      </c>
      <c r="D274" s="245" t="s">
        <v>139</v>
      </c>
      <c r="E274" s="151" t="s">
        <v>130</v>
      </c>
      <c r="F274" s="151" t="s">
        <v>140</v>
      </c>
      <c r="G274" s="151" t="s">
        <v>33</v>
      </c>
      <c r="H274" s="151" t="s">
        <v>51</v>
      </c>
      <c r="I274" s="256">
        <v>13</v>
      </c>
      <c r="J274" s="151" t="s">
        <v>80</v>
      </c>
      <c r="K274" s="176" t="s">
        <v>132</v>
      </c>
      <c r="L274" s="245">
        <v>30085259</v>
      </c>
      <c r="M274" s="855"/>
      <c r="N274" s="245" t="e">
        <v>#N/A</v>
      </c>
      <c r="O274" s="245" t="s">
        <v>515</v>
      </c>
      <c r="P274" s="257" t="s">
        <v>516</v>
      </c>
      <c r="Q274" s="176" t="s">
        <v>517</v>
      </c>
      <c r="R274" s="273" t="s">
        <v>518</v>
      </c>
      <c r="S274" s="274"/>
      <c r="T274" s="273"/>
      <c r="U274" s="273"/>
      <c r="V274" s="273"/>
      <c r="W274" s="273"/>
      <c r="X274" s="274"/>
      <c r="Y274" s="275">
        <v>6379910000</v>
      </c>
      <c r="Z274" s="275">
        <v>0</v>
      </c>
      <c r="AA274" s="296"/>
      <c r="AB274" s="297">
        <f>800000000-40577094</f>
        <v>759422906</v>
      </c>
      <c r="AC274" s="297">
        <f t="shared" si="95"/>
        <v>0</v>
      </c>
      <c r="AD274" s="297">
        <f>+AB274-AC274</f>
        <v>759422906</v>
      </c>
      <c r="AE274" s="297">
        <v>0</v>
      </c>
      <c r="AF274" s="297">
        <v>0</v>
      </c>
      <c r="AG274" s="297">
        <v>0</v>
      </c>
      <c r="AH274" s="297">
        <v>0</v>
      </c>
      <c r="AI274" s="297">
        <v>0</v>
      </c>
      <c r="AJ274" s="297">
        <v>0</v>
      </c>
      <c r="AK274" s="297">
        <v>0</v>
      </c>
      <c r="AL274" s="297">
        <v>0</v>
      </c>
      <c r="AM274" s="297">
        <v>0</v>
      </c>
      <c r="AN274" s="297">
        <v>0</v>
      </c>
      <c r="AO274" s="297">
        <v>0</v>
      </c>
      <c r="AP274" s="297">
        <v>0</v>
      </c>
      <c r="AQ274" s="296"/>
      <c r="AR274" s="297">
        <f t="shared" si="106"/>
        <v>5620487094</v>
      </c>
      <c r="AS274" s="313" t="s">
        <v>137</v>
      </c>
      <c r="AT274" s="313" t="s">
        <v>137</v>
      </c>
      <c r="AU274" s="176" t="s">
        <v>394</v>
      </c>
    </row>
    <row r="275" spans="1:49" s="218" customFormat="1" ht="25.5" customHeight="1" outlineLevel="2">
      <c r="A275" s="215" t="s">
        <v>125</v>
      </c>
      <c r="B275" s="151">
        <v>31</v>
      </c>
      <c r="C275" s="151" t="s">
        <v>128</v>
      </c>
      <c r="D275" s="245" t="s">
        <v>168</v>
      </c>
      <c r="E275" s="151" t="s">
        <v>169</v>
      </c>
      <c r="F275" s="151" t="s">
        <v>140</v>
      </c>
      <c r="G275" s="151" t="s">
        <v>33</v>
      </c>
      <c r="H275" s="151" t="s">
        <v>51</v>
      </c>
      <c r="I275" s="256">
        <v>13</v>
      </c>
      <c r="J275" s="151" t="s">
        <v>80</v>
      </c>
      <c r="K275" s="176" t="s">
        <v>132</v>
      </c>
      <c r="L275" s="245">
        <v>30485115</v>
      </c>
      <c r="M275" s="855"/>
      <c r="N275" s="245" t="s">
        <v>337</v>
      </c>
      <c r="O275" s="245" t="s">
        <v>519</v>
      </c>
      <c r="P275" s="245"/>
      <c r="Q275" s="176" t="s">
        <v>520</v>
      </c>
      <c r="R275" s="273" t="s">
        <v>521</v>
      </c>
      <c r="S275" s="274"/>
      <c r="T275" s="273"/>
      <c r="U275" s="273" t="s">
        <v>1516</v>
      </c>
      <c r="V275" s="273">
        <v>414955000</v>
      </c>
      <c r="W275" s="273"/>
      <c r="X275" s="274"/>
      <c r="Y275" s="326">
        <v>425742000</v>
      </c>
      <c r="Z275" s="275">
        <v>0</v>
      </c>
      <c r="AA275" s="296"/>
      <c r="AB275" s="297">
        <f>372300000-138450528</f>
        <v>233849472</v>
      </c>
      <c r="AC275" s="297">
        <f t="shared" si="95"/>
        <v>0</v>
      </c>
      <c r="AD275" s="297">
        <f>+AB275-AC275</f>
        <v>233849472</v>
      </c>
      <c r="AE275" s="297">
        <v>0</v>
      </c>
      <c r="AF275" s="297">
        <v>0</v>
      </c>
      <c r="AG275" s="297">
        <v>0</v>
      </c>
      <c r="AH275" s="297">
        <v>0</v>
      </c>
      <c r="AI275" s="297">
        <v>0</v>
      </c>
      <c r="AJ275" s="297">
        <v>0</v>
      </c>
      <c r="AK275" s="297">
        <v>0</v>
      </c>
      <c r="AL275" s="297">
        <v>0</v>
      </c>
      <c r="AM275" s="297">
        <v>0</v>
      </c>
      <c r="AN275" s="297">
        <v>0</v>
      </c>
      <c r="AO275" s="297">
        <v>0</v>
      </c>
      <c r="AP275" s="297">
        <v>0</v>
      </c>
      <c r="AQ275" s="296"/>
      <c r="AR275" s="297">
        <f t="shared" si="106"/>
        <v>191892528</v>
      </c>
      <c r="AS275" s="313" t="s">
        <v>137</v>
      </c>
      <c r="AT275" s="313" t="s">
        <v>137</v>
      </c>
      <c r="AU275" s="176" t="s">
        <v>195</v>
      </c>
      <c r="AW275" s="218" t="s">
        <v>522</v>
      </c>
    </row>
    <row r="276" spans="1:49" s="217" customFormat="1" ht="25.5" customHeight="1" outlineLevel="1">
      <c r="A276" s="215" t="s">
        <v>125</v>
      </c>
      <c r="B276" s="247"/>
      <c r="C276" s="247"/>
      <c r="D276" s="248"/>
      <c r="E276" s="249"/>
      <c r="F276" s="249"/>
      <c r="G276" s="249"/>
      <c r="H276" s="249"/>
      <c r="I276" s="249"/>
      <c r="J276" s="247"/>
      <c r="K276" s="259"/>
      <c r="L276" s="248"/>
      <c r="M276" s="248"/>
      <c r="N276" s="250"/>
      <c r="O276" s="250"/>
      <c r="P276" s="250"/>
      <c r="Q276" s="260" t="s">
        <v>201</v>
      </c>
      <c r="R276" s="278"/>
      <c r="S276" s="279"/>
      <c r="T276" s="279"/>
      <c r="U276" s="279"/>
      <c r="V276" s="279"/>
      <c r="W276" s="279"/>
      <c r="X276" s="281"/>
      <c r="Y276" s="286">
        <f>SUM(Y272:Y275)</f>
        <v>7473621000</v>
      </c>
      <c r="Z276" s="286">
        <f>SUM(Z272:Z275)</f>
        <v>0</v>
      </c>
      <c r="AA276" s="303"/>
      <c r="AB276" s="286">
        <f t="shared" ref="AB276:AP276" si="107">SUM(AB272:AB275)</f>
        <v>1553532378</v>
      </c>
      <c r="AC276" s="286">
        <f t="shared" si="95"/>
        <v>0</v>
      </c>
      <c r="AD276" s="286">
        <f t="shared" si="107"/>
        <v>1553532378</v>
      </c>
      <c r="AE276" s="286">
        <f t="shared" si="107"/>
        <v>0</v>
      </c>
      <c r="AF276" s="286">
        <f t="shared" si="107"/>
        <v>0</v>
      </c>
      <c r="AG276" s="286">
        <f t="shared" si="107"/>
        <v>0</v>
      </c>
      <c r="AH276" s="286">
        <f t="shared" si="107"/>
        <v>0</v>
      </c>
      <c r="AI276" s="286">
        <f t="shared" si="107"/>
        <v>0</v>
      </c>
      <c r="AJ276" s="286">
        <v>0</v>
      </c>
      <c r="AK276" s="286">
        <v>0</v>
      </c>
      <c r="AL276" s="286">
        <v>0</v>
      </c>
      <c r="AM276" s="286">
        <f t="shared" si="107"/>
        <v>0</v>
      </c>
      <c r="AN276" s="286">
        <f t="shared" si="107"/>
        <v>0</v>
      </c>
      <c r="AO276" s="286">
        <f t="shared" si="107"/>
        <v>0</v>
      </c>
      <c r="AP276" s="286">
        <f t="shared" si="107"/>
        <v>0</v>
      </c>
      <c r="AQ276" s="287"/>
      <c r="AR276" s="286">
        <f t="shared" si="106"/>
        <v>5920088622</v>
      </c>
      <c r="AS276" s="315"/>
      <c r="AT276" s="315"/>
      <c r="AU276" s="220"/>
    </row>
    <row r="277" spans="1:49" ht="18.75" customHeight="1" outlineLevel="1">
      <c r="A277" s="215" t="s">
        <v>125</v>
      </c>
      <c r="B277" s="249"/>
      <c r="C277" s="249"/>
      <c r="D277" s="250"/>
      <c r="E277" s="249"/>
      <c r="F277" s="249"/>
      <c r="G277" s="249"/>
      <c r="H277" s="249"/>
      <c r="I277" s="249"/>
      <c r="J277" s="249"/>
      <c r="K277" s="261"/>
      <c r="L277" s="250"/>
      <c r="M277" s="250"/>
      <c r="N277" s="250"/>
      <c r="O277" s="250"/>
      <c r="P277" s="250"/>
      <c r="Q277" s="261"/>
      <c r="R277" s="283"/>
      <c r="S277" s="283"/>
      <c r="T277" s="283"/>
      <c r="U277" s="283"/>
      <c r="V277" s="283"/>
      <c r="W277" s="283"/>
      <c r="X277" s="283"/>
      <c r="Y277" s="284"/>
      <c r="Z277" s="284"/>
      <c r="AA277" s="301"/>
      <c r="AB277" s="301"/>
      <c r="AC277" s="301"/>
      <c r="AD277" s="301"/>
      <c r="AE277" s="301"/>
      <c r="AF277" s="301"/>
      <c r="AG277" s="301"/>
      <c r="AH277" s="301"/>
      <c r="AI277" s="301"/>
      <c r="AJ277" s="301"/>
      <c r="AK277" s="301"/>
      <c r="AL277" s="301"/>
      <c r="AM277" s="301"/>
      <c r="AN277" s="301"/>
      <c r="AO277" s="301"/>
      <c r="AP277" s="301"/>
      <c r="AQ277" s="301"/>
      <c r="AR277" s="301"/>
      <c r="AS277" s="316"/>
      <c r="AT277" s="316"/>
      <c r="AU277" s="317"/>
    </row>
    <row r="278" spans="1:49" s="219" customFormat="1" ht="24.75" customHeight="1" outlineLevel="1">
      <c r="A278" s="215" t="s">
        <v>125</v>
      </c>
      <c r="B278" s="251"/>
      <c r="C278" s="249"/>
      <c r="D278" s="250"/>
      <c r="E278" s="249"/>
      <c r="F278" s="249"/>
      <c r="G278" s="249"/>
      <c r="H278" s="249"/>
      <c r="I278" s="249"/>
      <c r="J278" s="251"/>
      <c r="K278" s="263"/>
      <c r="L278" s="252"/>
      <c r="M278" s="252"/>
      <c r="N278" s="252"/>
      <c r="O278" s="252"/>
      <c r="P278" s="252"/>
      <c r="Q278" s="117" t="s">
        <v>523</v>
      </c>
      <c r="R278" s="288"/>
      <c r="S278" s="289"/>
      <c r="T278" s="289"/>
      <c r="U278" s="289"/>
      <c r="V278" s="289"/>
      <c r="W278" s="289"/>
      <c r="X278" s="290"/>
      <c r="Y278" s="118">
        <f>+Y269+Y276</f>
        <v>10292906000</v>
      </c>
      <c r="Z278" s="118">
        <f>+Z269+Z276</f>
        <v>521109487</v>
      </c>
      <c r="AA278" s="304"/>
      <c r="AB278" s="118">
        <f t="shared" ref="AB278:AD278" si="108">+AB269+AB276</f>
        <v>3162417665</v>
      </c>
      <c r="AC278" s="118">
        <f t="shared" si="108"/>
        <v>1256934275</v>
      </c>
      <c r="AD278" s="118">
        <f t="shared" si="108"/>
        <v>1905483390</v>
      </c>
      <c r="AE278" s="118">
        <f>+AE269+AE276</f>
        <v>0</v>
      </c>
      <c r="AF278" s="118">
        <f t="shared" ref="AF278:AP278" si="109">+AF269+AF276</f>
        <v>0</v>
      </c>
      <c r="AG278" s="118">
        <f t="shared" si="109"/>
        <v>0</v>
      </c>
      <c r="AH278" s="118">
        <f t="shared" si="109"/>
        <v>0</v>
      </c>
      <c r="AI278" s="118">
        <f t="shared" si="109"/>
        <v>0</v>
      </c>
      <c r="AJ278" s="118">
        <v>113057245</v>
      </c>
      <c r="AK278" s="118">
        <f t="shared" si="109"/>
        <v>189616408</v>
      </c>
      <c r="AL278" s="118">
        <f t="shared" si="109"/>
        <v>227597254</v>
      </c>
      <c r="AM278" s="118">
        <f t="shared" si="109"/>
        <v>284043968</v>
      </c>
      <c r="AN278" s="118">
        <f t="shared" si="109"/>
        <v>246159825</v>
      </c>
      <c r="AO278" s="118">
        <f t="shared" si="109"/>
        <v>60385221</v>
      </c>
      <c r="AP278" s="118">
        <f t="shared" si="109"/>
        <v>136074354</v>
      </c>
      <c r="AQ278" s="318"/>
      <c r="AR278" s="118">
        <f>+Y278-Z278-AC278-AD278</f>
        <v>6609378848</v>
      </c>
      <c r="AS278" s="333"/>
      <c r="AT278" s="333"/>
      <c r="AU278" s="320"/>
    </row>
    <row r="279" spans="1:49" ht="18.75" customHeight="1" outlineLevel="1">
      <c r="A279" s="215" t="s">
        <v>125</v>
      </c>
      <c r="B279" s="249"/>
      <c r="C279" s="249"/>
      <c r="D279" s="250"/>
      <c r="E279" s="249"/>
      <c r="F279" s="249"/>
      <c r="G279" s="249"/>
      <c r="H279" s="249"/>
      <c r="I279" s="249"/>
      <c r="J279" s="249"/>
      <c r="K279" s="261"/>
      <c r="L279" s="250"/>
      <c r="M279" s="250"/>
      <c r="N279" s="250"/>
      <c r="O279" s="250"/>
      <c r="P279" s="250"/>
      <c r="Q279" s="261"/>
      <c r="R279" s="283"/>
      <c r="S279" s="283"/>
      <c r="T279" s="283"/>
      <c r="U279" s="283"/>
      <c r="V279" s="283"/>
      <c r="W279" s="283"/>
      <c r="X279" s="283"/>
      <c r="Y279" s="284"/>
      <c r="Z279" s="284"/>
      <c r="AA279" s="301"/>
      <c r="AB279" s="301"/>
      <c r="AC279" s="301"/>
      <c r="AD279" s="301"/>
      <c r="AE279" s="301"/>
      <c r="AF279" s="301"/>
      <c r="AG279" s="301"/>
      <c r="AH279" s="301"/>
      <c r="AI279" s="301"/>
      <c r="AJ279" s="301"/>
      <c r="AK279" s="301"/>
      <c r="AL279" s="301"/>
      <c r="AM279" s="301"/>
      <c r="AN279" s="301"/>
      <c r="AO279" s="301"/>
      <c r="AP279" s="301"/>
      <c r="AQ279" s="301"/>
      <c r="AR279" s="301"/>
      <c r="AS279" s="316"/>
      <c r="AT279" s="316"/>
      <c r="AU279" s="317"/>
    </row>
    <row r="280" spans="1:49" ht="26.25" customHeight="1" outlineLevel="1">
      <c r="A280" s="215" t="s">
        <v>125</v>
      </c>
      <c r="B280" s="249"/>
      <c r="C280" s="249"/>
      <c r="D280" s="250"/>
      <c r="E280" s="249"/>
      <c r="F280" s="249"/>
      <c r="G280" s="249"/>
      <c r="H280" s="249"/>
      <c r="I280" s="249"/>
      <c r="J280" s="249"/>
      <c r="K280" s="261"/>
      <c r="L280" s="250"/>
      <c r="M280" s="250"/>
      <c r="N280" s="250"/>
      <c r="O280" s="250"/>
      <c r="P280" s="250"/>
      <c r="Q280" s="264" t="s">
        <v>524</v>
      </c>
      <c r="R280" s="283"/>
      <c r="S280" s="283"/>
      <c r="T280" s="283"/>
      <c r="U280" s="283"/>
      <c r="V280" s="283"/>
      <c r="W280" s="283"/>
      <c r="X280" s="283"/>
      <c r="Y280" s="284"/>
      <c r="Z280" s="284"/>
      <c r="AA280" s="301"/>
      <c r="AB280" s="301"/>
      <c r="AC280" s="301"/>
      <c r="AD280" s="301"/>
      <c r="AE280" s="301"/>
      <c r="AF280" s="301"/>
      <c r="AG280" s="301"/>
      <c r="AH280" s="301"/>
      <c r="AI280" s="301"/>
      <c r="AJ280" s="301"/>
      <c r="AK280" s="301"/>
      <c r="AL280" s="301"/>
      <c r="AM280" s="301"/>
      <c r="AN280" s="301"/>
      <c r="AO280" s="301"/>
      <c r="AP280" s="301"/>
      <c r="AQ280" s="301"/>
      <c r="AR280" s="301"/>
      <c r="AS280" s="316"/>
      <c r="AT280" s="316"/>
      <c r="AU280" s="317"/>
    </row>
    <row r="281" spans="1:49" s="216" customFormat="1" ht="15" customHeight="1" outlineLevel="1">
      <c r="A281" s="215" t="s">
        <v>125</v>
      </c>
      <c r="B281" s="249"/>
      <c r="C281" s="249"/>
      <c r="D281" s="250"/>
      <c r="E281" s="249"/>
      <c r="F281" s="249"/>
      <c r="G281" s="249"/>
      <c r="H281" s="249"/>
      <c r="I281" s="249"/>
      <c r="J281" s="249"/>
      <c r="K281" s="261"/>
      <c r="L281" s="250"/>
      <c r="M281" s="250"/>
      <c r="N281" s="250"/>
      <c r="O281" s="250"/>
      <c r="P281" s="250"/>
      <c r="Q281" s="255"/>
      <c r="R281" s="283"/>
      <c r="S281" s="283"/>
      <c r="T281" s="283"/>
      <c r="U281" s="283"/>
      <c r="V281" s="283"/>
      <c r="W281" s="283"/>
      <c r="X281" s="283"/>
      <c r="Y281" s="284"/>
      <c r="Z281" s="284"/>
      <c r="AA281" s="301"/>
      <c r="AB281" s="301"/>
      <c r="AC281" s="301"/>
      <c r="AD281" s="301"/>
      <c r="AE281" s="301"/>
      <c r="AF281" s="301"/>
      <c r="AG281" s="301"/>
      <c r="AH281" s="301"/>
      <c r="AI281" s="301"/>
      <c r="AJ281" s="301"/>
      <c r="AK281" s="301"/>
      <c r="AL281" s="301"/>
      <c r="AM281" s="301"/>
      <c r="AN281" s="301"/>
      <c r="AO281" s="301"/>
      <c r="AP281" s="301"/>
      <c r="AQ281" s="301"/>
      <c r="AR281" s="301"/>
      <c r="AS281" s="316"/>
      <c r="AT281" s="316"/>
      <c r="AU281" s="317"/>
    </row>
    <row r="282" spans="1:49" s="217" customFormat="1" ht="25.5" customHeight="1" outlineLevel="1">
      <c r="A282" s="215" t="s">
        <v>125</v>
      </c>
      <c r="B282" s="247"/>
      <c r="C282" s="247"/>
      <c r="D282" s="248"/>
      <c r="E282" s="249"/>
      <c r="F282" s="249"/>
      <c r="G282" s="249"/>
      <c r="H282" s="249"/>
      <c r="I282" s="249"/>
      <c r="J282" s="247"/>
      <c r="K282" s="259"/>
      <c r="L282" s="248"/>
      <c r="M282" s="248"/>
      <c r="N282" s="250"/>
      <c r="O282" s="250"/>
      <c r="P282" s="250"/>
      <c r="Q282" s="99" t="s">
        <v>127</v>
      </c>
      <c r="R282" s="283"/>
      <c r="S282" s="283"/>
      <c r="T282" s="283"/>
      <c r="U282" s="283"/>
      <c r="V282" s="283"/>
      <c r="W282" s="283"/>
      <c r="X282" s="283"/>
      <c r="Y282" s="285"/>
      <c r="Z282" s="285"/>
      <c r="AA282" s="302"/>
      <c r="AB282" s="302"/>
      <c r="AC282" s="302"/>
      <c r="AD282" s="302"/>
      <c r="AE282" s="302"/>
      <c r="AF282" s="302"/>
      <c r="AG282" s="302"/>
      <c r="AH282" s="301"/>
      <c r="AI282" s="301"/>
      <c r="AJ282" s="301"/>
      <c r="AK282" s="301"/>
      <c r="AL282" s="301"/>
      <c r="AM282" s="301"/>
      <c r="AN282" s="301"/>
      <c r="AO282" s="301"/>
      <c r="AP282" s="301"/>
      <c r="AQ282" s="302"/>
      <c r="AR282" s="302"/>
      <c r="AS282" s="315"/>
      <c r="AT282" s="315"/>
      <c r="AU282" s="220"/>
    </row>
    <row r="283" spans="1:49" s="217" customFormat="1" ht="25.5" customHeight="1" outlineLevel="1">
      <c r="A283" s="215" t="s">
        <v>125</v>
      </c>
      <c r="B283" s="151">
        <v>31</v>
      </c>
      <c r="C283" s="151" t="s">
        <v>128</v>
      </c>
      <c r="D283" s="245" t="s">
        <v>149</v>
      </c>
      <c r="E283" s="151" t="s">
        <v>130</v>
      </c>
      <c r="F283" s="151" t="s">
        <v>140</v>
      </c>
      <c r="G283" s="151" t="s">
        <v>33</v>
      </c>
      <c r="H283" s="151" t="s">
        <v>33</v>
      </c>
      <c r="I283" s="256">
        <v>14</v>
      </c>
      <c r="J283" s="151" t="s">
        <v>80</v>
      </c>
      <c r="K283" s="176" t="s">
        <v>132</v>
      </c>
      <c r="L283" s="245">
        <v>30076574</v>
      </c>
      <c r="M283" s="855"/>
      <c r="N283" s="250"/>
      <c r="O283" s="245" t="s">
        <v>525</v>
      </c>
      <c r="P283" s="250"/>
      <c r="Q283" s="176" t="s">
        <v>526</v>
      </c>
      <c r="R283" s="283" t="s">
        <v>527</v>
      </c>
      <c r="S283" s="283"/>
      <c r="T283" s="283"/>
      <c r="U283" s="283"/>
      <c r="V283" s="283"/>
      <c r="W283" s="283"/>
      <c r="X283" s="283"/>
      <c r="Y283" s="275">
        <f>+Z283+433625539</f>
        <v>3514987095</v>
      </c>
      <c r="Z283" s="275">
        <v>3081361556</v>
      </c>
      <c r="AA283" s="302"/>
      <c r="AB283" s="297">
        <f>64763203+40577094+49512188+47172432+138450528</f>
        <v>340475445</v>
      </c>
      <c r="AC283" s="297">
        <f t="shared" ref="AC283:AC329" si="110">SUBTOTAL(9,AE283:AP283)</f>
        <v>340475445</v>
      </c>
      <c r="AD283" s="297">
        <f>+AB283-AC283</f>
        <v>0</v>
      </c>
      <c r="AE283" s="302"/>
      <c r="AF283" s="302"/>
      <c r="AG283" s="302"/>
      <c r="AH283" s="301"/>
      <c r="AI283" s="301"/>
      <c r="AJ283" s="297">
        <v>138450528</v>
      </c>
      <c r="AK283" s="297">
        <v>47172432</v>
      </c>
      <c r="AL283" s="297">
        <v>49512188</v>
      </c>
      <c r="AM283" s="297">
        <v>0</v>
      </c>
      <c r="AN283" s="297">
        <v>40577094</v>
      </c>
      <c r="AO283" s="297">
        <v>64763203</v>
      </c>
      <c r="AP283" s="297">
        <v>0</v>
      </c>
      <c r="AQ283" s="302"/>
      <c r="AR283" s="297">
        <f>+Y283-Z283-AC283-AD283</f>
        <v>93150094</v>
      </c>
      <c r="AS283" s="313" t="s">
        <v>137</v>
      </c>
      <c r="AT283" s="313" t="s">
        <v>137</v>
      </c>
      <c r="AU283" s="176" t="s">
        <v>138</v>
      </c>
    </row>
    <row r="284" spans="1:49" s="218" customFormat="1" ht="25.5" customHeight="1" outlineLevel="2">
      <c r="A284" s="215" t="s">
        <v>125</v>
      </c>
      <c r="B284" s="151">
        <v>31</v>
      </c>
      <c r="C284" s="151" t="s">
        <v>128</v>
      </c>
      <c r="D284" s="245" t="s">
        <v>168</v>
      </c>
      <c r="E284" s="151" t="s">
        <v>169</v>
      </c>
      <c r="F284" s="151" t="s">
        <v>207</v>
      </c>
      <c r="G284" s="151" t="s">
        <v>33</v>
      </c>
      <c r="H284" s="151" t="s">
        <v>33</v>
      </c>
      <c r="I284" s="256">
        <v>14</v>
      </c>
      <c r="J284" s="151" t="s">
        <v>81</v>
      </c>
      <c r="K284" s="176" t="s">
        <v>132</v>
      </c>
      <c r="L284" s="245">
        <v>40007476</v>
      </c>
      <c r="M284" s="855"/>
      <c r="N284" s="245" t="e">
        <v>#N/A</v>
      </c>
      <c r="O284" s="245" t="s">
        <v>528</v>
      </c>
      <c r="P284" s="257" t="s">
        <v>529</v>
      </c>
      <c r="Q284" s="176" t="s">
        <v>530</v>
      </c>
      <c r="R284" s="273" t="s">
        <v>531</v>
      </c>
      <c r="S284" s="274"/>
      <c r="T284" s="273"/>
      <c r="U284" s="273"/>
      <c r="V284" s="273"/>
      <c r="W284" s="273"/>
      <c r="X284" s="274"/>
      <c r="Y284" s="326">
        <v>385181000</v>
      </c>
      <c r="Z284" s="275">
        <v>0</v>
      </c>
      <c r="AA284" s="296"/>
      <c r="AB284" s="297">
        <f>98085403-64763203+22048910</f>
        <v>55371110</v>
      </c>
      <c r="AC284" s="297">
        <f t="shared" si="110"/>
        <v>19723055</v>
      </c>
      <c r="AD284" s="297">
        <f>+AB284-AC284</f>
        <v>35648055</v>
      </c>
      <c r="AE284" s="297">
        <v>0</v>
      </c>
      <c r="AF284" s="297">
        <v>0</v>
      </c>
      <c r="AG284" s="297">
        <v>0</v>
      </c>
      <c r="AH284" s="297">
        <v>0</v>
      </c>
      <c r="AI284" s="297">
        <v>0</v>
      </c>
      <c r="AJ284" s="297">
        <v>1330000</v>
      </c>
      <c r="AK284" s="297">
        <v>17063055</v>
      </c>
      <c r="AL284" s="297">
        <v>0</v>
      </c>
      <c r="AM284" s="297">
        <v>1330000</v>
      </c>
      <c r="AN284" s="297">
        <v>0</v>
      </c>
      <c r="AO284" s="297">
        <v>0</v>
      </c>
      <c r="AP284" s="297">
        <v>0</v>
      </c>
      <c r="AQ284" s="296"/>
      <c r="AR284" s="297">
        <f>+Y284-Z284-AC284-AD284</f>
        <v>329809890</v>
      </c>
      <c r="AS284" s="313" t="s">
        <v>137</v>
      </c>
      <c r="AT284" s="313" t="s">
        <v>137</v>
      </c>
      <c r="AU284" s="176" t="s">
        <v>138</v>
      </c>
    </row>
    <row r="285" spans="1:49" s="218" customFormat="1" ht="25.5" customHeight="1" outlineLevel="2">
      <c r="A285" s="215" t="s">
        <v>125</v>
      </c>
      <c r="B285" s="191">
        <v>33</v>
      </c>
      <c r="C285" s="191" t="s">
        <v>128</v>
      </c>
      <c r="D285" s="246" t="s">
        <v>149</v>
      </c>
      <c r="E285" s="191" t="s">
        <v>130</v>
      </c>
      <c r="F285" s="191" t="s">
        <v>140</v>
      </c>
      <c r="G285" s="191" t="s">
        <v>33</v>
      </c>
      <c r="H285" s="191" t="s">
        <v>33</v>
      </c>
      <c r="I285" s="258">
        <v>14</v>
      </c>
      <c r="J285" s="191" t="s">
        <v>83</v>
      </c>
      <c r="K285" s="192" t="s">
        <v>132</v>
      </c>
      <c r="L285" s="246" t="s">
        <v>83</v>
      </c>
      <c r="M285" s="861" t="s">
        <v>1604</v>
      </c>
      <c r="N285" s="246"/>
      <c r="O285" s="245" t="s">
        <v>183</v>
      </c>
      <c r="P285" s="246"/>
      <c r="Q285" s="192" t="s">
        <v>184</v>
      </c>
      <c r="R285" s="276"/>
      <c r="S285" s="277"/>
      <c r="T285" s="276"/>
      <c r="U285" s="276"/>
      <c r="V285" s="276"/>
      <c r="W285" s="276"/>
      <c r="X285" s="277"/>
      <c r="Y285" s="194">
        <v>100000000</v>
      </c>
      <c r="Z285" s="194">
        <f>+FRIL!J447</f>
        <v>0</v>
      </c>
      <c r="AA285" s="298"/>
      <c r="AB285" s="299">
        <v>100000000</v>
      </c>
      <c r="AC285" s="299">
        <f t="shared" si="110"/>
        <v>0</v>
      </c>
      <c r="AD285" s="299">
        <f>+AB285-AC285</f>
        <v>100000000</v>
      </c>
      <c r="AE285" s="299">
        <v>0</v>
      </c>
      <c r="AF285" s="299">
        <v>0</v>
      </c>
      <c r="AG285" s="299">
        <v>0</v>
      </c>
      <c r="AH285" s="299">
        <v>0</v>
      </c>
      <c r="AI285" s="299">
        <v>0</v>
      </c>
      <c r="AJ285" s="297">
        <v>0</v>
      </c>
      <c r="AK285" s="299">
        <v>0</v>
      </c>
      <c r="AL285" s="299">
        <v>0</v>
      </c>
      <c r="AM285" s="299">
        <v>0</v>
      </c>
      <c r="AN285" s="299">
        <v>0</v>
      </c>
      <c r="AO285" s="297">
        <v>0</v>
      </c>
      <c r="AP285" s="299">
        <v>0</v>
      </c>
      <c r="AQ285" s="298"/>
      <c r="AR285" s="299">
        <f>+Y285-Z285-AC285-AD285</f>
        <v>0</v>
      </c>
      <c r="AS285" s="314" t="s">
        <v>185</v>
      </c>
      <c r="AT285" s="314" t="s">
        <v>83</v>
      </c>
      <c r="AU285" s="192" t="s">
        <v>138</v>
      </c>
    </row>
    <row r="286" spans="1:49" s="218" customFormat="1" ht="25.5" customHeight="1" outlineLevel="2">
      <c r="A286" s="215" t="s">
        <v>125</v>
      </c>
      <c r="B286" s="151">
        <v>33</v>
      </c>
      <c r="C286" s="151" t="s">
        <v>128</v>
      </c>
      <c r="D286" s="245" t="s">
        <v>149</v>
      </c>
      <c r="E286" s="151" t="s">
        <v>130</v>
      </c>
      <c r="F286" s="151" t="s">
        <v>140</v>
      </c>
      <c r="G286" s="151" t="s">
        <v>33</v>
      </c>
      <c r="H286" s="151" t="s">
        <v>33</v>
      </c>
      <c r="I286" s="256">
        <v>14</v>
      </c>
      <c r="J286" s="151" t="s">
        <v>83</v>
      </c>
      <c r="K286" s="176" t="s">
        <v>132</v>
      </c>
      <c r="L286" s="245" t="s">
        <v>83</v>
      </c>
      <c r="M286" s="855"/>
      <c r="N286" s="245"/>
      <c r="O286" s="245" t="s">
        <v>183</v>
      </c>
      <c r="P286" s="245"/>
      <c r="Q286" s="176" t="s">
        <v>486</v>
      </c>
      <c r="R286" s="273"/>
      <c r="S286" s="274"/>
      <c r="T286" s="273"/>
      <c r="U286" s="273"/>
      <c r="V286" s="273"/>
      <c r="W286" s="273"/>
      <c r="X286" s="274"/>
      <c r="Y286" s="275">
        <v>200000000</v>
      </c>
      <c r="Z286" s="275">
        <f>+FRIL!J448</f>
        <v>0</v>
      </c>
      <c r="AA286" s="296"/>
      <c r="AB286" s="297">
        <v>200000000</v>
      </c>
      <c r="AC286" s="297">
        <f t="shared" si="110"/>
        <v>151446313</v>
      </c>
      <c r="AD286" s="297">
        <f>+AB286-AC286</f>
        <v>48553687</v>
      </c>
      <c r="AE286" s="297">
        <v>0</v>
      </c>
      <c r="AF286" s="297">
        <v>0</v>
      </c>
      <c r="AG286" s="297">
        <v>0</v>
      </c>
      <c r="AH286" s="297">
        <v>0</v>
      </c>
      <c r="AI286" s="297">
        <v>0</v>
      </c>
      <c r="AJ286" s="297">
        <v>4000185</v>
      </c>
      <c r="AK286" s="297">
        <v>9907625</v>
      </c>
      <c r="AL286" s="297">
        <v>18722865</v>
      </c>
      <c r="AM286" s="297">
        <v>53399067</v>
      </c>
      <c r="AN286" s="297">
        <v>0</v>
      </c>
      <c r="AO286" s="297">
        <f>+FRIL!L150</f>
        <v>65416571</v>
      </c>
      <c r="AP286" s="297">
        <v>0</v>
      </c>
      <c r="AQ286" s="296"/>
      <c r="AR286" s="297">
        <f>+Y286-Z286-AC286-AD286</f>
        <v>0</v>
      </c>
      <c r="AS286" s="313" t="s">
        <v>185</v>
      </c>
      <c r="AT286" s="313" t="s">
        <v>83</v>
      </c>
      <c r="AU286" s="176" t="s">
        <v>138</v>
      </c>
    </row>
    <row r="287" spans="1:49" s="217" customFormat="1" ht="25.5" customHeight="1" outlineLevel="1">
      <c r="A287" s="215" t="s">
        <v>125</v>
      </c>
      <c r="B287" s="247"/>
      <c r="C287" s="247"/>
      <c r="D287" s="248"/>
      <c r="E287" s="249"/>
      <c r="F287" s="249"/>
      <c r="G287" s="249"/>
      <c r="H287" s="249"/>
      <c r="I287" s="249"/>
      <c r="J287" s="247"/>
      <c r="K287" s="259"/>
      <c r="L287" s="248"/>
      <c r="M287" s="248"/>
      <c r="N287" s="250"/>
      <c r="O287" s="250"/>
      <c r="P287" s="250"/>
      <c r="Q287" s="260" t="s">
        <v>187</v>
      </c>
      <c r="R287" s="278"/>
      <c r="S287" s="279"/>
      <c r="T287" s="279"/>
      <c r="U287" s="279"/>
      <c r="V287" s="279"/>
      <c r="W287" s="279"/>
      <c r="X287" s="281"/>
      <c r="Y287" s="286">
        <f>+Y285+Y286+Y283+Y284</f>
        <v>4200168095</v>
      </c>
      <c r="Z287" s="286">
        <f t="shared" ref="Z287:AP287" si="111">+Z285+Z286+Z283+Z284</f>
        <v>3081361556</v>
      </c>
      <c r="AA287" s="303"/>
      <c r="AB287" s="286">
        <f t="shared" ref="AB287" si="112">+AB285+AB286+AB283+AB284</f>
        <v>695846555</v>
      </c>
      <c r="AC287" s="286">
        <f t="shared" si="110"/>
        <v>511644813</v>
      </c>
      <c r="AD287" s="286">
        <f t="shared" si="111"/>
        <v>184201742</v>
      </c>
      <c r="AE287" s="286">
        <f t="shared" si="111"/>
        <v>0</v>
      </c>
      <c r="AF287" s="286">
        <f t="shared" si="111"/>
        <v>0</v>
      </c>
      <c r="AG287" s="286">
        <f t="shared" si="111"/>
        <v>0</v>
      </c>
      <c r="AH287" s="286">
        <f t="shared" si="111"/>
        <v>0</v>
      </c>
      <c r="AI287" s="286">
        <f t="shared" si="111"/>
        <v>0</v>
      </c>
      <c r="AJ287" s="286">
        <v>143780713</v>
      </c>
      <c r="AK287" s="286">
        <f t="shared" si="111"/>
        <v>74143112</v>
      </c>
      <c r="AL287" s="286">
        <f t="shared" si="111"/>
        <v>68235053</v>
      </c>
      <c r="AM287" s="286">
        <f t="shared" si="111"/>
        <v>54729067</v>
      </c>
      <c r="AN287" s="286">
        <f t="shared" si="111"/>
        <v>40577094</v>
      </c>
      <c r="AO287" s="286">
        <f t="shared" si="111"/>
        <v>130179774</v>
      </c>
      <c r="AP287" s="286">
        <f t="shared" si="111"/>
        <v>0</v>
      </c>
      <c r="AQ287" s="287"/>
      <c r="AR287" s="286">
        <f t="shared" ref="AR287" si="113">+AR285+AR286+AR283+AR284</f>
        <v>422959984</v>
      </c>
      <c r="AS287" s="392"/>
      <c r="AT287" s="315"/>
      <c r="AU287" s="220"/>
    </row>
    <row r="288" spans="1:49" ht="18.75" customHeight="1" outlineLevel="1">
      <c r="A288" s="215" t="s">
        <v>125</v>
      </c>
      <c r="B288" s="249"/>
      <c r="C288" s="249"/>
      <c r="D288" s="250"/>
      <c r="E288" s="249"/>
      <c r="F288" s="249"/>
      <c r="G288" s="249"/>
      <c r="H288" s="249"/>
      <c r="I288" s="249"/>
      <c r="J288" s="249"/>
      <c r="K288" s="261"/>
      <c r="L288" s="250"/>
      <c r="M288" s="250"/>
      <c r="N288" s="250"/>
      <c r="O288" s="250"/>
      <c r="P288" s="250"/>
      <c r="Q288" s="261"/>
      <c r="R288" s="283"/>
      <c r="S288" s="283"/>
      <c r="T288" s="283"/>
      <c r="U288" s="283"/>
      <c r="V288" s="283"/>
      <c r="W288" s="283"/>
      <c r="X288" s="283"/>
      <c r="Y288" s="284"/>
      <c r="Z288" s="284"/>
      <c r="AA288" s="301"/>
      <c r="AB288" s="301"/>
      <c r="AC288" s="301"/>
      <c r="AD288" s="301"/>
      <c r="AE288" s="301"/>
      <c r="AF288" s="301"/>
      <c r="AG288" s="301"/>
      <c r="AH288" s="301"/>
      <c r="AI288" s="301"/>
      <c r="AJ288" s="301"/>
      <c r="AK288" s="301"/>
      <c r="AL288" s="301"/>
      <c r="AM288" s="301"/>
      <c r="AN288" s="301"/>
      <c r="AO288" s="301"/>
      <c r="AP288" s="301"/>
      <c r="AQ288" s="301"/>
      <c r="AR288" s="301"/>
      <c r="AS288" s="316"/>
      <c r="AT288" s="316"/>
      <c r="AU288" s="317"/>
    </row>
    <row r="289" spans="1:47" s="217" customFormat="1" ht="25.5" customHeight="1" outlineLevel="1">
      <c r="A289" s="215" t="s">
        <v>125</v>
      </c>
      <c r="B289" s="247"/>
      <c r="C289" s="247"/>
      <c r="D289" s="248"/>
      <c r="E289" s="249"/>
      <c r="F289" s="249"/>
      <c r="G289" s="249"/>
      <c r="H289" s="249"/>
      <c r="I289" s="249"/>
      <c r="J289" s="247"/>
      <c r="K289" s="259"/>
      <c r="L289" s="248"/>
      <c r="M289" s="248"/>
      <c r="N289" s="250"/>
      <c r="O289" s="250"/>
      <c r="P289" s="250"/>
      <c r="Q289" s="99" t="s">
        <v>188</v>
      </c>
      <c r="R289" s="283"/>
      <c r="S289" s="283"/>
      <c r="T289" s="283"/>
      <c r="U289" s="283"/>
      <c r="V289" s="283"/>
      <c r="W289" s="283"/>
      <c r="X289" s="283"/>
      <c r="Y289" s="285"/>
      <c r="Z289" s="285"/>
      <c r="AA289" s="302"/>
      <c r="AB289" s="302"/>
      <c r="AC289" s="302"/>
      <c r="AD289" s="302"/>
      <c r="AE289" s="302"/>
      <c r="AF289" s="302"/>
      <c r="AG289" s="302"/>
      <c r="AH289" s="301"/>
      <c r="AI289" s="301"/>
      <c r="AJ289" s="301"/>
      <c r="AK289" s="301"/>
      <c r="AL289" s="301"/>
      <c r="AM289" s="301"/>
      <c r="AN289" s="301"/>
      <c r="AO289" s="301"/>
      <c r="AP289" s="301"/>
      <c r="AQ289" s="302"/>
      <c r="AR289" s="302"/>
      <c r="AS289" s="315"/>
      <c r="AT289" s="315"/>
      <c r="AU289" s="220"/>
    </row>
    <row r="290" spans="1:47" s="217" customFormat="1" ht="25.5" customHeight="1" outlineLevel="1">
      <c r="A290" s="215" t="s">
        <v>125</v>
      </c>
      <c r="B290" s="151">
        <v>31</v>
      </c>
      <c r="C290" s="151" t="s">
        <v>196</v>
      </c>
      <c r="D290" s="245" t="s">
        <v>129</v>
      </c>
      <c r="E290" s="151" t="s">
        <v>130</v>
      </c>
      <c r="F290" s="151" t="s">
        <v>140</v>
      </c>
      <c r="G290" s="151" t="s">
        <v>33</v>
      </c>
      <c r="H290" s="151" t="s">
        <v>33</v>
      </c>
      <c r="I290" s="256">
        <v>14</v>
      </c>
      <c r="J290" s="151" t="s">
        <v>80</v>
      </c>
      <c r="K290" s="176" t="s">
        <v>202</v>
      </c>
      <c r="L290" s="245">
        <v>40005289</v>
      </c>
      <c r="M290" s="855"/>
      <c r="N290" s="245"/>
      <c r="O290" s="245" t="s">
        <v>532</v>
      </c>
      <c r="P290" s="257"/>
      <c r="Q290" s="176" t="s">
        <v>533</v>
      </c>
      <c r="R290" s="273"/>
      <c r="S290" s="274"/>
      <c r="T290" s="273"/>
      <c r="U290" s="273" t="s">
        <v>534</v>
      </c>
      <c r="V290" s="273">
        <v>82400000</v>
      </c>
      <c r="W290" s="273"/>
      <c r="X290" s="274"/>
      <c r="Y290" s="275">
        <v>82400000</v>
      </c>
      <c r="Z290" s="275">
        <v>0</v>
      </c>
      <c r="AA290" s="296"/>
      <c r="AB290" s="297">
        <f>82400000-49512188-22048910</f>
        <v>10838902</v>
      </c>
      <c r="AC290" s="297">
        <f t="shared" si="110"/>
        <v>0</v>
      </c>
      <c r="AD290" s="297">
        <f>+AB290-AC290</f>
        <v>10838902</v>
      </c>
      <c r="AE290" s="297">
        <v>0</v>
      </c>
      <c r="AF290" s="297">
        <v>0</v>
      </c>
      <c r="AG290" s="297">
        <v>0</v>
      </c>
      <c r="AH290" s="297">
        <v>0</v>
      </c>
      <c r="AI290" s="297">
        <v>0</v>
      </c>
      <c r="AJ290" s="297">
        <v>0</v>
      </c>
      <c r="AK290" s="297">
        <v>0</v>
      </c>
      <c r="AL290" s="297">
        <v>0</v>
      </c>
      <c r="AM290" s="297">
        <v>0</v>
      </c>
      <c r="AN290" s="297">
        <v>0</v>
      </c>
      <c r="AO290" s="297">
        <v>0</v>
      </c>
      <c r="AP290" s="297">
        <v>0</v>
      </c>
      <c r="AQ290" s="296"/>
      <c r="AR290" s="297">
        <f>+Y290-Z290-AC290-AD290</f>
        <v>71561098</v>
      </c>
      <c r="AS290" s="313" t="s">
        <v>137</v>
      </c>
      <c r="AT290" s="313" t="s">
        <v>137</v>
      </c>
      <c r="AU290" s="176" t="s">
        <v>195</v>
      </c>
    </row>
    <row r="291" spans="1:47" s="217" customFormat="1" ht="25.5" customHeight="1" outlineLevel="1">
      <c r="A291" s="215" t="s">
        <v>125</v>
      </c>
      <c r="B291" s="247"/>
      <c r="C291" s="247"/>
      <c r="D291" s="248"/>
      <c r="E291" s="249"/>
      <c r="F291" s="249"/>
      <c r="G291" s="249"/>
      <c r="H291" s="249"/>
      <c r="I291" s="249"/>
      <c r="J291" s="247"/>
      <c r="K291" s="259"/>
      <c r="L291" s="248"/>
      <c r="M291" s="248"/>
      <c r="N291" s="250"/>
      <c r="O291" s="250"/>
      <c r="P291" s="250"/>
      <c r="Q291" s="260" t="s">
        <v>201</v>
      </c>
      <c r="R291" s="278"/>
      <c r="S291" s="279"/>
      <c r="T291" s="279"/>
      <c r="U291" s="279"/>
      <c r="V291" s="279"/>
      <c r="W291" s="279"/>
      <c r="X291" s="281"/>
      <c r="Y291" s="286">
        <f>+Y290</f>
        <v>82400000</v>
      </c>
      <c r="Z291" s="286">
        <f>+Z290</f>
        <v>0</v>
      </c>
      <c r="AA291" s="303"/>
      <c r="AB291" s="286">
        <f t="shared" ref="AB291:AP291" si="114">+AB290</f>
        <v>10838902</v>
      </c>
      <c r="AC291" s="286">
        <f t="shared" si="110"/>
        <v>0</v>
      </c>
      <c r="AD291" s="286">
        <f t="shared" si="114"/>
        <v>10838902</v>
      </c>
      <c r="AE291" s="286">
        <f t="shared" si="114"/>
        <v>0</v>
      </c>
      <c r="AF291" s="286">
        <f t="shared" si="114"/>
        <v>0</v>
      </c>
      <c r="AG291" s="286">
        <f t="shared" si="114"/>
        <v>0</v>
      </c>
      <c r="AH291" s="286">
        <f t="shared" si="114"/>
        <v>0</v>
      </c>
      <c r="AI291" s="286">
        <f t="shared" si="114"/>
        <v>0</v>
      </c>
      <c r="AJ291" s="286">
        <v>0</v>
      </c>
      <c r="AK291" s="286">
        <f t="shared" si="114"/>
        <v>0</v>
      </c>
      <c r="AL291" s="286">
        <f t="shared" si="114"/>
        <v>0</v>
      </c>
      <c r="AM291" s="286">
        <f t="shared" si="114"/>
        <v>0</v>
      </c>
      <c r="AN291" s="286">
        <f t="shared" si="114"/>
        <v>0</v>
      </c>
      <c r="AO291" s="286">
        <f t="shared" si="114"/>
        <v>0</v>
      </c>
      <c r="AP291" s="286">
        <f t="shared" si="114"/>
        <v>0</v>
      </c>
      <c r="AQ291" s="287"/>
      <c r="AR291" s="286">
        <f>+Y291-Z291-AC291-AD291</f>
        <v>71561098</v>
      </c>
      <c r="AS291" s="315"/>
      <c r="AT291" s="315"/>
      <c r="AU291" s="220"/>
    </row>
    <row r="292" spans="1:47" ht="18.75" customHeight="1" outlineLevel="1">
      <c r="A292" s="215" t="s">
        <v>125</v>
      </c>
      <c r="B292" s="249"/>
      <c r="C292" s="249"/>
      <c r="D292" s="250"/>
      <c r="E292" s="249"/>
      <c r="F292" s="249"/>
      <c r="G292" s="249"/>
      <c r="H292" s="249"/>
      <c r="I292" s="249"/>
      <c r="J292" s="249"/>
      <c r="K292" s="261"/>
      <c r="L292" s="250"/>
      <c r="M292" s="250"/>
      <c r="N292" s="250"/>
      <c r="O292" s="250"/>
      <c r="P292" s="250"/>
      <c r="Q292" s="261"/>
      <c r="R292" s="283"/>
      <c r="S292" s="283"/>
      <c r="T292" s="283"/>
      <c r="U292" s="283"/>
      <c r="V292" s="283"/>
      <c r="W292" s="283"/>
      <c r="X292" s="283"/>
      <c r="Y292" s="284"/>
      <c r="Z292" s="284"/>
      <c r="AA292" s="301"/>
      <c r="AB292" s="301"/>
      <c r="AC292" s="301"/>
      <c r="AD292" s="301"/>
      <c r="AE292" s="301"/>
      <c r="AF292" s="301"/>
      <c r="AG292" s="301"/>
      <c r="AH292" s="301"/>
      <c r="AI292" s="301"/>
      <c r="AJ292" s="301"/>
      <c r="AK292" s="301"/>
      <c r="AL292" s="301"/>
      <c r="AM292" s="301"/>
      <c r="AN292" s="301"/>
      <c r="AO292" s="301"/>
      <c r="AP292" s="301"/>
      <c r="AQ292" s="301"/>
      <c r="AR292" s="301"/>
      <c r="AS292" s="316"/>
      <c r="AT292" s="316"/>
      <c r="AU292" s="317"/>
    </row>
    <row r="293" spans="1:47" s="219" customFormat="1" ht="24.75" customHeight="1" outlineLevel="1">
      <c r="A293" s="215" t="s">
        <v>125</v>
      </c>
      <c r="B293" s="251"/>
      <c r="C293" s="249"/>
      <c r="D293" s="250"/>
      <c r="E293" s="249"/>
      <c r="F293" s="249"/>
      <c r="G293" s="249"/>
      <c r="H293" s="249"/>
      <c r="I293" s="249"/>
      <c r="J293" s="251"/>
      <c r="K293" s="263"/>
      <c r="L293" s="252"/>
      <c r="M293" s="252"/>
      <c r="N293" s="252"/>
      <c r="O293" s="252"/>
      <c r="P293" s="252"/>
      <c r="Q293" s="117" t="s">
        <v>535</v>
      </c>
      <c r="R293" s="288"/>
      <c r="S293" s="289"/>
      <c r="T293" s="289"/>
      <c r="U293" s="289"/>
      <c r="V293" s="289"/>
      <c r="W293" s="289"/>
      <c r="X293" s="290"/>
      <c r="Y293" s="118">
        <f>+Y287+Y291</f>
        <v>4282568095</v>
      </c>
      <c r="Z293" s="118">
        <f>+Z287+Z291</f>
        <v>3081361556</v>
      </c>
      <c r="AA293" s="304"/>
      <c r="AB293" s="118">
        <f t="shared" ref="AB293:AD293" si="115">+AB287+AB291</f>
        <v>706685457</v>
      </c>
      <c r="AC293" s="118">
        <f t="shared" si="115"/>
        <v>511644813</v>
      </c>
      <c r="AD293" s="118">
        <f t="shared" si="115"/>
        <v>195040644</v>
      </c>
      <c r="AE293" s="118">
        <f>+AE287+AE291</f>
        <v>0</v>
      </c>
      <c r="AF293" s="118">
        <f t="shared" ref="AF293:AP293" si="116">+AF287+AF291</f>
        <v>0</v>
      </c>
      <c r="AG293" s="118">
        <f t="shared" si="116"/>
        <v>0</v>
      </c>
      <c r="AH293" s="118">
        <f t="shared" si="116"/>
        <v>0</v>
      </c>
      <c r="AI293" s="118">
        <f t="shared" si="116"/>
        <v>0</v>
      </c>
      <c r="AJ293" s="118">
        <v>143780713</v>
      </c>
      <c r="AK293" s="118">
        <f t="shared" si="116"/>
        <v>74143112</v>
      </c>
      <c r="AL293" s="118">
        <f t="shared" si="116"/>
        <v>68235053</v>
      </c>
      <c r="AM293" s="118">
        <f t="shared" si="116"/>
        <v>54729067</v>
      </c>
      <c r="AN293" s="118">
        <f t="shared" si="116"/>
        <v>40577094</v>
      </c>
      <c r="AO293" s="118">
        <f t="shared" si="116"/>
        <v>130179774</v>
      </c>
      <c r="AP293" s="118">
        <f t="shared" si="116"/>
        <v>0</v>
      </c>
      <c r="AQ293" s="318"/>
      <c r="AR293" s="118">
        <f>+Y293-Z293-AC293-AD293</f>
        <v>494521082</v>
      </c>
      <c r="AS293" s="333"/>
      <c r="AT293" s="333"/>
      <c r="AU293" s="320"/>
    </row>
    <row r="294" spans="1:47" ht="18.75" customHeight="1" outlineLevel="1">
      <c r="A294" s="215" t="s">
        <v>125</v>
      </c>
      <c r="B294" s="249"/>
      <c r="C294" s="249"/>
      <c r="D294" s="250"/>
      <c r="E294" s="249"/>
      <c r="F294" s="249"/>
      <c r="G294" s="249"/>
      <c r="H294" s="249"/>
      <c r="I294" s="249"/>
      <c r="J294" s="249"/>
      <c r="K294" s="261"/>
      <c r="L294" s="250"/>
      <c r="M294" s="250"/>
      <c r="N294" s="250"/>
      <c r="O294" s="250"/>
      <c r="P294" s="250"/>
      <c r="Q294" s="261"/>
      <c r="R294" s="283"/>
      <c r="S294" s="283"/>
      <c r="T294" s="283"/>
      <c r="U294" s="283"/>
      <c r="V294" s="283"/>
      <c r="W294" s="283"/>
      <c r="X294" s="283"/>
      <c r="Y294" s="284"/>
      <c r="Z294" s="284"/>
      <c r="AA294" s="301"/>
      <c r="AB294" s="301"/>
      <c r="AC294" s="301"/>
      <c r="AD294" s="301"/>
      <c r="AE294" s="301"/>
      <c r="AF294" s="301"/>
      <c r="AG294" s="301"/>
      <c r="AH294" s="301"/>
      <c r="AI294" s="301"/>
      <c r="AJ294" s="301"/>
      <c r="AK294" s="301"/>
      <c r="AL294" s="301"/>
      <c r="AM294" s="301"/>
      <c r="AN294" s="301"/>
      <c r="AO294" s="301"/>
      <c r="AP294" s="301"/>
      <c r="AQ294" s="301"/>
      <c r="AR294" s="301"/>
      <c r="AS294" s="316"/>
      <c r="AT294" s="316"/>
      <c r="AU294" s="317"/>
    </row>
    <row r="295" spans="1:47" ht="26.25" customHeight="1" outlineLevel="1">
      <c r="A295" s="215" t="s">
        <v>125</v>
      </c>
      <c r="B295" s="249"/>
      <c r="C295" s="249"/>
      <c r="D295" s="250"/>
      <c r="E295" s="249"/>
      <c r="F295" s="249"/>
      <c r="G295" s="249"/>
      <c r="H295" s="249"/>
      <c r="I295" s="249"/>
      <c r="J295" s="249"/>
      <c r="K295" s="261"/>
      <c r="L295" s="250"/>
      <c r="M295" s="250"/>
      <c r="N295" s="250"/>
      <c r="O295" s="250"/>
      <c r="P295" s="250"/>
      <c r="Q295" s="264" t="s">
        <v>536</v>
      </c>
      <c r="R295" s="283"/>
      <c r="S295" s="283"/>
      <c r="T295" s="283"/>
      <c r="U295" s="283"/>
      <c r="V295" s="283"/>
      <c r="W295" s="283"/>
      <c r="X295" s="283"/>
      <c r="Y295" s="284"/>
      <c r="Z295" s="284"/>
      <c r="AA295" s="301"/>
      <c r="AB295" s="301"/>
      <c r="AC295" s="301"/>
      <c r="AD295" s="301"/>
      <c r="AE295" s="301"/>
      <c r="AF295" s="301"/>
      <c r="AG295" s="301"/>
      <c r="AH295" s="301"/>
      <c r="AI295" s="301"/>
      <c r="AJ295" s="301"/>
      <c r="AK295" s="301"/>
      <c r="AL295" s="301"/>
      <c r="AM295" s="301"/>
      <c r="AN295" s="301"/>
      <c r="AO295" s="301"/>
      <c r="AP295" s="301"/>
      <c r="AQ295" s="301"/>
      <c r="AR295" s="301"/>
      <c r="AS295" s="316"/>
      <c r="AT295" s="316"/>
      <c r="AU295" s="317"/>
    </row>
    <row r="296" spans="1:47" s="216" customFormat="1" ht="15" customHeight="1" outlineLevel="1">
      <c r="A296" s="215" t="s">
        <v>125</v>
      </c>
      <c r="B296" s="249"/>
      <c r="C296" s="249"/>
      <c r="D296" s="250"/>
      <c r="E296" s="249"/>
      <c r="F296" s="249"/>
      <c r="G296" s="249"/>
      <c r="H296" s="249"/>
      <c r="I296" s="249"/>
      <c r="J296" s="249"/>
      <c r="K296" s="261"/>
      <c r="L296" s="250"/>
      <c r="M296" s="250"/>
      <c r="N296" s="250"/>
      <c r="O296" s="250"/>
      <c r="P296" s="250"/>
      <c r="Q296" s="255"/>
      <c r="R296" s="283"/>
      <c r="S296" s="283"/>
      <c r="T296" s="283"/>
      <c r="U296" s="283"/>
      <c r="V296" s="283"/>
      <c r="W296" s="283"/>
      <c r="X296" s="283"/>
      <c r="Y296" s="284"/>
      <c r="Z296" s="284"/>
      <c r="AA296" s="301"/>
      <c r="AB296" s="301"/>
      <c r="AC296" s="301"/>
      <c r="AD296" s="301"/>
      <c r="AE296" s="301"/>
      <c r="AF296" s="301"/>
      <c r="AG296" s="301"/>
      <c r="AH296" s="301"/>
      <c r="AI296" s="301"/>
      <c r="AJ296" s="301"/>
      <c r="AK296" s="301"/>
      <c r="AL296" s="301"/>
      <c r="AM296" s="301"/>
      <c r="AN296" s="301"/>
      <c r="AO296" s="301"/>
      <c r="AP296" s="301"/>
      <c r="AQ296" s="301"/>
      <c r="AR296" s="301"/>
      <c r="AS296" s="316"/>
      <c r="AT296" s="316"/>
      <c r="AU296" s="317"/>
    </row>
    <row r="297" spans="1:47" s="217" customFormat="1" ht="25.5" customHeight="1" outlineLevel="1">
      <c r="A297" s="215" t="s">
        <v>125</v>
      </c>
      <c r="B297" s="247"/>
      <c r="C297" s="247"/>
      <c r="D297" s="248"/>
      <c r="E297" s="249"/>
      <c r="F297" s="249"/>
      <c r="G297" s="249"/>
      <c r="H297" s="249"/>
      <c r="I297" s="249"/>
      <c r="J297" s="247"/>
      <c r="K297" s="259"/>
      <c r="L297" s="248"/>
      <c r="M297" s="248"/>
      <c r="N297" s="250"/>
      <c r="O297" s="250"/>
      <c r="P297" s="250"/>
      <c r="Q297" s="99" t="s">
        <v>127</v>
      </c>
      <c r="R297" s="283"/>
      <c r="S297" s="283"/>
      <c r="T297" s="283"/>
      <c r="U297" s="283"/>
      <c r="V297" s="283"/>
      <c r="W297" s="283"/>
      <c r="X297" s="283"/>
      <c r="Y297" s="285"/>
      <c r="Z297" s="285"/>
      <c r="AA297" s="302"/>
      <c r="AB297" s="302"/>
      <c r="AC297" s="302"/>
      <c r="AD297" s="302"/>
      <c r="AE297" s="302"/>
      <c r="AF297" s="302"/>
      <c r="AG297" s="302"/>
      <c r="AH297" s="301"/>
      <c r="AI297" s="301"/>
      <c r="AJ297" s="301"/>
      <c r="AK297" s="301"/>
      <c r="AL297" s="301"/>
      <c r="AM297" s="301"/>
      <c r="AN297" s="301"/>
      <c r="AO297" s="301"/>
      <c r="AP297" s="301"/>
      <c r="AQ297" s="302"/>
      <c r="AR297" s="302"/>
      <c r="AS297" s="315"/>
      <c r="AT297" s="315"/>
      <c r="AU297" s="220"/>
    </row>
    <row r="298" spans="1:47" s="218" customFormat="1" ht="25.5" customHeight="1" outlineLevel="2">
      <c r="A298" s="215" t="s">
        <v>125</v>
      </c>
      <c r="B298" s="151">
        <v>31</v>
      </c>
      <c r="C298" s="151" t="s">
        <v>128</v>
      </c>
      <c r="D298" s="245" t="s">
        <v>168</v>
      </c>
      <c r="E298" s="151" t="s">
        <v>169</v>
      </c>
      <c r="F298" s="151" t="s">
        <v>207</v>
      </c>
      <c r="G298" s="151" t="s">
        <v>33</v>
      </c>
      <c r="H298" s="151" t="s">
        <v>52</v>
      </c>
      <c r="I298" s="256">
        <v>15</v>
      </c>
      <c r="J298" s="151" t="s">
        <v>80</v>
      </c>
      <c r="K298" s="176" t="s">
        <v>202</v>
      </c>
      <c r="L298" s="245">
        <v>30361529</v>
      </c>
      <c r="M298" s="855"/>
      <c r="N298" s="245" t="s">
        <v>337</v>
      </c>
      <c r="O298" s="245" t="s">
        <v>537</v>
      </c>
      <c r="P298" s="245"/>
      <c r="Q298" s="176" t="s">
        <v>538</v>
      </c>
      <c r="R298" s="273"/>
      <c r="S298" s="274"/>
      <c r="T298" s="273"/>
      <c r="U298" s="273"/>
      <c r="V298" s="273"/>
      <c r="W298" s="273"/>
      <c r="X298" s="274"/>
      <c r="Y298" s="275">
        <v>29319000</v>
      </c>
      <c r="Z298" s="275">
        <v>6148000</v>
      </c>
      <c r="AA298" s="296"/>
      <c r="AB298" s="297">
        <f>+Y298-Z298</f>
        <v>23171000</v>
      </c>
      <c r="AC298" s="297">
        <f t="shared" si="110"/>
        <v>6815000</v>
      </c>
      <c r="AD298" s="297">
        <f t="shared" ref="AD298:AD308" si="117">+AB298-AC298</f>
        <v>16356000</v>
      </c>
      <c r="AE298" s="297">
        <v>0</v>
      </c>
      <c r="AF298" s="297">
        <v>0</v>
      </c>
      <c r="AG298" s="297">
        <v>0</v>
      </c>
      <c r="AH298" s="297">
        <v>0</v>
      </c>
      <c r="AI298" s="297">
        <v>0</v>
      </c>
      <c r="AJ298" s="297">
        <v>0</v>
      </c>
      <c r="AK298" s="297">
        <v>0</v>
      </c>
      <c r="AL298" s="297">
        <v>0</v>
      </c>
      <c r="AM298" s="297">
        <v>6815000</v>
      </c>
      <c r="AN298" s="297">
        <v>0</v>
      </c>
      <c r="AO298" s="297">
        <v>0</v>
      </c>
      <c r="AP298" s="297">
        <v>0</v>
      </c>
      <c r="AQ298" s="296"/>
      <c r="AR298" s="297">
        <f t="shared" ref="AR298:AR308" si="118">+Y298-Z298-AC298-AD298</f>
        <v>0</v>
      </c>
      <c r="AS298" s="313" t="s">
        <v>137</v>
      </c>
      <c r="AT298" s="313" t="s">
        <v>137</v>
      </c>
      <c r="AU298" s="176" t="s">
        <v>138</v>
      </c>
    </row>
    <row r="299" spans="1:47" s="218" customFormat="1" ht="25.5" customHeight="1" outlineLevel="2">
      <c r="A299" s="215" t="s">
        <v>125</v>
      </c>
      <c r="B299" s="151">
        <v>31</v>
      </c>
      <c r="C299" s="151" t="s">
        <v>128</v>
      </c>
      <c r="D299" s="245" t="s">
        <v>129</v>
      </c>
      <c r="E299" s="151" t="s">
        <v>169</v>
      </c>
      <c r="F299" s="151" t="s">
        <v>140</v>
      </c>
      <c r="G299" s="151" t="s">
        <v>33</v>
      </c>
      <c r="H299" s="151" t="s">
        <v>52</v>
      </c>
      <c r="I299" s="256">
        <v>15</v>
      </c>
      <c r="J299" s="151" t="s">
        <v>81</v>
      </c>
      <c r="K299" s="176" t="s">
        <v>132</v>
      </c>
      <c r="L299" s="245">
        <v>40004593</v>
      </c>
      <c r="M299" s="855"/>
      <c r="N299" s="245" t="s">
        <v>337</v>
      </c>
      <c r="O299" s="245" t="s">
        <v>539</v>
      </c>
      <c r="P299" s="245"/>
      <c r="Q299" s="176" t="s">
        <v>540</v>
      </c>
      <c r="R299" s="273"/>
      <c r="S299" s="274"/>
      <c r="T299" s="273"/>
      <c r="U299" s="273"/>
      <c r="V299" s="273"/>
      <c r="W299" s="273"/>
      <c r="X299" s="274"/>
      <c r="Y299" s="275">
        <v>583059000</v>
      </c>
      <c r="Z299" s="275">
        <v>352770860</v>
      </c>
      <c r="AA299" s="296"/>
      <c r="AB299" s="297">
        <f>+Y299-Z299</f>
        <v>230288140</v>
      </c>
      <c r="AC299" s="297">
        <f t="shared" si="110"/>
        <v>230288070</v>
      </c>
      <c r="AD299" s="297">
        <f t="shared" si="117"/>
        <v>70</v>
      </c>
      <c r="AE299" s="297">
        <v>0</v>
      </c>
      <c r="AF299" s="297">
        <v>0</v>
      </c>
      <c r="AG299" s="297">
        <v>0</v>
      </c>
      <c r="AH299" s="297">
        <v>0</v>
      </c>
      <c r="AI299" s="297">
        <v>0</v>
      </c>
      <c r="AJ299" s="297">
        <v>0</v>
      </c>
      <c r="AK299" s="297">
        <v>0</v>
      </c>
      <c r="AL299" s="297">
        <v>0</v>
      </c>
      <c r="AM299" s="297">
        <v>42677639</v>
      </c>
      <c r="AN299" s="297">
        <v>43417701</v>
      </c>
      <c r="AO299" s="297">
        <v>74464993</v>
      </c>
      <c r="AP299" s="297">
        <v>69727737</v>
      </c>
      <c r="AQ299" s="296"/>
      <c r="AR299" s="297">
        <f t="shared" si="118"/>
        <v>0</v>
      </c>
      <c r="AS299" s="313" t="s">
        <v>148</v>
      </c>
      <c r="AT299" s="313" t="s">
        <v>1464</v>
      </c>
      <c r="AU299" s="176" t="s">
        <v>138</v>
      </c>
    </row>
    <row r="300" spans="1:47" s="218" customFormat="1" ht="25.5" customHeight="1" outlineLevel="2">
      <c r="A300" s="215" t="s">
        <v>125</v>
      </c>
      <c r="B300" s="151">
        <v>31</v>
      </c>
      <c r="C300" s="151" t="s">
        <v>128</v>
      </c>
      <c r="D300" s="245" t="s">
        <v>168</v>
      </c>
      <c r="E300" s="151" t="s">
        <v>169</v>
      </c>
      <c r="F300" s="151" t="s">
        <v>207</v>
      </c>
      <c r="G300" s="151" t="s">
        <v>33</v>
      </c>
      <c r="H300" s="151" t="s">
        <v>52</v>
      </c>
      <c r="I300" s="256">
        <v>15</v>
      </c>
      <c r="J300" s="151" t="s">
        <v>80</v>
      </c>
      <c r="K300" s="176" t="s">
        <v>202</v>
      </c>
      <c r="L300" s="245">
        <v>30465403</v>
      </c>
      <c r="M300" s="855"/>
      <c r="N300" s="245" t="s">
        <v>337</v>
      </c>
      <c r="O300" s="245" t="s">
        <v>541</v>
      </c>
      <c r="P300" s="245"/>
      <c r="Q300" s="176" t="s">
        <v>542</v>
      </c>
      <c r="R300" s="273"/>
      <c r="S300" s="274"/>
      <c r="T300" s="273"/>
      <c r="U300" s="273"/>
      <c r="V300" s="273"/>
      <c r="W300" s="273"/>
      <c r="X300" s="274"/>
      <c r="Y300" s="275">
        <v>27413000</v>
      </c>
      <c r="Z300" s="275">
        <v>10036840</v>
      </c>
      <c r="AA300" s="296"/>
      <c r="AB300" s="297">
        <f>2360900+10194360</f>
        <v>12555260</v>
      </c>
      <c r="AC300" s="297">
        <f t="shared" si="110"/>
        <v>0</v>
      </c>
      <c r="AD300" s="297">
        <f t="shared" si="117"/>
        <v>12555260</v>
      </c>
      <c r="AE300" s="297">
        <v>0</v>
      </c>
      <c r="AF300" s="297">
        <v>0</v>
      </c>
      <c r="AG300" s="297">
        <v>0</v>
      </c>
      <c r="AH300" s="297">
        <v>0</v>
      </c>
      <c r="AI300" s="297">
        <v>0</v>
      </c>
      <c r="AJ300" s="297">
        <v>0</v>
      </c>
      <c r="AK300" s="297">
        <v>0</v>
      </c>
      <c r="AL300" s="297">
        <v>0</v>
      </c>
      <c r="AM300" s="297">
        <v>0</v>
      </c>
      <c r="AN300" s="297">
        <v>0</v>
      </c>
      <c r="AO300" s="297">
        <v>0</v>
      </c>
      <c r="AP300" s="297">
        <v>0</v>
      </c>
      <c r="AQ300" s="296"/>
      <c r="AR300" s="297">
        <f t="shared" si="118"/>
        <v>4820900</v>
      </c>
      <c r="AS300" s="313" t="s">
        <v>137</v>
      </c>
      <c r="AT300" s="313" t="s">
        <v>137</v>
      </c>
      <c r="AU300" s="176" t="s">
        <v>138</v>
      </c>
    </row>
    <row r="301" spans="1:47" s="218" customFormat="1" ht="25.5" customHeight="1" outlineLevel="2">
      <c r="A301" s="215" t="s">
        <v>125</v>
      </c>
      <c r="B301" s="151">
        <v>31</v>
      </c>
      <c r="C301" s="151" t="s">
        <v>128</v>
      </c>
      <c r="D301" s="245" t="s">
        <v>168</v>
      </c>
      <c r="E301" s="151" t="s">
        <v>169</v>
      </c>
      <c r="F301" s="151" t="s">
        <v>207</v>
      </c>
      <c r="G301" s="151" t="s">
        <v>33</v>
      </c>
      <c r="H301" s="151" t="s">
        <v>52</v>
      </c>
      <c r="I301" s="256">
        <v>15</v>
      </c>
      <c r="J301" s="151" t="s">
        <v>80</v>
      </c>
      <c r="K301" s="176" t="s">
        <v>132</v>
      </c>
      <c r="L301" s="245">
        <v>30289475</v>
      </c>
      <c r="M301" s="855"/>
      <c r="N301" s="245" t="e">
        <v>#N/A</v>
      </c>
      <c r="O301" s="245" t="s">
        <v>543</v>
      </c>
      <c r="P301" s="257" t="s">
        <v>544</v>
      </c>
      <c r="Q301" s="176" t="s">
        <v>545</v>
      </c>
      <c r="R301" s="273"/>
      <c r="S301" s="274"/>
      <c r="T301" s="273"/>
      <c r="U301" s="273"/>
      <c r="V301" s="273"/>
      <c r="W301" s="273"/>
      <c r="X301" s="274"/>
      <c r="Y301" s="275">
        <v>1114527000</v>
      </c>
      <c r="Z301" s="275">
        <v>0</v>
      </c>
      <c r="AA301" s="296"/>
      <c r="AB301" s="297">
        <f>514527000-100000000+127638912+130061989+124680000+76417785</f>
        <v>873325686</v>
      </c>
      <c r="AC301" s="297">
        <f t="shared" si="110"/>
        <v>784969129</v>
      </c>
      <c r="AD301" s="297">
        <f t="shared" si="117"/>
        <v>88356557</v>
      </c>
      <c r="AE301" s="297">
        <v>0</v>
      </c>
      <c r="AF301" s="297">
        <v>0</v>
      </c>
      <c r="AG301" s="297">
        <v>0</v>
      </c>
      <c r="AH301" s="297">
        <v>0</v>
      </c>
      <c r="AI301" s="297">
        <v>0</v>
      </c>
      <c r="AJ301" s="297">
        <v>112741228</v>
      </c>
      <c r="AK301" s="297">
        <v>130061989</v>
      </c>
      <c r="AL301" s="297">
        <v>129205773</v>
      </c>
      <c r="AM301" s="297">
        <v>234242369</v>
      </c>
      <c r="AN301" s="297">
        <v>7678985</v>
      </c>
      <c r="AO301" s="297">
        <v>104661331</v>
      </c>
      <c r="AP301" s="297">
        <v>66377454</v>
      </c>
      <c r="AQ301" s="296"/>
      <c r="AR301" s="297">
        <f t="shared" si="118"/>
        <v>241201314</v>
      </c>
      <c r="AS301" s="313" t="s">
        <v>137</v>
      </c>
      <c r="AT301" s="313" t="s">
        <v>137</v>
      </c>
      <c r="AU301" s="176" t="s">
        <v>138</v>
      </c>
    </row>
    <row r="302" spans="1:47" s="218" customFormat="1" ht="25.5" customHeight="1" outlineLevel="2">
      <c r="A302" s="215" t="s">
        <v>125</v>
      </c>
      <c r="B302" s="151">
        <v>31</v>
      </c>
      <c r="C302" s="151" t="s">
        <v>128</v>
      </c>
      <c r="D302" s="245" t="s">
        <v>129</v>
      </c>
      <c r="E302" s="151" t="s">
        <v>130</v>
      </c>
      <c r="F302" s="151" t="s">
        <v>140</v>
      </c>
      <c r="G302" s="151" t="s">
        <v>33</v>
      </c>
      <c r="H302" s="151" t="s">
        <v>52</v>
      </c>
      <c r="I302" s="256">
        <v>15</v>
      </c>
      <c r="J302" s="151" t="s">
        <v>81</v>
      </c>
      <c r="K302" s="176" t="s">
        <v>132</v>
      </c>
      <c r="L302" s="245">
        <v>40009545</v>
      </c>
      <c r="M302" s="855"/>
      <c r="N302" s="245" t="e">
        <v>#N/A</v>
      </c>
      <c r="O302" s="245" t="s">
        <v>546</v>
      </c>
      <c r="P302" s="257" t="s">
        <v>547</v>
      </c>
      <c r="Q302" s="176" t="s">
        <v>548</v>
      </c>
      <c r="R302" s="273" t="s">
        <v>549</v>
      </c>
      <c r="S302" s="274"/>
      <c r="T302" s="273"/>
      <c r="U302" s="273"/>
      <c r="V302" s="273"/>
      <c r="W302" s="273"/>
      <c r="X302" s="274"/>
      <c r="Y302" s="275">
        <v>526563000</v>
      </c>
      <c r="Z302" s="275">
        <v>0</v>
      </c>
      <c r="AA302" s="296"/>
      <c r="AB302" s="297">
        <f>526563000-71441875-22048910</f>
        <v>433072215</v>
      </c>
      <c r="AC302" s="297">
        <f t="shared" si="110"/>
        <v>313638230</v>
      </c>
      <c r="AD302" s="297">
        <f t="shared" si="117"/>
        <v>119433985</v>
      </c>
      <c r="AE302" s="297">
        <v>0</v>
      </c>
      <c r="AF302" s="297">
        <v>0</v>
      </c>
      <c r="AG302" s="297">
        <v>0</v>
      </c>
      <c r="AH302" s="297">
        <v>0</v>
      </c>
      <c r="AI302" s="297">
        <v>0</v>
      </c>
      <c r="AJ302" s="297">
        <v>0</v>
      </c>
      <c r="AK302" s="297">
        <v>81685603</v>
      </c>
      <c r="AL302" s="297">
        <v>79700957</v>
      </c>
      <c r="AM302" s="297">
        <v>65553297</v>
      </c>
      <c r="AN302" s="297">
        <v>47419115</v>
      </c>
      <c r="AO302" s="297">
        <v>39279258</v>
      </c>
      <c r="AP302" s="297">
        <v>0</v>
      </c>
      <c r="AQ302" s="296"/>
      <c r="AR302" s="297">
        <f t="shared" si="118"/>
        <v>93490785</v>
      </c>
      <c r="AS302" s="313" t="s">
        <v>148</v>
      </c>
      <c r="AT302" s="313" t="s">
        <v>1464</v>
      </c>
      <c r="AU302" s="176" t="s">
        <v>138</v>
      </c>
    </row>
    <row r="303" spans="1:47" s="218" customFormat="1" ht="25.5" customHeight="1" outlineLevel="2">
      <c r="A303" s="215" t="s">
        <v>125</v>
      </c>
      <c r="B303" s="191">
        <v>33</v>
      </c>
      <c r="C303" s="191" t="s">
        <v>128</v>
      </c>
      <c r="D303" s="246" t="s">
        <v>149</v>
      </c>
      <c r="E303" s="191" t="s">
        <v>130</v>
      </c>
      <c r="F303" s="191" t="s">
        <v>140</v>
      </c>
      <c r="G303" s="191" t="s">
        <v>33</v>
      </c>
      <c r="H303" s="191" t="s">
        <v>52</v>
      </c>
      <c r="I303" s="258">
        <v>15</v>
      </c>
      <c r="J303" s="191" t="s">
        <v>83</v>
      </c>
      <c r="K303" s="192" t="s">
        <v>132</v>
      </c>
      <c r="L303" s="246" t="s">
        <v>83</v>
      </c>
      <c r="M303" s="861" t="s">
        <v>1604</v>
      </c>
      <c r="N303" s="246"/>
      <c r="O303" s="245" t="s">
        <v>183</v>
      </c>
      <c r="P303" s="246"/>
      <c r="Q303" s="192" t="s">
        <v>184</v>
      </c>
      <c r="R303" s="276"/>
      <c r="S303" s="277"/>
      <c r="T303" s="276"/>
      <c r="U303" s="276"/>
      <c r="V303" s="276"/>
      <c r="W303" s="276"/>
      <c r="X303" s="277"/>
      <c r="Y303" s="194">
        <v>100000000</v>
      </c>
      <c r="Z303" s="194">
        <f>+FRIL!J473</f>
        <v>0</v>
      </c>
      <c r="AA303" s="298"/>
      <c r="AB303" s="299">
        <v>100000000</v>
      </c>
      <c r="AC303" s="299">
        <f t="shared" si="110"/>
        <v>0</v>
      </c>
      <c r="AD303" s="299">
        <f t="shared" si="117"/>
        <v>100000000</v>
      </c>
      <c r="AE303" s="299">
        <v>0</v>
      </c>
      <c r="AF303" s="299">
        <v>0</v>
      </c>
      <c r="AG303" s="299">
        <v>0</v>
      </c>
      <c r="AH303" s="299">
        <v>0</v>
      </c>
      <c r="AI303" s="299">
        <v>0</v>
      </c>
      <c r="AJ303" s="297">
        <v>0</v>
      </c>
      <c r="AK303" s="299">
        <v>0</v>
      </c>
      <c r="AL303" s="299">
        <v>0</v>
      </c>
      <c r="AM303" s="299">
        <v>0</v>
      </c>
      <c r="AN303" s="299">
        <v>0</v>
      </c>
      <c r="AO303" s="297">
        <v>0</v>
      </c>
      <c r="AP303" s="299">
        <v>0</v>
      </c>
      <c r="AQ303" s="298"/>
      <c r="AR303" s="299">
        <f t="shared" si="118"/>
        <v>0</v>
      </c>
      <c r="AS303" s="314" t="s">
        <v>185</v>
      </c>
      <c r="AT303" s="314" t="s">
        <v>83</v>
      </c>
      <c r="AU303" s="192" t="s">
        <v>138</v>
      </c>
    </row>
    <row r="304" spans="1:47" s="218" customFormat="1" ht="25.5" customHeight="1" outlineLevel="2">
      <c r="A304" s="215" t="s">
        <v>125</v>
      </c>
      <c r="B304" s="151">
        <v>33</v>
      </c>
      <c r="C304" s="151" t="s">
        <v>128</v>
      </c>
      <c r="D304" s="245" t="s">
        <v>149</v>
      </c>
      <c r="E304" s="151" t="s">
        <v>130</v>
      </c>
      <c r="F304" s="151" t="s">
        <v>140</v>
      </c>
      <c r="G304" s="151" t="s">
        <v>33</v>
      </c>
      <c r="H304" s="151" t="s">
        <v>52</v>
      </c>
      <c r="I304" s="256">
        <v>15</v>
      </c>
      <c r="J304" s="151" t="s">
        <v>83</v>
      </c>
      <c r="K304" s="176" t="s">
        <v>132</v>
      </c>
      <c r="L304" s="245" t="s">
        <v>83</v>
      </c>
      <c r="M304" s="855"/>
      <c r="N304" s="245"/>
      <c r="O304" s="245" t="s">
        <v>183</v>
      </c>
      <c r="P304" s="245"/>
      <c r="Q304" s="176" t="s">
        <v>550</v>
      </c>
      <c r="R304" s="273"/>
      <c r="S304" s="274"/>
      <c r="T304" s="273"/>
      <c r="U304" s="273"/>
      <c r="V304" s="273"/>
      <c r="W304" s="273"/>
      <c r="X304" s="274"/>
      <c r="Y304" s="275">
        <v>200000000</v>
      </c>
      <c r="Z304" s="275">
        <f>+FRIL!J474</f>
        <v>0</v>
      </c>
      <c r="AA304" s="296"/>
      <c r="AB304" s="297">
        <v>200000000</v>
      </c>
      <c r="AC304" s="297">
        <f t="shared" si="110"/>
        <v>54053614</v>
      </c>
      <c r="AD304" s="297">
        <f t="shared" si="117"/>
        <v>145946386</v>
      </c>
      <c r="AE304" s="297">
        <v>0</v>
      </c>
      <c r="AF304" s="297">
        <v>0</v>
      </c>
      <c r="AG304" s="297">
        <v>0</v>
      </c>
      <c r="AH304" s="297">
        <v>0</v>
      </c>
      <c r="AI304" s="297">
        <v>0</v>
      </c>
      <c r="AJ304" s="297">
        <v>0</v>
      </c>
      <c r="AK304" s="297">
        <v>0</v>
      </c>
      <c r="AL304" s="297">
        <v>31046508</v>
      </c>
      <c r="AM304" s="297">
        <v>23007106</v>
      </c>
      <c r="AN304" s="297">
        <v>0</v>
      </c>
      <c r="AO304" s="297">
        <f>+FRIL!L162</f>
        <v>0</v>
      </c>
      <c r="AP304" s="297">
        <v>0</v>
      </c>
      <c r="AQ304" s="296"/>
      <c r="AR304" s="297">
        <f t="shared" si="118"/>
        <v>0</v>
      </c>
      <c r="AS304" s="313" t="s">
        <v>185</v>
      </c>
      <c r="AT304" s="313" t="s">
        <v>83</v>
      </c>
      <c r="AU304" s="176" t="s">
        <v>138</v>
      </c>
    </row>
    <row r="305" spans="1:49" s="217" customFormat="1" ht="25.5" customHeight="1" outlineLevel="1">
      <c r="A305" s="215" t="s">
        <v>125</v>
      </c>
      <c r="B305" s="151">
        <v>29</v>
      </c>
      <c r="C305" s="151" t="s">
        <v>196</v>
      </c>
      <c r="D305" s="245" t="s">
        <v>129</v>
      </c>
      <c r="E305" s="151" t="s">
        <v>169</v>
      </c>
      <c r="F305" s="151" t="s">
        <v>131</v>
      </c>
      <c r="G305" s="151" t="s">
        <v>33</v>
      </c>
      <c r="H305" s="151" t="s">
        <v>52</v>
      </c>
      <c r="I305" s="256">
        <v>15</v>
      </c>
      <c r="J305" s="151" t="s">
        <v>81</v>
      </c>
      <c r="K305" s="176" t="s">
        <v>132</v>
      </c>
      <c r="L305" s="245">
        <v>40011672</v>
      </c>
      <c r="M305" s="855"/>
      <c r="N305" s="245"/>
      <c r="O305" s="245" t="s">
        <v>551</v>
      </c>
      <c r="P305" s="257"/>
      <c r="Q305" s="176" t="s">
        <v>552</v>
      </c>
      <c r="R305" s="273" t="s">
        <v>553</v>
      </c>
      <c r="S305" s="274"/>
      <c r="T305" s="273"/>
      <c r="U305" s="273"/>
      <c r="V305" s="273"/>
      <c r="W305" s="273"/>
      <c r="X305" s="274"/>
      <c r="Y305" s="275">
        <v>183000000</v>
      </c>
      <c r="Z305" s="275">
        <v>0</v>
      </c>
      <c r="AA305" s="296"/>
      <c r="AB305" s="297">
        <f>179083244+750</f>
        <v>179083994</v>
      </c>
      <c r="AC305" s="297">
        <f t="shared" si="110"/>
        <v>179083994</v>
      </c>
      <c r="AD305" s="297">
        <f t="shared" si="117"/>
        <v>0</v>
      </c>
      <c r="AE305" s="297">
        <v>0</v>
      </c>
      <c r="AF305" s="297">
        <v>0</v>
      </c>
      <c r="AG305" s="297">
        <v>0</v>
      </c>
      <c r="AH305" s="297">
        <v>0</v>
      </c>
      <c r="AI305" s="297">
        <v>0</v>
      </c>
      <c r="AJ305" s="297">
        <v>0</v>
      </c>
      <c r="AK305" s="297">
        <v>0</v>
      </c>
      <c r="AL305" s="297">
        <v>0</v>
      </c>
      <c r="AM305" s="297">
        <v>179083994</v>
      </c>
      <c r="AN305" s="297">
        <v>0</v>
      </c>
      <c r="AO305" s="297">
        <v>0</v>
      </c>
      <c r="AP305" s="297">
        <v>0</v>
      </c>
      <c r="AQ305" s="296"/>
      <c r="AR305" s="297">
        <f t="shared" si="118"/>
        <v>3916006</v>
      </c>
      <c r="AS305" s="313" t="s">
        <v>148</v>
      </c>
      <c r="AT305" s="313" t="s">
        <v>1464</v>
      </c>
      <c r="AU305" s="176" t="s">
        <v>138</v>
      </c>
    </row>
    <row r="306" spans="1:49" s="218" customFormat="1" ht="25.5" customHeight="1" outlineLevel="2">
      <c r="A306" s="215" t="s">
        <v>556</v>
      </c>
      <c r="B306" s="151">
        <v>31</v>
      </c>
      <c r="C306" s="151" t="s">
        <v>128</v>
      </c>
      <c r="D306" s="245" t="s">
        <v>168</v>
      </c>
      <c r="E306" s="151" t="s">
        <v>169</v>
      </c>
      <c r="F306" s="151" t="s">
        <v>207</v>
      </c>
      <c r="G306" s="151" t="s">
        <v>33</v>
      </c>
      <c r="H306" s="151" t="s">
        <v>52</v>
      </c>
      <c r="I306" s="256">
        <v>15</v>
      </c>
      <c r="J306" s="151" t="s">
        <v>80</v>
      </c>
      <c r="K306" s="176" t="s">
        <v>132</v>
      </c>
      <c r="L306" s="245">
        <v>30422722</v>
      </c>
      <c r="M306" s="855"/>
      <c r="N306" s="245" t="s">
        <v>337</v>
      </c>
      <c r="O306" s="245" t="s">
        <v>557</v>
      </c>
      <c r="P306" s="257" t="s">
        <v>558</v>
      </c>
      <c r="Q306" s="176" t="s">
        <v>559</v>
      </c>
      <c r="R306" s="273" t="s">
        <v>560</v>
      </c>
      <c r="S306" s="274"/>
      <c r="T306" s="327">
        <v>653685000</v>
      </c>
      <c r="U306" s="327" t="s">
        <v>1524</v>
      </c>
      <c r="V306" s="273">
        <v>653685000</v>
      </c>
      <c r="W306" s="273"/>
      <c r="X306" s="274"/>
      <c r="Y306" s="275">
        <v>653685000</v>
      </c>
      <c r="Z306" s="275">
        <v>0</v>
      </c>
      <c r="AA306" s="296"/>
      <c r="AB306" s="297">
        <f>552381420-127638912-130061989-10194360-124680000</f>
        <v>159806159</v>
      </c>
      <c r="AC306" s="297">
        <f>SUBTOTAL(9,AE306:AP306)</f>
        <v>42188593</v>
      </c>
      <c r="AD306" s="297">
        <f>+AB306-AC306</f>
        <v>117617566</v>
      </c>
      <c r="AE306" s="297">
        <v>0</v>
      </c>
      <c r="AF306" s="297">
        <v>0</v>
      </c>
      <c r="AG306" s="297">
        <v>0</v>
      </c>
      <c r="AH306" s="297">
        <v>0</v>
      </c>
      <c r="AI306" s="297">
        <v>0</v>
      </c>
      <c r="AJ306" s="297">
        <v>40038593</v>
      </c>
      <c r="AK306" s="297">
        <v>2150000</v>
      </c>
      <c r="AL306" s="297">
        <v>0</v>
      </c>
      <c r="AM306" s="297">
        <v>0</v>
      </c>
      <c r="AN306" s="297">
        <v>0</v>
      </c>
      <c r="AO306" s="297">
        <v>0</v>
      </c>
      <c r="AP306" s="297">
        <v>0</v>
      </c>
      <c r="AQ306" s="296"/>
      <c r="AR306" s="297">
        <f>+Y306-Z306-AC306-AD306</f>
        <v>493878841</v>
      </c>
      <c r="AS306" s="313" t="s">
        <v>137</v>
      </c>
      <c r="AT306" s="313" t="s">
        <v>137</v>
      </c>
      <c r="AU306" s="176" t="s">
        <v>1520</v>
      </c>
      <c r="AW306" s="393"/>
    </row>
    <row r="307" spans="1:49" s="217" customFormat="1" ht="25.5" customHeight="1" outlineLevel="1">
      <c r="A307" s="215" t="s">
        <v>125</v>
      </c>
      <c r="B307" s="151">
        <v>29</v>
      </c>
      <c r="C307" s="151" t="s">
        <v>196</v>
      </c>
      <c r="D307" s="245" t="s">
        <v>164</v>
      </c>
      <c r="E307" s="151" t="s">
        <v>130</v>
      </c>
      <c r="F307" s="151" t="s">
        <v>140</v>
      </c>
      <c r="G307" s="151" t="s">
        <v>33</v>
      </c>
      <c r="H307" s="151" t="s">
        <v>52</v>
      </c>
      <c r="I307" s="256">
        <v>15</v>
      </c>
      <c r="J307" s="151" t="s">
        <v>80</v>
      </c>
      <c r="K307" s="176" t="s">
        <v>132</v>
      </c>
      <c r="L307" s="245">
        <v>40014292</v>
      </c>
      <c r="M307" s="855"/>
      <c r="N307" s="245"/>
      <c r="O307" s="245" t="s">
        <v>561</v>
      </c>
      <c r="P307" s="257" t="s">
        <v>562</v>
      </c>
      <c r="Q307" s="176" t="s">
        <v>563</v>
      </c>
      <c r="R307" s="273" t="s">
        <v>564</v>
      </c>
      <c r="S307" s="274"/>
      <c r="T307" s="273"/>
      <c r="U307" s="273" t="s">
        <v>1525</v>
      </c>
      <c r="V307" s="273">
        <v>76567000</v>
      </c>
      <c r="W307" s="273"/>
      <c r="X307" s="274"/>
      <c r="Y307" s="275">
        <v>76567920</v>
      </c>
      <c r="Z307" s="275">
        <v>0</v>
      </c>
      <c r="AA307" s="296"/>
      <c r="AB307" s="297">
        <v>76567000</v>
      </c>
      <c r="AC307" s="297">
        <f>SUBTOTAL(9,AE307:AP307)</f>
        <v>76567000</v>
      </c>
      <c r="AD307" s="297">
        <f>+AB307-AC307</f>
        <v>0</v>
      </c>
      <c r="AE307" s="297">
        <v>0</v>
      </c>
      <c r="AF307" s="297">
        <v>0</v>
      </c>
      <c r="AG307" s="297">
        <v>0</v>
      </c>
      <c r="AH307" s="297">
        <v>0</v>
      </c>
      <c r="AI307" s="297">
        <v>0</v>
      </c>
      <c r="AJ307" s="297">
        <v>0</v>
      </c>
      <c r="AK307" s="297">
        <v>76567000</v>
      </c>
      <c r="AL307" s="297">
        <v>0</v>
      </c>
      <c r="AM307" s="297">
        <v>0</v>
      </c>
      <c r="AN307" s="297">
        <v>0</v>
      </c>
      <c r="AO307" s="297">
        <v>0</v>
      </c>
      <c r="AP307" s="297">
        <v>0</v>
      </c>
      <c r="AQ307" s="296"/>
      <c r="AR307" s="297">
        <f>+Y307-Z307-AC307-AD307</f>
        <v>920</v>
      </c>
      <c r="AS307" s="313" t="s">
        <v>148</v>
      </c>
      <c r="AT307" s="313" t="s">
        <v>1464</v>
      </c>
      <c r="AU307" s="176" t="s">
        <v>1521</v>
      </c>
    </row>
    <row r="308" spans="1:49" s="218" customFormat="1" ht="25.5" customHeight="1" outlineLevel="2">
      <c r="A308" s="215" t="s">
        <v>125</v>
      </c>
      <c r="B308" s="151">
        <v>31</v>
      </c>
      <c r="C308" s="151" t="s">
        <v>128</v>
      </c>
      <c r="D308" s="245" t="s">
        <v>149</v>
      </c>
      <c r="E308" s="151" t="s">
        <v>169</v>
      </c>
      <c r="F308" s="151" t="s">
        <v>140</v>
      </c>
      <c r="G308" s="151" t="s">
        <v>33</v>
      </c>
      <c r="H308" s="151" t="s">
        <v>52</v>
      </c>
      <c r="I308" s="256">
        <v>15</v>
      </c>
      <c r="J308" s="151" t="s">
        <v>80</v>
      </c>
      <c r="K308" s="176" t="s">
        <v>132</v>
      </c>
      <c r="L308" s="245">
        <v>30103323</v>
      </c>
      <c r="M308" s="855"/>
      <c r="N308" s="245" t="s">
        <v>337</v>
      </c>
      <c r="O308" s="245" t="s">
        <v>554</v>
      </c>
      <c r="P308" s="245"/>
      <c r="Q308" s="176" t="s">
        <v>555</v>
      </c>
      <c r="R308" s="273"/>
      <c r="S308" s="274"/>
      <c r="T308" s="273"/>
      <c r="U308" s="273"/>
      <c r="V308" s="273"/>
      <c r="W308" s="273"/>
      <c r="X308" s="274"/>
      <c r="Y308" s="275">
        <v>207019010</v>
      </c>
      <c r="Z308" s="275">
        <v>99601553</v>
      </c>
      <c r="AA308" s="296"/>
      <c r="AB308" s="297">
        <v>107417457</v>
      </c>
      <c r="AC308" s="297">
        <f t="shared" si="110"/>
        <v>0</v>
      </c>
      <c r="AD308" s="297">
        <f t="shared" si="117"/>
        <v>107417457</v>
      </c>
      <c r="AE308" s="297">
        <v>0</v>
      </c>
      <c r="AF308" s="297">
        <v>0</v>
      </c>
      <c r="AG308" s="297">
        <v>0</v>
      </c>
      <c r="AH308" s="297">
        <v>0</v>
      </c>
      <c r="AI308" s="297">
        <v>0</v>
      </c>
      <c r="AJ308" s="297">
        <v>0</v>
      </c>
      <c r="AK308" s="297">
        <v>0</v>
      </c>
      <c r="AL308" s="297">
        <v>0</v>
      </c>
      <c r="AM308" s="297">
        <v>0</v>
      </c>
      <c r="AN308" s="297">
        <v>0</v>
      </c>
      <c r="AO308" s="297">
        <v>0</v>
      </c>
      <c r="AP308" s="297">
        <v>0</v>
      </c>
      <c r="AQ308" s="296"/>
      <c r="AR308" s="297">
        <f t="shared" si="118"/>
        <v>0</v>
      </c>
      <c r="AS308" s="313" t="s">
        <v>137</v>
      </c>
      <c r="AT308" s="313" t="s">
        <v>137</v>
      </c>
      <c r="AU308" s="176" t="s">
        <v>214</v>
      </c>
    </row>
    <row r="309" spans="1:49" s="217" customFormat="1" ht="25.5" customHeight="1" outlineLevel="1">
      <c r="A309" s="215" t="s">
        <v>125</v>
      </c>
      <c r="B309" s="247"/>
      <c r="C309" s="247"/>
      <c r="D309" s="248"/>
      <c r="E309" s="249"/>
      <c r="F309" s="249"/>
      <c r="G309" s="249"/>
      <c r="H309" s="249"/>
      <c r="I309" s="249"/>
      <c r="J309" s="247"/>
      <c r="K309" s="259"/>
      <c r="L309" s="248"/>
      <c r="M309" s="248"/>
      <c r="N309" s="250"/>
      <c r="O309" s="250"/>
      <c r="P309" s="250"/>
      <c r="Q309" s="260" t="s">
        <v>187</v>
      </c>
      <c r="R309" s="278"/>
      <c r="S309" s="279"/>
      <c r="T309" s="279"/>
      <c r="U309" s="279"/>
      <c r="V309" s="279"/>
      <c r="W309" s="279"/>
      <c r="X309" s="281"/>
      <c r="Y309" s="286">
        <f>+Y298+Y299+Y300+Y301+Y303+Y304+Y308+Y302+Y305+Y306+Y307</f>
        <v>3701152930</v>
      </c>
      <c r="Z309" s="286">
        <f>+Z298+Z299+Z300+Z301+Z303+Z304+Z308+Z302+Z305+Z306+Z307</f>
        <v>468557253</v>
      </c>
      <c r="AA309" s="303"/>
      <c r="AB309" s="286">
        <f t="shared" ref="AB309:AP309" si="119">+AB298+AB299+AB300+AB301+AB303+AB304+AB308+AB302+AB305+AB306+AB307</f>
        <v>2395286911</v>
      </c>
      <c r="AC309" s="286">
        <f t="shared" si="119"/>
        <v>1687603630</v>
      </c>
      <c r="AD309" s="286">
        <f t="shared" si="119"/>
        <v>707683281</v>
      </c>
      <c r="AE309" s="286">
        <f t="shared" si="119"/>
        <v>0</v>
      </c>
      <c r="AF309" s="286">
        <f t="shared" si="119"/>
        <v>0</v>
      </c>
      <c r="AG309" s="286">
        <f t="shared" si="119"/>
        <v>0</v>
      </c>
      <c r="AH309" s="286">
        <f t="shared" si="119"/>
        <v>0</v>
      </c>
      <c r="AI309" s="286">
        <f t="shared" si="119"/>
        <v>0</v>
      </c>
      <c r="AJ309" s="286">
        <f t="shared" si="119"/>
        <v>152779821</v>
      </c>
      <c r="AK309" s="286">
        <f t="shared" si="119"/>
        <v>290464592</v>
      </c>
      <c r="AL309" s="286">
        <f t="shared" si="119"/>
        <v>239953238</v>
      </c>
      <c r="AM309" s="286">
        <f t="shared" si="119"/>
        <v>551379405</v>
      </c>
      <c r="AN309" s="286">
        <f t="shared" si="119"/>
        <v>98515801</v>
      </c>
      <c r="AO309" s="286">
        <f t="shared" si="119"/>
        <v>218405582</v>
      </c>
      <c r="AP309" s="286">
        <f t="shared" si="119"/>
        <v>136105191</v>
      </c>
      <c r="AQ309" s="287"/>
      <c r="AR309" s="286">
        <f>+Y309-Z309-AC309-AD309</f>
        <v>837308766</v>
      </c>
      <c r="AS309" s="392"/>
      <c r="AT309" s="315"/>
      <c r="AU309" s="220"/>
    </row>
    <row r="310" spans="1:49" ht="18.75" customHeight="1" outlineLevel="1">
      <c r="A310" s="215" t="s">
        <v>125</v>
      </c>
      <c r="B310" s="249"/>
      <c r="C310" s="249"/>
      <c r="D310" s="250"/>
      <c r="E310" s="249"/>
      <c r="F310" s="249"/>
      <c r="G310" s="249"/>
      <c r="H310" s="249"/>
      <c r="I310" s="249"/>
      <c r="J310" s="249"/>
      <c r="K310" s="261"/>
      <c r="L310" s="250"/>
      <c r="M310" s="250"/>
      <c r="N310" s="250"/>
      <c r="O310" s="250"/>
      <c r="P310" s="250"/>
      <c r="Q310" s="261"/>
      <c r="R310" s="283"/>
      <c r="S310" s="283"/>
      <c r="T310" s="283"/>
      <c r="U310" s="283"/>
      <c r="V310" s="283"/>
      <c r="W310" s="283"/>
      <c r="X310" s="283"/>
      <c r="Y310" s="284"/>
      <c r="Z310" s="284"/>
      <c r="AA310" s="301"/>
      <c r="AB310" s="301"/>
      <c r="AC310" s="301"/>
      <c r="AD310" s="301"/>
      <c r="AE310" s="301"/>
      <c r="AF310" s="301"/>
      <c r="AG310" s="301"/>
      <c r="AH310" s="301"/>
      <c r="AI310" s="301"/>
      <c r="AJ310" s="301"/>
      <c r="AK310" s="301"/>
      <c r="AL310" s="301"/>
      <c r="AM310" s="301"/>
      <c r="AN310" s="301"/>
      <c r="AO310" s="301"/>
      <c r="AP310" s="301"/>
      <c r="AQ310" s="301"/>
      <c r="AR310" s="301"/>
      <c r="AS310" s="316"/>
      <c r="AT310" s="316"/>
      <c r="AU310" s="317"/>
    </row>
    <row r="311" spans="1:49" s="217" customFormat="1" ht="25.5" customHeight="1" outlineLevel="1">
      <c r="A311" s="215" t="s">
        <v>125</v>
      </c>
      <c r="B311" s="247"/>
      <c r="C311" s="247"/>
      <c r="D311" s="248"/>
      <c r="E311" s="249"/>
      <c r="F311" s="249"/>
      <c r="G311" s="249"/>
      <c r="H311" s="249"/>
      <c r="I311" s="249"/>
      <c r="J311" s="247"/>
      <c r="K311" s="259"/>
      <c r="L311" s="248"/>
      <c r="M311" s="248"/>
      <c r="N311" s="250"/>
      <c r="O311" s="250"/>
      <c r="P311" s="250"/>
      <c r="Q311" s="99" t="s">
        <v>188</v>
      </c>
      <c r="R311" s="283"/>
      <c r="S311" s="283"/>
      <c r="T311" s="283"/>
      <c r="U311" s="283"/>
      <c r="V311" s="283"/>
      <c r="W311" s="283"/>
      <c r="X311" s="283"/>
      <c r="Y311" s="285"/>
      <c r="Z311" s="285"/>
      <c r="AA311" s="302"/>
      <c r="AB311" s="302"/>
      <c r="AC311" s="302"/>
      <c r="AD311" s="302"/>
      <c r="AE311" s="302"/>
      <c r="AF311" s="302"/>
      <c r="AG311" s="302"/>
      <c r="AH311" s="301"/>
      <c r="AI311" s="301"/>
      <c r="AJ311" s="301"/>
      <c r="AK311" s="301"/>
      <c r="AL311" s="301"/>
      <c r="AM311" s="301"/>
      <c r="AN311" s="301"/>
      <c r="AO311" s="301"/>
      <c r="AP311" s="301"/>
      <c r="AQ311" s="302"/>
      <c r="AR311" s="302"/>
      <c r="AS311" s="315"/>
      <c r="AT311" s="315"/>
      <c r="AU311" s="220"/>
    </row>
    <row r="312" spans="1:49" s="217" customFormat="1" ht="25.5" customHeight="1" outlineLevel="1">
      <c r="A312" s="215" t="s">
        <v>125</v>
      </c>
      <c r="B312" s="151">
        <v>31</v>
      </c>
      <c r="C312" s="151" t="s">
        <v>196</v>
      </c>
      <c r="D312" s="245" t="s">
        <v>129</v>
      </c>
      <c r="E312" s="151" t="s">
        <v>130</v>
      </c>
      <c r="F312" s="151" t="s">
        <v>131</v>
      </c>
      <c r="G312" s="151" t="s">
        <v>33</v>
      </c>
      <c r="H312" s="151" t="s">
        <v>52</v>
      </c>
      <c r="I312" s="256">
        <v>15</v>
      </c>
      <c r="J312" s="151" t="s">
        <v>81</v>
      </c>
      <c r="K312" s="176" t="s">
        <v>202</v>
      </c>
      <c r="L312" s="245">
        <v>30463128</v>
      </c>
      <c r="M312" s="855"/>
      <c r="N312" s="245"/>
      <c r="O312" s="245" t="s">
        <v>565</v>
      </c>
      <c r="P312" s="257" t="s">
        <v>1522</v>
      </c>
      <c r="Q312" s="176" t="s">
        <v>566</v>
      </c>
      <c r="R312" s="273"/>
      <c r="S312" s="274"/>
      <c r="T312" s="273"/>
      <c r="U312" s="273" t="s">
        <v>567</v>
      </c>
      <c r="V312" s="273">
        <v>40580000</v>
      </c>
      <c r="W312" s="273"/>
      <c r="X312" s="274"/>
      <c r="Y312" s="275">
        <v>40580000</v>
      </c>
      <c r="Z312" s="275">
        <v>0</v>
      </c>
      <c r="AA312" s="296"/>
      <c r="AB312" s="297">
        <v>15000000</v>
      </c>
      <c r="AC312" s="297">
        <f t="shared" si="110"/>
        <v>0</v>
      </c>
      <c r="AD312" s="297">
        <f>+AB312-AC312</f>
        <v>15000000</v>
      </c>
      <c r="AE312" s="297">
        <v>0</v>
      </c>
      <c r="AF312" s="297">
        <v>0</v>
      </c>
      <c r="AG312" s="297">
        <v>0</v>
      </c>
      <c r="AH312" s="297">
        <v>0</v>
      </c>
      <c r="AI312" s="297">
        <v>0</v>
      </c>
      <c r="AJ312" s="297">
        <v>0</v>
      </c>
      <c r="AK312" s="297">
        <v>0</v>
      </c>
      <c r="AL312" s="297">
        <v>0</v>
      </c>
      <c r="AM312" s="297">
        <v>0</v>
      </c>
      <c r="AN312" s="297">
        <v>0</v>
      </c>
      <c r="AO312" s="297">
        <v>0</v>
      </c>
      <c r="AP312" s="297">
        <v>0</v>
      </c>
      <c r="AQ312" s="296"/>
      <c r="AR312" s="297">
        <f t="shared" ref="AR312:AR313" si="120">+Y312-Z312-AC312-AD312</f>
        <v>25580000</v>
      </c>
      <c r="AS312" s="313" t="s">
        <v>137</v>
      </c>
      <c r="AT312" s="313" t="s">
        <v>137</v>
      </c>
      <c r="AU312" s="176" t="s">
        <v>1548</v>
      </c>
    </row>
    <row r="313" spans="1:49" s="217" customFormat="1" ht="25.5" customHeight="1" outlineLevel="1">
      <c r="A313" s="215" t="s">
        <v>125</v>
      </c>
      <c r="B313" s="151">
        <v>31</v>
      </c>
      <c r="C313" s="151" t="s">
        <v>196</v>
      </c>
      <c r="D313" s="245" t="s">
        <v>129</v>
      </c>
      <c r="E313" s="151" t="s">
        <v>169</v>
      </c>
      <c r="F313" s="151" t="s">
        <v>140</v>
      </c>
      <c r="G313" s="151" t="s">
        <v>33</v>
      </c>
      <c r="H313" s="151" t="s">
        <v>52</v>
      </c>
      <c r="I313" s="256">
        <v>15</v>
      </c>
      <c r="J313" s="151" t="s">
        <v>81</v>
      </c>
      <c r="K313" s="176" t="s">
        <v>132</v>
      </c>
      <c r="L313" s="245">
        <v>40011005</v>
      </c>
      <c r="M313" s="855"/>
      <c r="N313" s="245"/>
      <c r="O313" s="245" t="s">
        <v>568</v>
      </c>
      <c r="P313" s="257" t="s">
        <v>569</v>
      </c>
      <c r="Q313" s="176" t="s">
        <v>570</v>
      </c>
      <c r="R313" s="273" t="s">
        <v>571</v>
      </c>
      <c r="S313" s="274"/>
      <c r="T313" s="273"/>
      <c r="U313" s="273" t="s">
        <v>1526</v>
      </c>
      <c r="V313" s="273">
        <v>351704000</v>
      </c>
      <c r="W313" s="273"/>
      <c r="X313" s="274"/>
      <c r="Y313" s="275">
        <v>351704000</v>
      </c>
      <c r="Z313" s="275">
        <v>0</v>
      </c>
      <c r="AA313" s="296"/>
      <c r="AB313" s="297">
        <f>27927000+17073000</f>
        <v>45000000</v>
      </c>
      <c r="AC313" s="297">
        <f t="shared" si="110"/>
        <v>0</v>
      </c>
      <c r="AD313" s="297">
        <f>+AB313-AC313</f>
        <v>45000000</v>
      </c>
      <c r="AE313" s="297">
        <v>0</v>
      </c>
      <c r="AF313" s="297">
        <v>0</v>
      </c>
      <c r="AG313" s="297">
        <v>0</v>
      </c>
      <c r="AH313" s="297">
        <v>0</v>
      </c>
      <c r="AI313" s="297">
        <v>0</v>
      </c>
      <c r="AJ313" s="297">
        <v>0</v>
      </c>
      <c r="AK313" s="297">
        <v>0</v>
      </c>
      <c r="AL313" s="297">
        <v>0</v>
      </c>
      <c r="AM313" s="297">
        <v>0</v>
      </c>
      <c r="AN313" s="297">
        <v>0</v>
      </c>
      <c r="AO313" s="297">
        <v>0</v>
      </c>
      <c r="AP313" s="297">
        <v>0</v>
      </c>
      <c r="AQ313" s="296"/>
      <c r="AR313" s="297">
        <f t="shared" si="120"/>
        <v>306704000</v>
      </c>
      <c r="AS313" s="313" t="s">
        <v>148</v>
      </c>
      <c r="AT313" s="313" t="s">
        <v>1464</v>
      </c>
      <c r="AU313" s="176" t="s">
        <v>1523</v>
      </c>
      <c r="AW313" s="391"/>
    </row>
    <row r="314" spans="1:49" s="217" customFormat="1" ht="25.5" customHeight="1" outlineLevel="1">
      <c r="A314" s="215" t="s">
        <v>125</v>
      </c>
      <c r="B314" s="151">
        <v>31</v>
      </c>
      <c r="C314" s="151" t="s">
        <v>196</v>
      </c>
      <c r="D314" s="245" t="s">
        <v>149</v>
      </c>
      <c r="E314" s="151" t="s">
        <v>130</v>
      </c>
      <c r="F314" s="151" t="s">
        <v>140</v>
      </c>
      <c r="G314" s="151" t="s">
        <v>33</v>
      </c>
      <c r="H314" s="151" t="s">
        <v>52</v>
      </c>
      <c r="I314" s="256">
        <v>15</v>
      </c>
      <c r="J314" s="151" t="s">
        <v>80</v>
      </c>
      <c r="K314" s="176" t="s">
        <v>202</v>
      </c>
      <c r="L314" s="245">
        <v>30125824</v>
      </c>
      <c r="M314" s="855"/>
      <c r="N314" s="245"/>
      <c r="O314" s="245" t="s">
        <v>572</v>
      </c>
      <c r="P314" s="257"/>
      <c r="Q314" s="176" t="s">
        <v>573</v>
      </c>
      <c r="R314" s="273"/>
      <c r="S314" s="274"/>
      <c r="T314" s="273"/>
      <c r="U314" s="273"/>
      <c r="V314" s="273"/>
      <c r="W314" s="273"/>
      <c r="X314" s="274"/>
      <c r="Y314" s="275">
        <v>137650000</v>
      </c>
      <c r="Z314" s="275">
        <v>0</v>
      </c>
      <c r="AA314" s="296"/>
      <c r="AB314" s="297">
        <v>6000000</v>
      </c>
      <c r="AC314" s="297">
        <f t="shared" si="110"/>
        <v>0</v>
      </c>
      <c r="AD314" s="297">
        <f>+AB314-AC314</f>
        <v>6000000</v>
      </c>
      <c r="AE314" s="297">
        <v>0</v>
      </c>
      <c r="AF314" s="297">
        <v>0</v>
      </c>
      <c r="AG314" s="297">
        <v>0</v>
      </c>
      <c r="AH314" s="297">
        <v>0</v>
      </c>
      <c r="AI314" s="297">
        <v>0</v>
      </c>
      <c r="AJ314" s="297">
        <v>0</v>
      </c>
      <c r="AK314" s="297">
        <v>0</v>
      </c>
      <c r="AL314" s="297">
        <v>0</v>
      </c>
      <c r="AM314" s="297">
        <v>0</v>
      </c>
      <c r="AN314" s="297">
        <v>0</v>
      </c>
      <c r="AO314" s="297">
        <v>0</v>
      </c>
      <c r="AP314" s="297">
        <v>0</v>
      </c>
      <c r="AQ314" s="296"/>
      <c r="AR314" s="297">
        <f>+Y314-Z314-AC314-AD314</f>
        <v>131650000</v>
      </c>
      <c r="AS314" s="313" t="s">
        <v>137</v>
      </c>
      <c r="AT314" s="313" t="s">
        <v>137</v>
      </c>
      <c r="AU314" s="176" t="s">
        <v>190</v>
      </c>
    </row>
    <row r="315" spans="1:49" s="217" customFormat="1" ht="25.5" customHeight="1" outlineLevel="1">
      <c r="A315" s="215" t="s">
        <v>125</v>
      </c>
      <c r="B315" s="247"/>
      <c r="C315" s="247"/>
      <c r="D315" s="248"/>
      <c r="E315" s="249"/>
      <c r="F315" s="249"/>
      <c r="G315" s="249"/>
      <c r="H315" s="249"/>
      <c r="I315" s="249"/>
      <c r="J315" s="247"/>
      <c r="K315" s="259"/>
      <c r="L315" s="248"/>
      <c r="M315" s="248"/>
      <c r="N315" s="250"/>
      <c r="O315" s="250"/>
      <c r="P315" s="250"/>
      <c r="Q315" s="260" t="s">
        <v>201</v>
      </c>
      <c r="R315" s="278"/>
      <c r="S315" s="279"/>
      <c r="T315" s="279"/>
      <c r="U315" s="279"/>
      <c r="V315" s="279"/>
      <c r="W315" s="279"/>
      <c r="X315" s="281"/>
      <c r="Y315" s="286">
        <f>SUBTOTAL(9,Y312:Y314)</f>
        <v>529934000</v>
      </c>
      <c r="Z315" s="286">
        <f>SUBTOTAL(9,Z312:Z314)</f>
        <v>0</v>
      </c>
      <c r="AA315" s="303"/>
      <c r="AB315" s="286">
        <f t="shared" ref="AB315:AD315" si="121">SUBTOTAL(9,AB312:AB314)</f>
        <v>66000000</v>
      </c>
      <c r="AC315" s="286">
        <f t="shared" si="121"/>
        <v>0</v>
      </c>
      <c r="AD315" s="286">
        <f t="shared" si="121"/>
        <v>66000000</v>
      </c>
      <c r="AE315" s="286">
        <f t="shared" ref="AE315:AP315" si="122">SUM(AE312:AE314)</f>
        <v>0</v>
      </c>
      <c r="AF315" s="286">
        <f t="shared" si="122"/>
        <v>0</v>
      </c>
      <c r="AG315" s="286">
        <f t="shared" si="122"/>
        <v>0</v>
      </c>
      <c r="AH315" s="286">
        <f t="shared" si="122"/>
        <v>0</v>
      </c>
      <c r="AI315" s="286">
        <f t="shared" si="122"/>
        <v>0</v>
      </c>
      <c r="AJ315" s="286">
        <f t="shared" si="122"/>
        <v>0</v>
      </c>
      <c r="AK315" s="286">
        <f t="shared" si="122"/>
        <v>0</v>
      </c>
      <c r="AL315" s="286">
        <f t="shared" si="122"/>
        <v>0</v>
      </c>
      <c r="AM315" s="286">
        <f t="shared" si="122"/>
        <v>0</v>
      </c>
      <c r="AN315" s="286">
        <f t="shared" si="122"/>
        <v>0</v>
      </c>
      <c r="AO315" s="286">
        <f t="shared" si="122"/>
        <v>0</v>
      </c>
      <c r="AP315" s="286">
        <f t="shared" si="122"/>
        <v>0</v>
      </c>
      <c r="AQ315" s="287"/>
      <c r="AR315" s="286">
        <f>+Y315-Z315-AC315-AD315</f>
        <v>463934000</v>
      </c>
      <c r="AS315" s="315"/>
      <c r="AT315" s="315"/>
      <c r="AU315" s="220"/>
    </row>
    <row r="316" spans="1:49" ht="18.75" customHeight="1" outlineLevel="1">
      <c r="A316" s="215" t="s">
        <v>125</v>
      </c>
      <c r="B316" s="249"/>
      <c r="C316" s="249"/>
      <c r="D316" s="250"/>
      <c r="E316" s="249"/>
      <c r="F316" s="249"/>
      <c r="G316" s="249"/>
      <c r="H316" s="249"/>
      <c r="I316" s="249"/>
      <c r="J316" s="249"/>
      <c r="K316" s="261"/>
      <c r="L316" s="250"/>
      <c r="M316" s="250"/>
      <c r="N316" s="250"/>
      <c r="O316" s="250"/>
      <c r="P316" s="250"/>
      <c r="Q316" s="261"/>
      <c r="R316" s="283"/>
      <c r="S316" s="283"/>
      <c r="T316" s="283"/>
      <c r="U316" s="283"/>
      <c r="V316" s="283"/>
      <c r="W316" s="283"/>
      <c r="X316" s="283"/>
      <c r="Y316" s="284"/>
      <c r="Z316" s="284"/>
      <c r="AA316" s="301"/>
      <c r="AB316" s="301"/>
      <c r="AC316" s="301"/>
      <c r="AD316" s="301"/>
      <c r="AE316" s="301"/>
      <c r="AF316" s="301"/>
      <c r="AG316" s="301"/>
      <c r="AH316" s="301"/>
      <c r="AI316" s="301"/>
      <c r="AJ316" s="301"/>
      <c r="AK316" s="301"/>
      <c r="AL316" s="301"/>
      <c r="AM316" s="301"/>
      <c r="AN316" s="301"/>
      <c r="AO316" s="301"/>
      <c r="AP316" s="301"/>
      <c r="AQ316" s="301"/>
      <c r="AR316" s="301"/>
      <c r="AS316" s="316"/>
      <c r="AT316" s="316"/>
      <c r="AU316" s="317"/>
    </row>
    <row r="317" spans="1:49" s="219" customFormat="1" ht="24.75" customHeight="1" outlineLevel="1">
      <c r="A317" s="215" t="s">
        <v>125</v>
      </c>
      <c r="B317" s="251"/>
      <c r="C317" s="249"/>
      <c r="D317" s="250"/>
      <c r="E317" s="249"/>
      <c r="F317" s="249"/>
      <c r="G317" s="249"/>
      <c r="H317" s="249"/>
      <c r="I317" s="249"/>
      <c r="J317" s="251"/>
      <c r="K317" s="263"/>
      <c r="L317" s="252"/>
      <c r="M317" s="252"/>
      <c r="N317" s="252"/>
      <c r="O317" s="252"/>
      <c r="P317" s="252"/>
      <c r="Q317" s="117" t="s">
        <v>574</v>
      </c>
      <c r="R317" s="288"/>
      <c r="S317" s="289"/>
      <c r="T317" s="289"/>
      <c r="U317" s="289"/>
      <c r="V317" s="289"/>
      <c r="W317" s="289"/>
      <c r="X317" s="290"/>
      <c r="Y317" s="118">
        <f>+Y309+Y315</f>
        <v>4231086930</v>
      </c>
      <c r="Z317" s="118">
        <f>+Z309+Z315</f>
        <v>468557253</v>
      </c>
      <c r="AA317" s="304"/>
      <c r="AB317" s="118">
        <f t="shared" ref="AB317:AI317" si="123">+AB309+AB315</f>
        <v>2461286911</v>
      </c>
      <c r="AC317" s="118">
        <f t="shared" si="123"/>
        <v>1687603630</v>
      </c>
      <c r="AD317" s="118">
        <f t="shared" si="123"/>
        <v>773683281</v>
      </c>
      <c r="AE317" s="118">
        <f t="shared" si="123"/>
        <v>0</v>
      </c>
      <c r="AF317" s="118">
        <f t="shared" si="123"/>
        <v>0</v>
      </c>
      <c r="AG317" s="118">
        <f t="shared" si="123"/>
        <v>0</v>
      </c>
      <c r="AH317" s="118">
        <f t="shared" si="123"/>
        <v>0</v>
      </c>
      <c r="AI317" s="118">
        <f t="shared" si="123"/>
        <v>0</v>
      </c>
      <c r="AJ317" s="118">
        <v>152779821</v>
      </c>
      <c r="AK317" s="118">
        <f t="shared" ref="AK317:AP317" si="124">+AK309+AK315</f>
        <v>290464592</v>
      </c>
      <c r="AL317" s="118">
        <f t="shared" si="124"/>
        <v>239953238</v>
      </c>
      <c r="AM317" s="118">
        <f t="shared" si="124"/>
        <v>551379405</v>
      </c>
      <c r="AN317" s="118">
        <f t="shared" si="124"/>
        <v>98515801</v>
      </c>
      <c r="AO317" s="118">
        <f t="shared" si="124"/>
        <v>218405582</v>
      </c>
      <c r="AP317" s="118">
        <f t="shared" si="124"/>
        <v>136105191</v>
      </c>
      <c r="AQ317" s="318"/>
      <c r="AR317" s="118">
        <f>+Y317-Z317-AC317-AD317</f>
        <v>1301242766</v>
      </c>
      <c r="AS317" s="333"/>
      <c r="AT317" s="333"/>
      <c r="AU317" s="320"/>
    </row>
    <row r="318" spans="1:49" ht="18.75" customHeight="1" outlineLevel="1">
      <c r="A318" s="215" t="s">
        <v>125</v>
      </c>
      <c r="B318" s="249"/>
      <c r="C318" s="249"/>
      <c r="D318" s="250"/>
      <c r="E318" s="249"/>
      <c r="F318" s="249"/>
      <c r="G318" s="249"/>
      <c r="H318" s="249"/>
      <c r="I318" s="249"/>
      <c r="J318" s="249"/>
      <c r="K318" s="261"/>
      <c r="L318" s="250"/>
      <c r="M318" s="250"/>
      <c r="N318" s="250"/>
      <c r="O318" s="250"/>
      <c r="P318" s="250"/>
      <c r="Q318" s="261"/>
      <c r="R318" s="283"/>
      <c r="S318" s="283"/>
      <c r="T318" s="283"/>
      <c r="U318" s="283"/>
      <c r="V318" s="283"/>
      <c r="W318" s="283"/>
      <c r="X318" s="283"/>
      <c r="Y318" s="284"/>
      <c r="Z318" s="284"/>
      <c r="AA318" s="301"/>
      <c r="AB318" s="301"/>
      <c r="AC318" s="301"/>
      <c r="AD318" s="301"/>
      <c r="AE318" s="301"/>
      <c r="AF318" s="301"/>
      <c r="AG318" s="301"/>
      <c r="AH318" s="301"/>
      <c r="AI318" s="301"/>
      <c r="AJ318" s="301"/>
      <c r="AK318" s="301"/>
      <c r="AL318" s="301"/>
      <c r="AM318" s="301"/>
      <c r="AN318" s="301"/>
      <c r="AO318" s="301"/>
      <c r="AP318" s="301"/>
      <c r="AQ318" s="301"/>
      <c r="AR318" s="301"/>
      <c r="AS318" s="316"/>
      <c r="AT318" s="316"/>
      <c r="AU318" s="317"/>
    </row>
    <row r="319" spans="1:49" ht="26.25" customHeight="1" outlineLevel="1">
      <c r="A319" s="215" t="s">
        <v>125</v>
      </c>
      <c r="B319" s="249"/>
      <c r="C319" s="249"/>
      <c r="D319" s="250"/>
      <c r="E319" s="249"/>
      <c r="F319" s="249"/>
      <c r="G319" s="249"/>
      <c r="H319" s="249"/>
      <c r="I319" s="249"/>
      <c r="J319" s="249"/>
      <c r="K319" s="261"/>
      <c r="L319" s="250"/>
      <c r="M319" s="250"/>
      <c r="N319" s="250"/>
      <c r="O319" s="250"/>
      <c r="P319" s="250"/>
      <c r="Q319" s="264" t="s">
        <v>575</v>
      </c>
      <c r="R319" s="283"/>
      <c r="S319" s="283"/>
      <c r="T319" s="283"/>
      <c r="U319" s="283"/>
      <c r="V319" s="283"/>
      <c r="W319" s="283"/>
      <c r="X319" s="283"/>
      <c r="Y319" s="284"/>
      <c r="Z319" s="284"/>
      <c r="AA319" s="301"/>
      <c r="AB319" s="301"/>
      <c r="AC319" s="301"/>
      <c r="AD319" s="301"/>
      <c r="AE319" s="301"/>
      <c r="AF319" s="301"/>
      <c r="AG319" s="301"/>
      <c r="AH319" s="301"/>
      <c r="AI319" s="301"/>
      <c r="AJ319" s="301"/>
      <c r="AK319" s="301"/>
      <c r="AL319" s="301"/>
      <c r="AM319" s="301"/>
      <c r="AN319" s="301"/>
      <c r="AO319" s="301"/>
      <c r="AP319" s="301"/>
      <c r="AQ319" s="301"/>
      <c r="AR319" s="301"/>
      <c r="AS319" s="316"/>
      <c r="AT319" s="316"/>
      <c r="AU319" s="317"/>
    </row>
    <row r="320" spans="1:49" s="216" customFormat="1" ht="15" customHeight="1" outlineLevel="1">
      <c r="A320" s="215" t="s">
        <v>125</v>
      </c>
      <c r="B320" s="249"/>
      <c r="C320" s="249"/>
      <c r="D320" s="250"/>
      <c r="E320" s="249"/>
      <c r="F320" s="249"/>
      <c r="G320" s="249"/>
      <c r="H320" s="249"/>
      <c r="I320" s="249"/>
      <c r="J320" s="249"/>
      <c r="K320" s="261"/>
      <c r="L320" s="250"/>
      <c r="M320" s="250"/>
      <c r="N320" s="250"/>
      <c r="O320" s="250"/>
      <c r="P320" s="250"/>
      <c r="Q320" s="255"/>
      <c r="R320" s="283"/>
      <c r="S320" s="283"/>
      <c r="T320" s="283"/>
      <c r="U320" s="283"/>
      <c r="V320" s="283"/>
      <c r="W320" s="283"/>
      <c r="X320" s="283"/>
      <c r="Y320" s="284"/>
      <c r="Z320" s="284"/>
      <c r="AA320" s="301"/>
      <c r="AB320" s="301"/>
      <c r="AC320" s="301"/>
      <c r="AD320" s="301"/>
      <c r="AE320" s="301"/>
      <c r="AF320" s="301"/>
      <c r="AG320" s="301"/>
      <c r="AH320" s="301"/>
      <c r="AI320" s="301"/>
      <c r="AJ320" s="301"/>
      <c r="AK320" s="301"/>
      <c r="AL320" s="301"/>
      <c r="AM320" s="301"/>
      <c r="AN320" s="301"/>
      <c r="AO320" s="301"/>
      <c r="AP320" s="301"/>
      <c r="AQ320" s="301"/>
      <c r="AR320" s="301"/>
      <c r="AS320" s="316"/>
      <c r="AT320" s="316"/>
      <c r="AU320" s="317"/>
    </row>
    <row r="321" spans="1:49" s="217" customFormat="1" ht="25.5" customHeight="1" outlineLevel="1">
      <c r="A321" s="215" t="s">
        <v>125</v>
      </c>
      <c r="B321" s="247"/>
      <c r="C321" s="247"/>
      <c r="D321" s="248"/>
      <c r="E321" s="249"/>
      <c r="F321" s="249"/>
      <c r="G321" s="249"/>
      <c r="H321" s="249"/>
      <c r="I321" s="249"/>
      <c r="J321" s="247"/>
      <c r="K321" s="259"/>
      <c r="L321" s="248"/>
      <c r="M321" s="248"/>
      <c r="N321" s="250"/>
      <c r="O321" s="250"/>
      <c r="P321" s="250"/>
      <c r="Q321" s="99" t="s">
        <v>127</v>
      </c>
      <c r="R321" s="283"/>
      <c r="S321" s="283"/>
      <c r="T321" s="283"/>
      <c r="U321" s="283"/>
      <c r="V321" s="283"/>
      <c r="W321" s="283"/>
      <c r="X321" s="283"/>
      <c r="Y321" s="285"/>
      <c r="Z321" s="285"/>
      <c r="AA321" s="302"/>
      <c r="AB321" s="302"/>
      <c r="AC321" s="302"/>
      <c r="AD321" s="302"/>
      <c r="AE321" s="302"/>
      <c r="AF321" s="302"/>
      <c r="AG321" s="302"/>
      <c r="AH321" s="301"/>
      <c r="AI321" s="301"/>
      <c r="AJ321" s="301"/>
      <c r="AK321" s="301"/>
      <c r="AL321" s="301"/>
      <c r="AM321" s="301"/>
      <c r="AN321" s="301"/>
      <c r="AO321" s="301"/>
      <c r="AP321" s="301"/>
      <c r="AQ321" s="302"/>
      <c r="AR321" s="302"/>
      <c r="AS321" s="315"/>
      <c r="AT321" s="315"/>
      <c r="AU321" s="220"/>
    </row>
    <row r="322" spans="1:49" s="218" customFormat="1" ht="25.5" customHeight="1" outlineLevel="2">
      <c r="A322" s="215" t="s">
        <v>125</v>
      </c>
      <c r="B322" s="151">
        <v>31</v>
      </c>
      <c r="C322" s="151" t="s">
        <v>128</v>
      </c>
      <c r="D322" s="245" t="s">
        <v>129</v>
      </c>
      <c r="E322" s="151" t="s">
        <v>169</v>
      </c>
      <c r="F322" s="151" t="s">
        <v>131</v>
      </c>
      <c r="G322" s="151" t="s">
        <v>33</v>
      </c>
      <c r="H322" s="151" t="s">
        <v>53</v>
      </c>
      <c r="I322" s="256">
        <v>16</v>
      </c>
      <c r="J322" s="151" t="s">
        <v>81</v>
      </c>
      <c r="K322" s="176" t="s">
        <v>132</v>
      </c>
      <c r="L322" s="245">
        <v>30117891</v>
      </c>
      <c r="M322" s="855"/>
      <c r="N322" s="245" t="s">
        <v>337</v>
      </c>
      <c r="O322" s="245" t="s">
        <v>576</v>
      </c>
      <c r="P322" s="245"/>
      <c r="Q322" s="176" t="s">
        <v>577</v>
      </c>
      <c r="R322" s="273"/>
      <c r="S322" s="274"/>
      <c r="T322" s="273"/>
      <c r="U322" s="273"/>
      <c r="V322" s="273"/>
      <c r="W322" s="273"/>
      <c r="X322" s="274"/>
      <c r="Y322" s="275">
        <v>254664000</v>
      </c>
      <c r="Z322" s="275">
        <v>229728193</v>
      </c>
      <c r="AA322" s="296"/>
      <c r="AB322" s="297">
        <f>13882496+3802689</f>
        <v>17685185</v>
      </c>
      <c r="AC322" s="297">
        <f t="shared" si="110"/>
        <v>17685185</v>
      </c>
      <c r="AD322" s="297">
        <f t="shared" ref="AD322:AD328" si="125">+AB322-AC322</f>
        <v>0</v>
      </c>
      <c r="AE322" s="297">
        <v>0</v>
      </c>
      <c r="AF322" s="297">
        <v>0</v>
      </c>
      <c r="AG322" s="297">
        <v>0</v>
      </c>
      <c r="AH322" s="297">
        <v>0</v>
      </c>
      <c r="AI322" s="297">
        <v>0</v>
      </c>
      <c r="AJ322" s="297">
        <v>0</v>
      </c>
      <c r="AK322" s="297">
        <v>0</v>
      </c>
      <c r="AL322" s="297">
        <v>0</v>
      </c>
      <c r="AM322" s="297">
        <v>0</v>
      </c>
      <c r="AN322" s="297">
        <v>0</v>
      </c>
      <c r="AO322" s="297">
        <v>17685185</v>
      </c>
      <c r="AP322" s="297">
        <v>0</v>
      </c>
      <c r="AQ322" s="296"/>
      <c r="AR322" s="297">
        <f t="shared" ref="AR322:AR329" si="126">+Y322-Z322-AC322-AD322</f>
        <v>7250622</v>
      </c>
      <c r="AS322" s="313" t="s">
        <v>137</v>
      </c>
      <c r="AT322" s="313" t="s">
        <v>137</v>
      </c>
      <c r="AU322" s="176" t="s">
        <v>138</v>
      </c>
    </row>
    <row r="323" spans="1:49" s="218" customFormat="1" ht="25.5" customHeight="1" outlineLevel="2">
      <c r="A323" s="215" t="s">
        <v>125</v>
      </c>
      <c r="B323" s="151">
        <v>31</v>
      </c>
      <c r="C323" s="151" t="s">
        <v>128</v>
      </c>
      <c r="D323" s="245" t="s">
        <v>129</v>
      </c>
      <c r="E323" s="151" t="s">
        <v>130</v>
      </c>
      <c r="F323" s="151" t="s">
        <v>140</v>
      </c>
      <c r="G323" s="151" t="s">
        <v>33</v>
      </c>
      <c r="H323" s="151" t="s">
        <v>53</v>
      </c>
      <c r="I323" s="256">
        <v>16</v>
      </c>
      <c r="J323" s="151" t="s">
        <v>81</v>
      </c>
      <c r="K323" s="176" t="s">
        <v>132</v>
      </c>
      <c r="L323" s="245">
        <v>30390477</v>
      </c>
      <c r="M323" s="855"/>
      <c r="N323" s="245" t="e">
        <v>#N/A</v>
      </c>
      <c r="O323" s="245" t="s">
        <v>578</v>
      </c>
      <c r="P323" s="245"/>
      <c r="Q323" s="176" t="s">
        <v>579</v>
      </c>
      <c r="R323" s="273" t="s">
        <v>580</v>
      </c>
      <c r="S323" s="274"/>
      <c r="T323" s="273"/>
      <c r="U323" s="273"/>
      <c r="V323" s="273"/>
      <c r="W323" s="273"/>
      <c r="X323" s="274"/>
      <c r="Y323" s="275">
        <v>106267000</v>
      </c>
      <c r="Z323" s="275">
        <v>75175000</v>
      </c>
      <c r="AA323" s="296"/>
      <c r="AB323" s="297">
        <f>+Y323-Z323</f>
        <v>31092000</v>
      </c>
      <c r="AC323" s="297">
        <f t="shared" si="110"/>
        <v>18426870</v>
      </c>
      <c r="AD323" s="297">
        <f t="shared" si="125"/>
        <v>12665130</v>
      </c>
      <c r="AE323" s="297">
        <v>0</v>
      </c>
      <c r="AF323" s="297">
        <v>0</v>
      </c>
      <c r="AG323" s="297">
        <v>0</v>
      </c>
      <c r="AH323" s="297">
        <v>0</v>
      </c>
      <c r="AI323" s="297">
        <v>0</v>
      </c>
      <c r="AJ323" s="297">
        <v>0</v>
      </c>
      <c r="AK323" s="297">
        <v>0</v>
      </c>
      <c r="AL323" s="297">
        <v>18426870</v>
      </c>
      <c r="AM323" s="297">
        <v>0</v>
      </c>
      <c r="AN323" s="297">
        <v>0</v>
      </c>
      <c r="AO323" s="297">
        <v>0</v>
      </c>
      <c r="AP323" s="297">
        <v>0</v>
      </c>
      <c r="AQ323" s="296"/>
      <c r="AR323" s="297">
        <f t="shared" si="126"/>
        <v>0</v>
      </c>
      <c r="AS323" s="313" t="s">
        <v>137</v>
      </c>
      <c r="AT323" s="313" t="s">
        <v>137</v>
      </c>
      <c r="AU323" s="176" t="s">
        <v>138</v>
      </c>
    </row>
    <row r="324" spans="1:49" s="217" customFormat="1" ht="25.5" customHeight="1" outlineLevel="1">
      <c r="A324" s="215" t="s">
        <v>125</v>
      </c>
      <c r="B324" s="151">
        <v>31</v>
      </c>
      <c r="C324" s="151" t="s">
        <v>196</v>
      </c>
      <c r="D324" s="245" t="s">
        <v>129</v>
      </c>
      <c r="E324" s="151" t="s">
        <v>169</v>
      </c>
      <c r="F324" s="151" t="s">
        <v>131</v>
      </c>
      <c r="G324" s="151" t="s">
        <v>33</v>
      </c>
      <c r="H324" s="151" t="s">
        <v>53</v>
      </c>
      <c r="I324" s="256">
        <v>16</v>
      </c>
      <c r="J324" s="151" t="s">
        <v>81</v>
      </c>
      <c r="K324" s="176" t="s">
        <v>202</v>
      </c>
      <c r="L324" s="245">
        <v>30117895</v>
      </c>
      <c r="M324" s="855"/>
      <c r="N324" s="245"/>
      <c r="O324" s="245" t="s">
        <v>581</v>
      </c>
      <c r="P324" s="257"/>
      <c r="Q324" s="176" t="s">
        <v>582</v>
      </c>
      <c r="R324" s="273"/>
      <c r="S324" s="274"/>
      <c r="T324" s="273"/>
      <c r="U324" s="273"/>
      <c r="V324" s="273"/>
      <c r="W324" s="273"/>
      <c r="X324" s="274"/>
      <c r="Y324" s="275">
        <v>6470000</v>
      </c>
      <c r="Z324" s="275">
        <v>6470000</v>
      </c>
      <c r="AA324" s="296"/>
      <c r="AB324" s="297">
        <v>0</v>
      </c>
      <c r="AC324" s="297">
        <f t="shared" si="110"/>
        <v>0</v>
      </c>
      <c r="AD324" s="297">
        <f t="shared" si="125"/>
        <v>0</v>
      </c>
      <c r="AE324" s="297">
        <v>0</v>
      </c>
      <c r="AF324" s="297">
        <v>0</v>
      </c>
      <c r="AG324" s="297">
        <v>0</v>
      </c>
      <c r="AH324" s="297">
        <v>0</v>
      </c>
      <c r="AI324" s="297">
        <v>0</v>
      </c>
      <c r="AJ324" s="297">
        <v>0</v>
      </c>
      <c r="AK324" s="297">
        <v>0</v>
      </c>
      <c r="AL324" s="297">
        <v>0</v>
      </c>
      <c r="AM324" s="297">
        <v>0</v>
      </c>
      <c r="AN324" s="297">
        <v>0</v>
      </c>
      <c r="AO324" s="297">
        <v>0</v>
      </c>
      <c r="AP324" s="297">
        <v>0</v>
      </c>
      <c r="AQ324" s="296"/>
      <c r="AR324" s="297">
        <f t="shared" si="126"/>
        <v>0</v>
      </c>
      <c r="AS324" s="313" t="s">
        <v>137</v>
      </c>
      <c r="AT324" s="313" t="s">
        <v>1475</v>
      </c>
      <c r="AU324" s="176" t="s">
        <v>301</v>
      </c>
      <c r="AW324" s="218"/>
    </row>
    <row r="325" spans="1:49" s="218" customFormat="1" ht="25.5" customHeight="1" outlineLevel="2">
      <c r="A325" s="215" t="s">
        <v>125</v>
      </c>
      <c r="B325" s="151">
        <v>31</v>
      </c>
      <c r="C325" s="151" t="s">
        <v>128</v>
      </c>
      <c r="D325" s="245" t="s">
        <v>168</v>
      </c>
      <c r="E325" s="151" t="s">
        <v>169</v>
      </c>
      <c r="F325" s="151" t="s">
        <v>140</v>
      </c>
      <c r="G325" s="151" t="s">
        <v>33</v>
      </c>
      <c r="H325" s="151" t="s">
        <v>53</v>
      </c>
      <c r="I325" s="256">
        <v>16</v>
      </c>
      <c r="J325" s="151" t="s">
        <v>80</v>
      </c>
      <c r="K325" s="176" t="s">
        <v>132</v>
      </c>
      <c r="L325" s="245">
        <v>30115466</v>
      </c>
      <c r="M325" s="855"/>
      <c r="N325" s="245" t="s">
        <v>337</v>
      </c>
      <c r="O325" s="245" t="s">
        <v>583</v>
      </c>
      <c r="P325" s="257" t="s">
        <v>584</v>
      </c>
      <c r="Q325" s="176" t="s">
        <v>585</v>
      </c>
      <c r="R325" s="273"/>
      <c r="S325" s="274"/>
      <c r="T325" s="273"/>
      <c r="U325" s="273"/>
      <c r="V325" s="273"/>
      <c r="W325" s="273"/>
      <c r="X325" s="274"/>
      <c r="Y325" s="275">
        <v>274442000</v>
      </c>
      <c r="Z325" s="275">
        <v>0</v>
      </c>
      <c r="AA325" s="296"/>
      <c r="AB325" s="297">
        <f>50000000+224442000</f>
        <v>274442000</v>
      </c>
      <c r="AC325" s="297">
        <f t="shared" si="110"/>
        <v>192840721</v>
      </c>
      <c r="AD325" s="297">
        <f t="shared" si="125"/>
        <v>81601279</v>
      </c>
      <c r="AE325" s="297">
        <v>0</v>
      </c>
      <c r="AF325" s="297">
        <v>0</v>
      </c>
      <c r="AG325" s="297">
        <v>0</v>
      </c>
      <c r="AH325" s="297">
        <v>0</v>
      </c>
      <c r="AI325" s="297">
        <v>0</v>
      </c>
      <c r="AJ325" s="297">
        <v>52546846</v>
      </c>
      <c r="AK325" s="297">
        <v>46265179</v>
      </c>
      <c r="AL325" s="297">
        <v>40581485</v>
      </c>
      <c r="AM325" s="297">
        <v>0</v>
      </c>
      <c r="AN325" s="297">
        <v>51108782</v>
      </c>
      <c r="AO325" s="297">
        <v>1235000</v>
      </c>
      <c r="AP325" s="297">
        <v>1103429</v>
      </c>
      <c r="AQ325" s="296"/>
      <c r="AR325" s="297">
        <f t="shared" si="126"/>
        <v>0</v>
      </c>
      <c r="AS325" s="313" t="s">
        <v>1611</v>
      </c>
      <c r="AT325" s="313" t="s">
        <v>1611</v>
      </c>
      <c r="AU325" s="176" t="s">
        <v>138</v>
      </c>
    </row>
    <row r="326" spans="1:49" s="218" customFormat="1" ht="25.5" customHeight="1" outlineLevel="2">
      <c r="A326" s="215" t="s">
        <v>125</v>
      </c>
      <c r="B326" s="151">
        <v>29</v>
      </c>
      <c r="C326" s="151" t="s">
        <v>128</v>
      </c>
      <c r="D326" s="245" t="s">
        <v>129</v>
      </c>
      <c r="E326" s="151" t="s">
        <v>169</v>
      </c>
      <c r="F326" s="151" t="s">
        <v>131</v>
      </c>
      <c r="G326" s="151" t="s">
        <v>33</v>
      </c>
      <c r="H326" s="151" t="s">
        <v>53</v>
      </c>
      <c r="I326" s="256">
        <v>16</v>
      </c>
      <c r="J326" s="151" t="s">
        <v>81</v>
      </c>
      <c r="K326" s="176" t="s">
        <v>132</v>
      </c>
      <c r="L326" s="245">
        <v>40003228</v>
      </c>
      <c r="M326" s="855"/>
      <c r="N326" s="245" t="e">
        <v>#N/A</v>
      </c>
      <c r="O326" s="245" t="s">
        <v>586</v>
      </c>
      <c r="P326" s="257" t="s">
        <v>587</v>
      </c>
      <c r="Q326" s="176" t="s">
        <v>588</v>
      </c>
      <c r="R326" s="273"/>
      <c r="S326" s="274"/>
      <c r="T326" s="273"/>
      <c r="U326" s="273"/>
      <c r="V326" s="273"/>
      <c r="W326" s="273"/>
      <c r="X326" s="274"/>
      <c r="Y326" s="275">
        <v>170000000</v>
      </c>
      <c r="Z326" s="275">
        <v>0</v>
      </c>
      <c r="AA326" s="296"/>
      <c r="AB326" s="297">
        <v>170000000</v>
      </c>
      <c r="AC326" s="297">
        <f t="shared" si="110"/>
        <v>169999830</v>
      </c>
      <c r="AD326" s="297">
        <f t="shared" si="125"/>
        <v>170</v>
      </c>
      <c r="AE326" s="297">
        <v>0</v>
      </c>
      <c r="AF326" s="297">
        <v>0</v>
      </c>
      <c r="AG326" s="297">
        <v>0</v>
      </c>
      <c r="AH326" s="297">
        <v>0</v>
      </c>
      <c r="AI326" s="297">
        <v>0</v>
      </c>
      <c r="AJ326" s="297">
        <v>0</v>
      </c>
      <c r="AK326" s="297">
        <v>0</v>
      </c>
      <c r="AL326" s="297">
        <v>0</v>
      </c>
      <c r="AM326" s="297">
        <v>0</v>
      </c>
      <c r="AN326" s="297">
        <v>0</v>
      </c>
      <c r="AO326" s="297">
        <v>169999830</v>
      </c>
      <c r="AP326" s="297">
        <v>0</v>
      </c>
      <c r="AQ326" s="296"/>
      <c r="AR326" s="297">
        <f t="shared" si="126"/>
        <v>0</v>
      </c>
      <c r="AS326" s="313" t="s">
        <v>148</v>
      </c>
      <c r="AT326" s="313" t="s">
        <v>1464</v>
      </c>
      <c r="AU326" s="176" t="s">
        <v>138</v>
      </c>
    </row>
    <row r="327" spans="1:49" s="218" customFormat="1" ht="25.5" customHeight="1" outlineLevel="2">
      <c r="A327" s="215" t="s">
        <v>125</v>
      </c>
      <c r="B327" s="191">
        <v>33</v>
      </c>
      <c r="C327" s="191" t="s">
        <v>128</v>
      </c>
      <c r="D327" s="246" t="s">
        <v>149</v>
      </c>
      <c r="E327" s="191" t="s">
        <v>130</v>
      </c>
      <c r="F327" s="191" t="s">
        <v>140</v>
      </c>
      <c r="G327" s="191" t="s">
        <v>33</v>
      </c>
      <c r="H327" s="191" t="s">
        <v>53</v>
      </c>
      <c r="I327" s="258">
        <v>16</v>
      </c>
      <c r="J327" s="191" t="s">
        <v>83</v>
      </c>
      <c r="K327" s="192" t="s">
        <v>132</v>
      </c>
      <c r="L327" s="246" t="s">
        <v>83</v>
      </c>
      <c r="M327" s="861" t="s">
        <v>1604</v>
      </c>
      <c r="N327" s="246"/>
      <c r="O327" s="245" t="s">
        <v>183</v>
      </c>
      <c r="P327" s="246"/>
      <c r="Q327" s="192" t="s">
        <v>184</v>
      </c>
      <c r="R327" s="276"/>
      <c r="S327" s="277"/>
      <c r="T327" s="276"/>
      <c r="U327" s="276"/>
      <c r="V327" s="276"/>
      <c r="W327" s="276"/>
      <c r="X327" s="277"/>
      <c r="Y327" s="194">
        <v>100000000</v>
      </c>
      <c r="Z327" s="194">
        <f>+FRIL!J502</f>
        <v>0</v>
      </c>
      <c r="AA327" s="298"/>
      <c r="AB327" s="299">
        <v>100000000</v>
      </c>
      <c r="AC327" s="299">
        <f t="shared" si="110"/>
        <v>0</v>
      </c>
      <c r="AD327" s="299">
        <f t="shared" si="125"/>
        <v>100000000</v>
      </c>
      <c r="AE327" s="299">
        <v>0</v>
      </c>
      <c r="AF327" s="299">
        <v>0</v>
      </c>
      <c r="AG327" s="299">
        <v>0</v>
      </c>
      <c r="AH327" s="299">
        <v>0</v>
      </c>
      <c r="AI327" s="299">
        <v>0</v>
      </c>
      <c r="AJ327" s="297">
        <v>0</v>
      </c>
      <c r="AK327" s="299">
        <v>0</v>
      </c>
      <c r="AL327" s="299">
        <v>0</v>
      </c>
      <c r="AM327" s="299">
        <v>0</v>
      </c>
      <c r="AN327" s="299">
        <v>0</v>
      </c>
      <c r="AO327" s="297">
        <v>0</v>
      </c>
      <c r="AP327" s="299">
        <v>0</v>
      </c>
      <c r="AQ327" s="298"/>
      <c r="AR327" s="299">
        <f t="shared" si="126"/>
        <v>0</v>
      </c>
      <c r="AS327" s="314" t="s">
        <v>185</v>
      </c>
      <c r="AT327" s="314" t="s">
        <v>83</v>
      </c>
      <c r="AU327" s="192" t="s">
        <v>138</v>
      </c>
    </row>
    <row r="328" spans="1:49" s="218" customFormat="1" ht="25.5" customHeight="1" outlineLevel="2">
      <c r="A328" s="215" t="s">
        <v>125</v>
      </c>
      <c r="B328" s="151">
        <v>33</v>
      </c>
      <c r="C328" s="151" t="s">
        <v>128</v>
      </c>
      <c r="D328" s="245" t="s">
        <v>149</v>
      </c>
      <c r="E328" s="151" t="s">
        <v>130</v>
      </c>
      <c r="F328" s="151" t="s">
        <v>140</v>
      </c>
      <c r="G328" s="151" t="s">
        <v>33</v>
      </c>
      <c r="H328" s="151" t="s">
        <v>53</v>
      </c>
      <c r="I328" s="256">
        <v>16</v>
      </c>
      <c r="J328" s="151" t="s">
        <v>83</v>
      </c>
      <c r="K328" s="176" t="s">
        <v>132</v>
      </c>
      <c r="L328" s="245" t="s">
        <v>83</v>
      </c>
      <c r="M328" s="855"/>
      <c r="N328" s="245"/>
      <c r="O328" s="245" t="s">
        <v>183</v>
      </c>
      <c r="P328" s="245"/>
      <c r="Q328" s="176" t="s">
        <v>550</v>
      </c>
      <c r="R328" s="273"/>
      <c r="S328" s="274"/>
      <c r="T328" s="273"/>
      <c r="U328" s="273"/>
      <c r="V328" s="273"/>
      <c r="W328" s="273"/>
      <c r="X328" s="274"/>
      <c r="Y328" s="275">
        <v>200000000</v>
      </c>
      <c r="Z328" s="275">
        <f>+FRIL!J503</f>
        <v>0</v>
      </c>
      <c r="AA328" s="296"/>
      <c r="AB328" s="297">
        <v>200000000</v>
      </c>
      <c r="AC328" s="297">
        <f t="shared" si="110"/>
        <v>54939959</v>
      </c>
      <c r="AD328" s="297">
        <f t="shared" si="125"/>
        <v>145060041</v>
      </c>
      <c r="AE328" s="297">
        <v>0</v>
      </c>
      <c r="AF328" s="297">
        <v>0</v>
      </c>
      <c r="AG328" s="297">
        <v>0</v>
      </c>
      <c r="AH328" s="297">
        <v>0</v>
      </c>
      <c r="AI328" s="297">
        <v>0</v>
      </c>
      <c r="AJ328" s="297">
        <v>0</v>
      </c>
      <c r="AK328" s="297">
        <v>0</v>
      </c>
      <c r="AL328" s="297">
        <v>0</v>
      </c>
      <c r="AM328" s="297">
        <v>27514354</v>
      </c>
      <c r="AN328" s="297">
        <v>27425605</v>
      </c>
      <c r="AO328" s="297">
        <f>+FRIL!L174</f>
        <v>0</v>
      </c>
      <c r="AP328" s="297">
        <v>0</v>
      </c>
      <c r="AQ328" s="296"/>
      <c r="AR328" s="297">
        <f t="shared" si="126"/>
        <v>0</v>
      </c>
      <c r="AS328" s="313" t="s">
        <v>185</v>
      </c>
      <c r="AT328" s="313" t="s">
        <v>83</v>
      </c>
      <c r="AU328" s="176" t="s">
        <v>138</v>
      </c>
    </row>
    <row r="329" spans="1:49" s="217" customFormat="1" ht="25.5" customHeight="1" outlineLevel="1">
      <c r="A329" s="215" t="s">
        <v>125</v>
      </c>
      <c r="B329" s="247"/>
      <c r="C329" s="247"/>
      <c r="D329" s="248"/>
      <c r="E329" s="249"/>
      <c r="F329" s="249"/>
      <c r="G329" s="249"/>
      <c r="H329" s="249"/>
      <c r="I329" s="249"/>
      <c r="J329" s="247"/>
      <c r="K329" s="259"/>
      <c r="L329" s="248"/>
      <c r="M329" s="248"/>
      <c r="N329" s="250"/>
      <c r="O329" s="250"/>
      <c r="P329" s="250"/>
      <c r="Q329" s="260" t="s">
        <v>187</v>
      </c>
      <c r="R329" s="278"/>
      <c r="S329" s="279"/>
      <c r="T329" s="279"/>
      <c r="U329" s="279"/>
      <c r="V329" s="279"/>
      <c r="W329" s="279"/>
      <c r="X329" s="281"/>
      <c r="Y329" s="286">
        <f>+Y322+Y323+Y324+Y325+Y327+Y328+Y326</f>
        <v>1111843000</v>
      </c>
      <c r="Z329" s="286">
        <f t="shared" ref="Z329:AP329" si="127">+Z322+Z323+Z324+Z325+Z327+Z328+Z326</f>
        <v>311373193</v>
      </c>
      <c r="AA329" s="303"/>
      <c r="AB329" s="286">
        <f t="shared" si="127"/>
        <v>793219185</v>
      </c>
      <c r="AC329" s="286">
        <f t="shared" si="110"/>
        <v>453892565</v>
      </c>
      <c r="AD329" s="286">
        <f t="shared" si="127"/>
        <v>339326620</v>
      </c>
      <c r="AE329" s="286">
        <f t="shared" si="127"/>
        <v>0</v>
      </c>
      <c r="AF329" s="286">
        <f t="shared" si="127"/>
        <v>0</v>
      </c>
      <c r="AG329" s="286">
        <f t="shared" si="127"/>
        <v>0</v>
      </c>
      <c r="AH329" s="286">
        <f t="shared" si="127"/>
        <v>0</v>
      </c>
      <c r="AI329" s="286">
        <f t="shared" si="127"/>
        <v>0</v>
      </c>
      <c r="AJ329" s="286">
        <v>52546846</v>
      </c>
      <c r="AK329" s="286">
        <v>46265179</v>
      </c>
      <c r="AL329" s="286">
        <v>59008355</v>
      </c>
      <c r="AM329" s="286">
        <f t="shared" si="127"/>
        <v>27514354</v>
      </c>
      <c r="AN329" s="286">
        <f t="shared" si="127"/>
        <v>78534387</v>
      </c>
      <c r="AO329" s="286">
        <f t="shared" si="127"/>
        <v>188920015</v>
      </c>
      <c r="AP329" s="286">
        <f t="shared" si="127"/>
        <v>1103429</v>
      </c>
      <c r="AQ329" s="287"/>
      <c r="AR329" s="286">
        <f t="shared" si="126"/>
        <v>7250622</v>
      </c>
      <c r="AS329" s="315"/>
      <c r="AT329" s="315"/>
      <c r="AU329" s="220"/>
    </row>
    <row r="330" spans="1:49" ht="18.75" customHeight="1" outlineLevel="1">
      <c r="A330" s="215" t="s">
        <v>125</v>
      </c>
      <c r="B330" s="249"/>
      <c r="C330" s="249"/>
      <c r="D330" s="250"/>
      <c r="E330" s="249"/>
      <c r="F330" s="249"/>
      <c r="G330" s="249"/>
      <c r="H330" s="249"/>
      <c r="I330" s="249"/>
      <c r="J330" s="249"/>
      <c r="K330" s="261"/>
      <c r="L330" s="250"/>
      <c r="M330" s="250"/>
      <c r="N330" s="250"/>
      <c r="O330" s="250"/>
      <c r="P330" s="250"/>
      <c r="Q330" s="261"/>
      <c r="R330" s="283"/>
      <c r="S330" s="283"/>
      <c r="T330" s="283"/>
      <c r="U330" s="283"/>
      <c r="V330" s="283"/>
      <c r="W330" s="283"/>
      <c r="X330" s="283"/>
      <c r="Y330" s="284"/>
      <c r="Z330" s="284"/>
      <c r="AA330" s="301"/>
      <c r="AB330" s="301"/>
      <c r="AC330" s="301"/>
      <c r="AD330" s="301"/>
      <c r="AE330" s="301"/>
      <c r="AF330" s="301"/>
      <c r="AG330" s="301"/>
      <c r="AH330" s="301"/>
      <c r="AI330" s="301"/>
      <c r="AJ330" s="301"/>
      <c r="AK330" s="301"/>
      <c r="AL330" s="301"/>
      <c r="AM330" s="301"/>
      <c r="AN330" s="301"/>
      <c r="AO330" s="301"/>
      <c r="AP330" s="301"/>
      <c r="AQ330" s="301"/>
      <c r="AR330" s="301"/>
      <c r="AS330" s="316"/>
      <c r="AT330" s="316"/>
      <c r="AU330" s="317"/>
    </row>
    <row r="331" spans="1:49" s="217" customFormat="1" ht="25.5" customHeight="1" outlineLevel="1">
      <c r="A331" s="215" t="s">
        <v>125</v>
      </c>
      <c r="B331" s="247"/>
      <c r="C331" s="247"/>
      <c r="D331" s="248"/>
      <c r="E331" s="249"/>
      <c r="F331" s="249"/>
      <c r="G331" s="249"/>
      <c r="H331" s="249"/>
      <c r="I331" s="249"/>
      <c r="J331" s="247"/>
      <c r="K331" s="259"/>
      <c r="L331" s="248"/>
      <c r="M331" s="248"/>
      <c r="N331" s="250"/>
      <c r="O331" s="250"/>
      <c r="P331" s="250"/>
      <c r="Q331" s="99" t="s">
        <v>188</v>
      </c>
      <c r="R331" s="283"/>
      <c r="S331" s="283"/>
      <c r="T331" s="283"/>
      <c r="U331" s="283"/>
      <c r="V331" s="283"/>
      <c r="W331" s="283"/>
      <c r="X331" s="283"/>
      <c r="Y331" s="285"/>
      <c r="Z331" s="285"/>
      <c r="AA331" s="302"/>
      <c r="AB331" s="302"/>
      <c r="AC331" s="302"/>
      <c r="AD331" s="302"/>
      <c r="AE331" s="302"/>
      <c r="AF331" s="302"/>
      <c r="AG331" s="302"/>
      <c r="AH331" s="301"/>
      <c r="AI331" s="301"/>
      <c r="AJ331" s="301"/>
      <c r="AK331" s="301"/>
      <c r="AL331" s="301"/>
      <c r="AM331" s="301"/>
      <c r="AN331" s="301"/>
      <c r="AO331" s="301"/>
      <c r="AP331" s="301"/>
      <c r="AQ331" s="302"/>
      <c r="AR331" s="302"/>
      <c r="AS331" s="315"/>
      <c r="AT331" s="315"/>
      <c r="AU331" s="220"/>
    </row>
    <row r="332" spans="1:49" s="217" customFormat="1" ht="25.5" customHeight="1" outlineLevel="1">
      <c r="A332" s="215" t="s">
        <v>125</v>
      </c>
      <c r="B332" s="151">
        <v>29</v>
      </c>
      <c r="C332" s="151" t="s">
        <v>196</v>
      </c>
      <c r="D332" s="245" t="s">
        <v>144</v>
      </c>
      <c r="E332" s="151" t="s">
        <v>130</v>
      </c>
      <c r="F332" s="151" t="s">
        <v>140</v>
      </c>
      <c r="G332" s="151" t="s">
        <v>33</v>
      </c>
      <c r="H332" s="151" t="s">
        <v>53</v>
      </c>
      <c r="I332" s="256">
        <v>16</v>
      </c>
      <c r="J332" s="151" t="s">
        <v>80</v>
      </c>
      <c r="K332" s="176" t="s">
        <v>132</v>
      </c>
      <c r="L332" s="245">
        <v>40007939</v>
      </c>
      <c r="M332" s="855"/>
      <c r="N332" s="245"/>
      <c r="O332" s="245" t="s">
        <v>589</v>
      </c>
      <c r="P332" s="257"/>
      <c r="Q332" s="176" t="s">
        <v>590</v>
      </c>
      <c r="R332" s="273" t="s">
        <v>591</v>
      </c>
      <c r="S332" s="274"/>
      <c r="T332" s="273"/>
      <c r="U332" s="273"/>
      <c r="V332" s="273"/>
      <c r="W332" s="273"/>
      <c r="X332" s="274"/>
      <c r="Y332" s="275">
        <v>902195624</v>
      </c>
      <c r="Z332" s="275">
        <v>0</v>
      </c>
      <c r="AA332" s="296"/>
      <c r="AB332" s="297">
        <f>902195624-42869000+42869000</f>
        <v>902195624</v>
      </c>
      <c r="AC332" s="297">
        <f t="shared" ref="AC332:AC373" si="128">SUBTOTAL(9,AE332:AP332)</f>
        <v>0</v>
      </c>
      <c r="AD332" s="297">
        <f>+AB332-AC332</f>
        <v>902195624</v>
      </c>
      <c r="AE332" s="297">
        <v>0</v>
      </c>
      <c r="AF332" s="297">
        <v>0</v>
      </c>
      <c r="AG332" s="297">
        <v>0</v>
      </c>
      <c r="AH332" s="297">
        <v>0</v>
      </c>
      <c r="AI332" s="297">
        <v>0</v>
      </c>
      <c r="AJ332" s="297">
        <v>0</v>
      </c>
      <c r="AK332" s="297">
        <v>0</v>
      </c>
      <c r="AL332" s="297">
        <v>0</v>
      </c>
      <c r="AM332" s="297">
        <v>0</v>
      </c>
      <c r="AN332" s="297">
        <v>0</v>
      </c>
      <c r="AO332" s="297">
        <v>0</v>
      </c>
      <c r="AP332" s="297">
        <v>0</v>
      </c>
      <c r="AQ332" s="296"/>
      <c r="AR332" s="297">
        <f>+Y332-Z332-AC332-AD332</f>
        <v>0</v>
      </c>
      <c r="AS332" s="313" t="s">
        <v>148</v>
      </c>
      <c r="AT332" s="313" t="s">
        <v>1464</v>
      </c>
      <c r="AU332" s="176" t="s">
        <v>200</v>
      </c>
    </row>
    <row r="333" spans="1:49" s="217" customFormat="1" ht="25.5" customHeight="1" outlineLevel="1">
      <c r="A333" s="215" t="s">
        <v>125</v>
      </c>
      <c r="B333" s="247"/>
      <c r="C333" s="247"/>
      <c r="D333" s="248"/>
      <c r="E333" s="249"/>
      <c r="F333" s="249"/>
      <c r="G333" s="249"/>
      <c r="H333" s="249"/>
      <c r="I333" s="249"/>
      <c r="J333" s="247"/>
      <c r="K333" s="259"/>
      <c r="L333" s="248"/>
      <c r="M333" s="248"/>
      <c r="N333" s="250"/>
      <c r="O333" s="250"/>
      <c r="P333" s="250"/>
      <c r="Q333" s="260" t="s">
        <v>201</v>
      </c>
      <c r="R333" s="278"/>
      <c r="S333" s="279"/>
      <c r="T333" s="279"/>
      <c r="U333" s="279"/>
      <c r="V333" s="279"/>
      <c r="W333" s="279"/>
      <c r="X333" s="281"/>
      <c r="Y333" s="286">
        <f>+Y332</f>
        <v>902195624</v>
      </c>
      <c r="Z333" s="286">
        <f t="shared" ref="Z333:AP333" si="129">+Z332</f>
        <v>0</v>
      </c>
      <c r="AA333" s="303"/>
      <c r="AB333" s="286">
        <f t="shared" si="129"/>
        <v>902195624</v>
      </c>
      <c r="AC333" s="286">
        <f t="shared" si="128"/>
        <v>0</v>
      </c>
      <c r="AD333" s="286">
        <f t="shared" si="129"/>
        <v>902195624</v>
      </c>
      <c r="AE333" s="286">
        <f t="shared" si="129"/>
        <v>0</v>
      </c>
      <c r="AF333" s="286">
        <f t="shared" si="129"/>
        <v>0</v>
      </c>
      <c r="AG333" s="286">
        <f t="shared" si="129"/>
        <v>0</v>
      </c>
      <c r="AH333" s="286">
        <f t="shared" si="129"/>
        <v>0</v>
      </c>
      <c r="AI333" s="286">
        <f t="shared" si="129"/>
        <v>0</v>
      </c>
      <c r="AJ333" s="286">
        <v>0</v>
      </c>
      <c r="AK333" s="286">
        <f t="shared" si="129"/>
        <v>0</v>
      </c>
      <c r="AL333" s="286">
        <f t="shared" si="129"/>
        <v>0</v>
      </c>
      <c r="AM333" s="286">
        <f t="shared" si="129"/>
        <v>0</v>
      </c>
      <c r="AN333" s="286">
        <f t="shared" si="129"/>
        <v>0</v>
      </c>
      <c r="AO333" s="286">
        <f t="shared" si="129"/>
        <v>0</v>
      </c>
      <c r="AP333" s="286">
        <f t="shared" si="129"/>
        <v>0</v>
      </c>
      <c r="AQ333" s="287"/>
      <c r="AR333" s="286">
        <f>+Y333-Z333-AC333-AD333</f>
        <v>0</v>
      </c>
      <c r="AS333" s="315"/>
      <c r="AT333" s="315"/>
      <c r="AU333" s="220"/>
    </row>
    <row r="334" spans="1:49" ht="18.75" customHeight="1" outlineLevel="1">
      <c r="A334" s="215" t="s">
        <v>125</v>
      </c>
      <c r="B334" s="249"/>
      <c r="C334" s="249"/>
      <c r="D334" s="250"/>
      <c r="E334" s="249"/>
      <c r="F334" s="249"/>
      <c r="G334" s="249"/>
      <c r="H334" s="249"/>
      <c r="I334" s="249"/>
      <c r="J334" s="249"/>
      <c r="K334" s="261"/>
      <c r="L334" s="250"/>
      <c r="M334" s="250"/>
      <c r="N334" s="250"/>
      <c r="O334" s="250"/>
      <c r="P334" s="250"/>
      <c r="Q334" s="261"/>
      <c r="R334" s="283"/>
      <c r="S334" s="283"/>
      <c r="T334" s="283"/>
      <c r="U334" s="283"/>
      <c r="V334" s="283"/>
      <c r="W334" s="283"/>
      <c r="X334" s="283"/>
      <c r="Y334" s="284"/>
      <c r="Z334" s="284"/>
      <c r="AA334" s="301"/>
      <c r="AB334" s="301"/>
      <c r="AC334" s="301"/>
      <c r="AD334" s="301"/>
      <c r="AE334" s="301"/>
      <c r="AF334" s="301"/>
      <c r="AG334" s="301"/>
      <c r="AH334" s="301"/>
      <c r="AI334" s="301"/>
      <c r="AJ334" s="301"/>
      <c r="AK334" s="301"/>
      <c r="AL334" s="301"/>
      <c r="AM334" s="301"/>
      <c r="AN334" s="301"/>
      <c r="AO334" s="301"/>
      <c r="AP334" s="301"/>
      <c r="AQ334" s="301"/>
      <c r="AR334" s="301"/>
      <c r="AS334" s="316"/>
      <c r="AT334" s="316"/>
      <c r="AU334" s="317"/>
    </row>
    <row r="335" spans="1:49" s="219" customFormat="1" ht="24.75" customHeight="1" outlineLevel="1">
      <c r="A335" s="215" t="s">
        <v>125</v>
      </c>
      <c r="B335" s="251"/>
      <c r="C335" s="249"/>
      <c r="D335" s="250"/>
      <c r="E335" s="249"/>
      <c r="F335" s="249"/>
      <c r="G335" s="249"/>
      <c r="H335" s="249"/>
      <c r="I335" s="249"/>
      <c r="J335" s="251"/>
      <c r="K335" s="263"/>
      <c r="L335" s="252"/>
      <c r="M335" s="252"/>
      <c r="N335" s="252"/>
      <c r="O335" s="252"/>
      <c r="P335" s="252"/>
      <c r="Q335" s="117" t="s">
        <v>594</v>
      </c>
      <c r="R335" s="288"/>
      <c r="S335" s="289"/>
      <c r="T335" s="289"/>
      <c r="U335" s="289"/>
      <c r="V335" s="289"/>
      <c r="W335" s="289"/>
      <c r="X335" s="290"/>
      <c r="Y335" s="118">
        <f>+Y329+Y333</f>
        <v>2014038624</v>
      </c>
      <c r="Z335" s="118">
        <f>+Z329+Z333</f>
        <v>311373193</v>
      </c>
      <c r="AA335" s="304"/>
      <c r="AB335" s="118">
        <f t="shared" ref="AB335:AD335" si="130">+AB329+AB333</f>
        <v>1695414809</v>
      </c>
      <c r="AC335" s="118">
        <f t="shared" si="130"/>
        <v>453892565</v>
      </c>
      <c r="AD335" s="118">
        <f t="shared" si="130"/>
        <v>1241522244</v>
      </c>
      <c r="AE335" s="118">
        <f>+AE329+AE333</f>
        <v>0</v>
      </c>
      <c r="AF335" s="118">
        <f t="shared" ref="AF335:AP335" si="131">+AF329+AF333</f>
        <v>0</v>
      </c>
      <c r="AG335" s="118">
        <f t="shared" si="131"/>
        <v>0</v>
      </c>
      <c r="AH335" s="118">
        <f t="shared" si="131"/>
        <v>0</v>
      </c>
      <c r="AI335" s="118">
        <f t="shared" si="131"/>
        <v>0</v>
      </c>
      <c r="AJ335" s="118">
        <v>52546846</v>
      </c>
      <c r="AK335" s="118">
        <f t="shared" si="131"/>
        <v>46265179</v>
      </c>
      <c r="AL335" s="118">
        <f t="shared" si="131"/>
        <v>59008355</v>
      </c>
      <c r="AM335" s="118">
        <f t="shared" si="131"/>
        <v>27514354</v>
      </c>
      <c r="AN335" s="118">
        <f t="shared" si="131"/>
        <v>78534387</v>
      </c>
      <c r="AO335" s="118">
        <f t="shared" si="131"/>
        <v>188920015</v>
      </c>
      <c r="AP335" s="118">
        <f t="shared" si="131"/>
        <v>1103429</v>
      </c>
      <c r="AQ335" s="318"/>
      <c r="AR335" s="118">
        <f>+Y335-Z335-AC335-AD335</f>
        <v>7250622</v>
      </c>
      <c r="AS335" s="333"/>
      <c r="AT335" s="333"/>
      <c r="AU335" s="320"/>
    </row>
    <row r="336" spans="1:49" ht="18.75" customHeight="1" outlineLevel="1">
      <c r="A336" s="215" t="s">
        <v>125</v>
      </c>
      <c r="B336" s="249"/>
      <c r="C336" s="249"/>
      <c r="D336" s="250"/>
      <c r="E336" s="249"/>
      <c r="F336" s="249"/>
      <c r="G336" s="249"/>
      <c r="H336" s="249"/>
      <c r="I336" s="249"/>
      <c r="J336" s="249"/>
      <c r="K336" s="261"/>
      <c r="L336" s="250"/>
      <c r="M336" s="250"/>
      <c r="N336" s="250"/>
      <c r="O336" s="250"/>
      <c r="P336" s="250"/>
      <c r="Q336" s="261"/>
      <c r="R336" s="283"/>
      <c r="S336" s="283"/>
      <c r="T336" s="283"/>
      <c r="U336" s="283"/>
      <c r="V336" s="283"/>
      <c r="W336" s="283"/>
      <c r="X336" s="283"/>
      <c r="Y336" s="284"/>
      <c r="Z336" s="284"/>
      <c r="AA336" s="301"/>
      <c r="AB336" s="301"/>
      <c r="AC336" s="301"/>
      <c r="AD336" s="301"/>
      <c r="AE336" s="301"/>
      <c r="AF336" s="301"/>
      <c r="AG336" s="301"/>
      <c r="AH336" s="301"/>
      <c r="AI336" s="301"/>
      <c r="AJ336" s="301"/>
      <c r="AK336" s="301"/>
      <c r="AL336" s="301"/>
      <c r="AM336" s="301"/>
      <c r="AN336" s="301"/>
      <c r="AO336" s="301"/>
      <c r="AP336" s="301"/>
      <c r="AQ336" s="301"/>
      <c r="AR336" s="301"/>
      <c r="AS336" s="316"/>
      <c r="AT336" s="316"/>
      <c r="AU336" s="317"/>
    </row>
    <row r="337" spans="1:47" ht="26.25" customHeight="1" outlineLevel="1">
      <c r="A337" s="215" t="s">
        <v>125</v>
      </c>
      <c r="B337" s="249"/>
      <c r="C337" s="249"/>
      <c r="D337" s="250"/>
      <c r="E337" s="249"/>
      <c r="F337" s="249"/>
      <c r="G337" s="249"/>
      <c r="H337" s="249"/>
      <c r="I337" s="249"/>
      <c r="J337" s="249"/>
      <c r="K337" s="261"/>
      <c r="L337" s="250"/>
      <c r="M337" s="250"/>
      <c r="N337" s="250"/>
      <c r="O337" s="250"/>
      <c r="P337" s="250"/>
      <c r="Q337" s="264" t="s">
        <v>595</v>
      </c>
      <c r="R337" s="283"/>
      <c r="S337" s="283"/>
      <c r="T337" s="283"/>
      <c r="U337" s="283"/>
      <c r="V337" s="283"/>
      <c r="W337" s="283"/>
      <c r="X337" s="283"/>
      <c r="Y337" s="284"/>
      <c r="Z337" s="284"/>
      <c r="AA337" s="301"/>
      <c r="AB337" s="301"/>
      <c r="AC337" s="301"/>
      <c r="AD337" s="301"/>
      <c r="AE337" s="301"/>
      <c r="AF337" s="301"/>
      <c r="AG337" s="301"/>
      <c r="AH337" s="301"/>
      <c r="AI337" s="301"/>
      <c r="AJ337" s="301"/>
      <c r="AK337" s="301"/>
      <c r="AL337" s="301"/>
      <c r="AM337" s="301"/>
      <c r="AN337" s="301"/>
      <c r="AO337" s="301"/>
      <c r="AP337" s="301"/>
      <c r="AQ337" s="301"/>
      <c r="AR337" s="301"/>
      <c r="AS337" s="316"/>
      <c r="AT337" s="316"/>
      <c r="AU337" s="317"/>
    </row>
    <row r="338" spans="1:47" s="216" customFormat="1" ht="15" customHeight="1" outlineLevel="1">
      <c r="A338" s="215" t="s">
        <v>125</v>
      </c>
      <c r="B338" s="249"/>
      <c r="C338" s="249"/>
      <c r="D338" s="250"/>
      <c r="E338" s="249"/>
      <c r="F338" s="249"/>
      <c r="G338" s="249"/>
      <c r="H338" s="249"/>
      <c r="I338" s="249"/>
      <c r="J338" s="249"/>
      <c r="K338" s="261"/>
      <c r="L338" s="250"/>
      <c r="M338" s="250"/>
      <c r="N338" s="250"/>
      <c r="O338" s="250"/>
      <c r="P338" s="250"/>
      <c r="Q338" s="255"/>
      <c r="R338" s="283"/>
      <c r="S338" s="283"/>
      <c r="T338" s="283"/>
      <c r="U338" s="283"/>
      <c r="V338" s="283"/>
      <c r="W338" s="283"/>
      <c r="X338" s="283"/>
      <c r="Y338" s="284"/>
      <c r="Z338" s="284"/>
      <c r="AA338" s="301"/>
      <c r="AB338" s="301"/>
      <c r="AC338" s="301"/>
      <c r="AD338" s="301"/>
      <c r="AE338" s="301"/>
      <c r="AF338" s="301"/>
      <c r="AG338" s="301"/>
      <c r="AH338" s="301"/>
      <c r="AI338" s="301"/>
      <c r="AJ338" s="301"/>
      <c r="AK338" s="301"/>
      <c r="AL338" s="301"/>
      <c r="AM338" s="301"/>
      <c r="AN338" s="301"/>
      <c r="AO338" s="301"/>
      <c r="AP338" s="301"/>
      <c r="AQ338" s="301"/>
      <c r="AR338" s="301"/>
      <c r="AS338" s="316"/>
      <c r="AT338" s="316"/>
      <c r="AU338" s="317"/>
    </row>
    <row r="339" spans="1:47" s="217" customFormat="1" ht="25.5" customHeight="1" outlineLevel="1">
      <c r="A339" s="215" t="s">
        <v>125</v>
      </c>
      <c r="B339" s="247"/>
      <c r="C339" s="247"/>
      <c r="D339" s="248"/>
      <c r="E339" s="249"/>
      <c r="F339" s="249"/>
      <c r="G339" s="249"/>
      <c r="H339" s="249"/>
      <c r="I339" s="249"/>
      <c r="J339" s="247"/>
      <c r="K339" s="259"/>
      <c r="L339" s="248"/>
      <c r="M339" s="248"/>
      <c r="N339" s="250"/>
      <c r="O339" s="250"/>
      <c r="P339" s="250"/>
      <c r="Q339" s="99" t="s">
        <v>127</v>
      </c>
      <c r="R339" s="283"/>
      <c r="S339" s="283"/>
      <c r="T339" s="283"/>
      <c r="U339" s="283"/>
      <c r="V339" s="283"/>
      <c r="W339" s="283"/>
      <c r="X339" s="283"/>
      <c r="Y339" s="285"/>
      <c r="Z339" s="285"/>
      <c r="AA339" s="302"/>
      <c r="AB339" s="302"/>
      <c r="AC339" s="302"/>
      <c r="AD339" s="302"/>
      <c r="AE339" s="302"/>
      <c r="AF339" s="302"/>
      <c r="AG339" s="302"/>
      <c r="AH339" s="301"/>
      <c r="AI339" s="301"/>
      <c r="AJ339" s="301"/>
      <c r="AK339" s="301"/>
      <c r="AL339" s="301"/>
      <c r="AM339" s="301"/>
      <c r="AN339" s="301"/>
      <c r="AO339" s="301"/>
      <c r="AP339" s="301"/>
      <c r="AQ339" s="302"/>
      <c r="AR339" s="302"/>
      <c r="AS339" s="315"/>
      <c r="AT339" s="315"/>
      <c r="AU339" s="220"/>
    </row>
    <row r="340" spans="1:47" s="218" customFormat="1" ht="25.5" customHeight="1" outlineLevel="2">
      <c r="A340" s="215" t="s">
        <v>125</v>
      </c>
      <c r="B340" s="151">
        <v>31</v>
      </c>
      <c r="C340" s="151" t="s">
        <v>128</v>
      </c>
      <c r="D340" s="245" t="s">
        <v>159</v>
      </c>
      <c r="E340" s="151" t="s">
        <v>130</v>
      </c>
      <c r="F340" s="151" t="s">
        <v>140</v>
      </c>
      <c r="G340" s="151" t="s">
        <v>33</v>
      </c>
      <c r="H340" s="151" t="s">
        <v>55</v>
      </c>
      <c r="I340" s="256">
        <v>17</v>
      </c>
      <c r="J340" s="151" t="s">
        <v>80</v>
      </c>
      <c r="K340" s="176" t="s">
        <v>132</v>
      </c>
      <c r="L340" s="245">
        <v>30064230</v>
      </c>
      <c r="M340" s="855" t="s">
        <v>1608</v>
      </c>
      <c r="N340" s="245" t="s">
        <v>373</v>
      </c>
      <c r="O340" s="245" t="s">
        <v>596</v>
      </c>
      <c r="P340" s="245"/>
      <c r="Q340" s="176" t="s">
        <v>597</v>
      </c>
      <c r="R340" s="273"/>
      <c r="S340" s="274"/>
      <c r="T340" s="273"/>
      <c r="U340" s="273"/>
      <c r="V340" s="273"/>
      <c r="W340" s="273"/>
      <c r="X340" s="274"/>
      <c r="Y340" s="275">
        <v>2746936000</v>
      </c>
      <c r="Z340" s="275">
        <v>1002255904</v>
      </c>
      <c r="AA340" s="296"/>
      <c r="AB340" s="297">
        <f>957057729-3802689</f>
        <v>953255040</v>
      </c>
      <c r="AC340" s="297">
        <f t="shared" si="128"/>
        <v>74125963</v>
      </c>
      <c r="AD340" s="297">
        <f t="shared" ref="AD340:AD349" si="132">+AB340-AC340</f>
        <v>879129077</v>
      </c>
      <c r="AE340" s="297">
        <v>0</v>
      </c>
      <c r="AF340" s="297">
        <v>0</v>
      </c>
      <c r="AG340" s="297">
        <v>0</v>
      </c>
      <c r="AH340" s="297">
        <v>0</v>
      </c>
      <c r="AI340" s="297">
        <v>0</v>
      </c>
      <c r="AJ340" s="297">
        <v>0</v>
      </c>
      <c r="AK340" s="297">
        <v>0</v>
      </c>
      <c r="AL340" s="297">
        <v>0</v>
      </c>
      <c r="AM340" s="297">
        <v>2200000</v>
      </c>
      <c r="AN340" s="297">
        <v>2200000</v>
      </c>
      <c r="AO340" s="297">
        <v>67525963</v>
      </c>
      <c r="AP340" s="297">
        <v>2200000</v>
      </c>
      <c r="AQ340" s="296"/>
      <c r="AR340" s="297">
        <f t="shared" ref="AR340:AR350" si="133">+Y340-Z340-AC340-AD340</f>
        <v>791425056</v>
      </c>
      <c r="AS340" s="313" t="s">
        <v>137</v>
      </c>
      <c r="AT340" s="313" t="s">
        <v>137</v>
      </c>
      <c r="AU340" s="176" t="s">
        <v>138</v>
      </c>
    </row>
    <row r="341" spans="1:47" s="218" customFormat="1" ht="25.5" customHeight="1" outlineLevel="2">
      <c r="A341" s="215" t="s">
        <v>125</v>
      </c>
      <c r="B341" s="151">
        <v>31</v>
      </c>
      <c r="C341" s="151" t="s">
        <v>128</v>
      </c>
      <c r="D341" s="245" t="s">
        <v>129</v>
      </c>
      <c r="E341" s="151" t="s">
        <v>130</v>
      </c>
      <c r="F341" s="151" t="s">
        <v>131</v>
      </c>
      <c r="G341" s="151" t="s">
        <v>33</v>
      </c>
      <c r="H341" s="151" t="s">
        <v>55</v>
      </c>
      <c r="I341" s="256">
        <v>17</v>
      </c>
      <c r="J341" s="151" t="s">
        <v>81</v>
      </c>
      <c r="K341" s="176" t="s">
        <v>132</v>
      </c>
      <c r="L341" s="245">
        <v>40005578</v>
      </c>
      <c r="M341" s="855"/>
      <c r="N341" s="245" t="s">
        <v>337</v>
      </c>
      <c r="O341" s="245" t="s">
        <v>598</v>
      </c>
      <c r="P341" s="245"/>
      <c r="Q341" s="176" t="s">
        <v>599</v>
      </c>
      <c r="R341" s="273" t="s">
        <v>600</v>
      </c>
      <c r="S341" s="274"/>
      <c r="T341" s="273"/>
      <c r="U341" s="273"/>
      <c r="V341" s="273"/>
      <c r="W341" s="273"/>
      <c r="X341" s="274"/>
      <c r="Y341" s="326">
        <v>258669418</v>
      </c>
      <c r="Z341" s="275">
        <v>31198653</v>
      </c>
      <c r="AA341" s="296"/>
      <c r="AB341" s="297">
        <f>56524000+19576000</f>
        <v>76100000</v>
      </c>
      <c r="AC341" s="297">
        <f t="shared" si="128"/>
        <v>1100000</v>
      </c>
      <c r="AD341" s="297">
        <f t="shared" si="132"/>
        <v>75000000</v>
      </c>
      <c r="AE341" s="297">
        <v>0</v>
      </c>
      <c r="AF341" s="297">
        <v>0</v>
      </c>
      <c r="AG341" s="297">
        <v>0</v>
      </c>
      <c r="AH341" s="297">
        <v>0</v>
      </c>
      <c r="AI341" s="297">
        <v>0</v>
      </c>
      <c r="AJ341" s="297">
        <v>1100000</v>
      </c>
      <c r="AK341" s="297">
        <v>0</v>
      </c>
      <c r="AL341" s="297">
        <v>0</v>
      </c>
      <c r="AM341" s="297">
        <v>0</v>
      </c>
      <c r="AN341" s="297">
        <v>0</v>
      </c>
      <c r="AO341" s="297">
        <v>0</v>
      </c>
      <c r="AP341" s="297">
        <v>0</v>
      </c>
      <c r="AQ341" s="296"/>
      <c r="AR341" s="297">
        <f t="shared" si="133"/>
        <v>151370765</v>
      </c>
      <c r="AS341" s="313" t="s">
        <v>137</v>
      </c>
      <c r="AT341" s="313" t="s">
        <v>137</v>
      </c>
      <c r="AU341" s="176" t="s">
        <v>138</v>
      </c>
    </row>
    <row r="342" spans="1:47" s="218" customFormat="1" ht="25.5" customHeight="1" outlineLevel="2">
      <c r="A342" s="215" t="s">
        <v>125</v>
      </c>
      <c r="B342" s="151">
        <v>31</v>
      </c>
      <c r="C342" s="151" t="s">
        <v>128</v>
      </c>
      <c r="D342" s="245" t="s">
        <v>129</v>
      </c>
      <c r="E342" s="151" t="s">
        <v>130</v>
      </c>
      <c r="F342" s="151" t="s">
        <v>131</v>
      </c>
      <c r="G342" s="151" t="s">
        <v>33</v>
      </c>
      <c r="H342" s="151" t="s">
        <v>55</v>
      </c>
      <c r="I342" s="256">
        <v>17</v>
      </c>
      <c r="J342" s="151" t="s">
        <v>81</v>
      </c>
      <c r="K342" s="176" t="s">
        <v>132</v>
      </c>
      <c r="L342" s="245">
        <v>40001254</v>
      </c>
      <c r="M342" s="855"/>
      <c r="N342" s="245" t="s">
        <v>337</v>
      </c>
      <c r="O342" s="245" t="s">
        <v>601</v>
      </c>
      <c r="P342" s="245"/>
      <c r="Q342" s="176" t="s">
        <v>602</v>
      </c>
      <c r="R342" s="273" t="s">
        <v>603</v>
      </c>
      <c r="S342" s="274"/>
      <c r="T342" s="273"/>
      <c r="U342" s="273"/>
      <c r="V342" s="273"/>
      <c r="W342" s="273"/>
      <c r="X342" s="274"/>
      <c r="Y342" s="275">
        <v>248242534</v>
      </c>
      <c r="Z342" s="275">
        <v>1030000</v>
      </c>
      <c r="AA342" s="296"/>
      <c r="AB342" s="297">
        <f>67030000+73015564</f>
        <v>140045564</v>
      </c>
      <c r="AC342" s="297">
        <f t="shared" si="128"/>
        <v>66985066</v>
      </c>
      <c r="AD342" s="297">
        <f t="shared" si="132"/>
        <v>73060498</v>
      </c>
      <c r="AE342" s="297">
        <v>0</v>
      </c>
      <c r="AF342" s="297">
        <v>0</v>
      </c>
      <c r="AG342" s="297">
        <v>0</v>
      </c>
      <c r="AH342" s="297">
        <v>0</v>
      </c>
      <c r="AI342" s="297">
        <v>0</v>
      </c>
      <c r="AJ342" s="297">
        <v>1133000</v>
      </c>
      <c r="AK342" s="297">
        <v>45295885</v>
      </c>
      <c r="AL342" s="297">
        <v>20556181</v>
      </c>
      <c r="AM342" s="297">
        <v>0</v>
      </c>
      <c r="AN342" s="297">
        <v>0</v>
      </c>
      <c r="AO342" s="297">
        <v>0</v>
      </c>
      <c r="AP342" s="297">
        <v>0</v>
      </c>
      <c r="AQ342" s="296"/>
      <c r="AR342" s="297">
        <f t="shared" si="133"/>
        <v>107166970</v>
      </c>
      <c r="AS342" s="313" t="s">
        <v>137</v>
      </c>
      <c r="AT342" s="313" t="s">
        <v>137</v>
      </c>
      <c r="AU342" s="176" t="s">
        <v>138</v>
      </c>
    </row>
    <row r="343" spans="1:47" s="218" customFormat="1" ht="25.5" customHeight="1" outlineLevel="2">
      <c r="A343" s="215" t="s">
        <v>125</v>
      </c>
      <c r="B343" s="151">
        <v>31</v>
      </c>
      <c r="C343" s="151" t="s">
        <v>128</v>
      </c>
      <c r="D343" s="245" t="s">
        <v>139</v>
      </c>
      <c r="E343" s="151" t="s">
        <v>169</v>
      </c>
      <c r="F343" s="151" t="s">
        <v>140</v>
      </c>
      <c r="G343" s="151" t="s">
        <v>33</v>
      </c>
      <c r="H343" s="151" t="s">
        <v>55</v>
      </c>
      <c r="I343" s="256">
        <v>17</v>
      </c>
      <c r="J343" s="151" t="s">
        <v>80</v>
      </c>
      <c r="K343" s="176" t="s">
        <v>132</v>
      </c>
      <c r="L343" s="245">
        <v>30066636</v>
      </c>
      <c r="M343" s="855"/>
      <c r="N343" s="245" t="s">
        <v>337</v>
      </c>
      <c r="O343" s="245" t="s">
        <v>604</v>
      </c>
      <c r="P343" s="245"/>
      <c r="Q343" s="176" t="s">
        <v>605</v>
      </c>
      <c r="R343" s="273" t="s">
        <v>606</v>
      </c>
      <c r="S343" s="274"/>
      <c r="T343" s="273"/>
      <c r="U343" s="273"/>
      <c r="V343" s="273"/>
      <c r="W343" s="273"/>
      <c r="X343" s="274"/>
      <c r="Y343" s="275">
        <v>2826817000</v>
      </c>
      <c r="Z343" s="275">
        <v>1720257350</v>
      </c>
      <c r="AA343" s="296"/>
      <c r="AB343" s="297">
        <f>374231627-31245293</f>
        <v>342986334</v>
      </c>
      <c r="AC343" s="297">
        <f t="shared" si="128"/>
        <v>205357195</v>
      </c>
      <c r="AD343" s="297">
        <f t="shared" si="132"/>
        <v>137629139</v>
      </c>
      <c r="AE343" s="297">
        <v>0</v>
      </c>
      <c r="AF343" s="297">
        <v>0</v>
      </c>
      <c r="AG343" s="297">
        <v>0</v>
      </c>
      <c r="AH343" s="297">
        <v>0</v>
      </c>
      <c r="AI343" s="297">
        <v>0</v>
      </c>
      <c r="AJ343" s="297">
        <v>27380960</v>
      </c>
      <c r="AK343" s="297">
        <v>0</v>
      </c>
      <c r="AL343" s="297">
        <v>123214316</v>
      </c>
      <c r="AM343" s="297">
        <v>54761919</v>
      </c>
      <c r="AN343" s="297">
        <v>0</v>
      </c>
      <c r="AO343" s="297">
        <v>0</v>
      </c>
      <c r="AP343" s="297">
        <v>0</v>
      </c>
      <c r="AQ343" s="296"/>
      <c r="AR343" s="297">
        <f t="shared" si="133"/>
        <v>763573316</v>
      </c>
      <c r="AS343" s="313" t="s">
        <v>137</v>
      </c>
      <c r="AT343" s="313" t="s">
        <v>137</v>
      </c>
      <c r="AU343" s="176" t="s">
        <v>138</v>
      </c>
    </row>
    <row r="344" spans="1:47" s="218" customFormat="1" ht="25.5" customHeight="1" outlineLevel="2">
      <c r="A344" s="215" t="s">
        <v>125</v>
      </c>
      <c r="B344" s="151">
        <v>29</v>
      </c>
      <c r="C344" s="151" t="s">
        <v>128</v>
      </c>
      <c r="D344" s="245" t="s">
        <v>144</v>
      </c>
      <c r="E344" s="151" t="s">
        <v>169</v>
      </c>
      <c r="F344" s="151" t="s">
        <v>140</v>
      </c>
      <c r="G344" s="151" t="s">
        <v>33</v>
      </c>
      <c r="H344" s="151" t="s">
        <v>55</v>
      </c>
      <c r="I344" s="256">
        <v>17</v>
      </c>
      <c r="J344" s="151" t="s">
        <v>80</v>
      </c>
      <c r="K344" s="176" t="s">
        <v>132</v>
      </c>
      <c r="L344" s="245">
        <v>30396974</v>
      </c>
      <c r="M344" s="855"/>
      <c r="N344" s="245" t="e">
        <v>#N/A</v>
      </c>
      <c r="O344" s="245" t="s">
        <v>607</v>
      </c>
      <c r="P344" s="245"/>
      <c r="Q344" s="176" t="s">
        <v>608</v>
      </c>
      <c r="R344" s="273"/>
      <c r="S344" s="274"/>
      <c r="T344" s="273"/>
      <c r="U344" s="273"/>
      <c r="V344" s="273"/>
      <c r="W344" s="273"/>
      <c r="X344" s="274"/>
      <c r="Y344" s="275">
        <v>2414287000</v>
      </c>
      <c r="Z344" s="275">
        <v>1357741523</v>
      </c>
      <c r="AA344" s="296"/>
      <c r="AB344" s="297">
        <v>490000900</v>
      </c>
      <c r="AC344" s="297">
        <f t="shared" si="128"/>
        <v>332259377</v>
      </c>
      <c r="AD344" s="297">
        <f t="shared" si="132"/>
        <v>157741523</v>
      </c>
      <c r="AE344" s="297">
        <v>0</v>
      </c>
      <c r="AF344" s="297">
        <v>0</v>
      </c>
      <c r="AG344" s="297">
        <v>0</v>
      </c>
      <c r="AH344" s="297">
        <v>0</v>
      </c>
      <c r="AI344" s="297">
        <v>0</v>
      </c>
      <c r="AJ344" s="297">
        <v>0</v>
      </c>
      <c r="AK344" s="297">
        <v>0</v>
      </c>
      <c r="AL344" s="297">
        <v>0</v>
      </c>
      <c r="AM344" s="297">
        <v>0</v>
      </c>
      <c r="AN344" s="297">
        <v>332259377</v>
      </c>
      <c r="AO344" s="297">
        <v>0</v>
      </c>
      <c r="AP344" s="297">
        <v>0</v>
      </c>
      <c r="AQ344" s="296"/>
      <c r="AR344" s="297">
        <f t="shared" si="133"/>
        <v>566544577</v>
      </c>
      <c r="AS344" s="313" t="s">
        <v>148</v>
      </c>
      <c r="AT344" s="313" t="s">
        <v>1464</v>
      </c>
      <c r="AU344" s="176" t="s">
        <v>138</v>
      </c>
    </row>
    <row r="345" spans="1:47" s="218" customFormat="1" ht="25.5" customHeight="1" outlineLevel="2">
      <c r="A345" s="215" t="s">
        <v>125</v>
      </c>
      <c r="B345" s="151">
        <v>29</v>
      </c>
      <c r="C345" s="151" t="s">
        <v>128</v>
      </c>
      <c r="D345" s="245" t="s">
        <v>139</v>
      </c>
      <c r="E345" s="151" t="s">
        <v>130</v>
      </c>
      <c r="F345" s="151" t="s">
        <v>140</v>
      </c>
      <c r="G345" s="151" t="s">
        <v>33</v>
      </c>
      <c r="H345" s="151" t="s">
        <v>55</v>
      </c>
      <c r="I345" s="256">
        <v>17</v>
      </c>
      <c r="J345" s="151" t="s">
        <v>80</v>
      </c>
      <c r="K345" s="176" t="s">
        <v>132</v>
      </c>
      <c r="L345" s="245">
        <v>30436694</v>
      </c>
      <c r="M345" s="855"/>
      <c r="N345" s="245" t="e">
        <v>#N/A</v>
      </c>
      <c r="O345" s="245" t="s">
        <v>609</v>
      </c>
      <c r="P345" s="245"/>
      <c r="Q345" s="176" t="s">
        <v>610</v>
      </c>
      <c r="R345" s="273"/>
      <c r="S345" s="274"/>
      <c r="T345" s="273"/>
      <c r="U345" s="273"/>
      <c r="V345" s="273"/>
      <c r="W345" s="273"/>
      <c r="X345" s="274"/>
      <c r="Y345" s="275">
        <v>488214000</v>
      </c>
      <c r="Z345" s="275">
        <v>80298900</v>
      </c>
      <c r="AA345" s="296"/>
      <c r="AB345" s="297">
        <v>407915070</v>
      </c>
      <c r="AC345" s="297">
        <f t="shared" si="128"/>
        <v>0</v>
      </c>
      <c r="AD345" s="297">
        <f t="shared" si="132"/>
        <v>407915070</v>
      </c>
      <c r="AE345" s="297">
        <v>0</v>
      </c>
      <c r="AF345" s="297">
        <v>0</v>
      </c>
      <c r="AG345" s="297">
        <v>0</v>
      </c>
      <c r="AH345" s="297">
        <v>0</v>
      </c>
      <c r="AI345" s="297">
        <v>0</v>
      </c>
      <c r="AJ345" s="297">
        <v>0</v>
      </c>
      <c r="AK345" s="297">
        <v>0</v>
      </c>
      <c r="AL345" s="297">
        <v>0</v>
      </c>
      <c r="AM345" s="297">
        <v>0</v>
      </c>
      <c r="AN345" s="297">
        <v>0</v>
      </c>
      <c r="AO345" s="297">
        <v>0</v>
      </c>
      <c r="AP345" s="297">
        <v>0</v>
      </c>
      <c r="AQ345" s="296"/>
      <c r="AR345" s="297">
        <f t="shared" si="133"/>
        <v>30</v>
      </c>
      <c r="AS345" s="313" t="s">
        <v>148</v>
      </c>
      <c r="AT345" s="313" t="s">
        <v>1464</v>
      </c>
      <c r="AU345" s="176" t="s">
        <v>138</v>
      </c>
    </row>
    <row r="346" spans="1:47" s="218" customFormat="1" ht="25.5" customHeight="1" outlineLevel="2">
      <c r="A346" s="215" t="s">
        <v>125</v>
      </c>
      <c r="B346" s="151">
        <v>31</v>
      </c>
      <c r="C346" s="151" t="s">
        <v>128</v>
      </c>
      <c r="D346" s="245" t="s">
        <v>129</v>
      </c>
      <c r="E346" s="151" t="s">
        <v>130</v>
      </c>
      <c r="F346" s="151" t="s">
        <v>131</v>
      </c>
      <c r="G346" s="151" t="s">
        <v>33</v>
      </c>
      <c r="H346" s="151" t="s">
        <v>55</v>
      </c>
      <c r="I346" s="256">
        <v>17</v>
      </c>
      <c r="J346" s="151" t="s">
        <v>81</v>
      </c>
      <c r="K346" s="176" t="s">
        <v>132</v>
      </c>
      <c r="L346" s="245">
        <v>40005278</v>
      </c>
      <c r="M346" s="855"/>
      <c r="N346" s="245" t="e">
        <v>#N/A</v>
      </c>
      <c r="O346" s="245" t="s">
        <v>611</v>
      </c>
      <c r="P346" s="245"/>
      <c r="Q346" s="176" t="s">
        <v>612</v>
      </c>
      <c r="R346" s="273"/>
      <c r="S346" s="274"/>
      <c r="T346" s="273"/>
      <c r="U346" s="273"/>
      <c r="V346" s="273"/>
      <c r="W346" s="273"/>
      <c r="X346" s="274"/>
      <c r="Y346" s="275">
        <v>980817000</v>
      </c>
      <c r="Z346" s="275">
        <v>21532561</v>
      </c>
      <c r="AA346" s="296"/>
      <c r="AB346" s="297">
        <f>450817000-19576000-73015564+88831897</f>
        <v>447057333</v>
      </c>
      <c r="AC346" s="297">
        <f t="shared" si="128"/>
        <v>323318119</v>
      </c>
      <c r="AD346" s="297">
        <f t="shared" si="132"/>
        <v>123739214</v>
      </c>
      <c r="AE346" s="297">
        <v>0</v>
      </c>
      <c r="AF346" s="297">
        <v>0</v>
      </c>
      <c r="AG346" s="297">
        <v>0</v>
      </c>
      <c r="AH346" s="297">
        <v>0</v>
      </c>
      <c r="AI346" s="297">
        <v>0</v>
      </c>
      <c r="AJ346" s="297">
        <v>0</v>
      </c>
      <c r="AK346" s="297">
        <v>0</v>
      </c>
      <c r="AL346" s="297">
        <v>0</v>
      </c>
      <c r="AM346" s="297">
        <v>93397323</v>
      </c>
      <c r="AN346" s="297">
        <v>181252621</v>
      </c>
      <c r="AO346" s="297">
        <v>0</v>
      </c>
      <c r="AP346" s="297">
        <v>48668175</v>
      </c>
      <c r="AQ346" s="296"/>
      <c r="AR346" s="297">
        <f t="shared" si="133"/>
        <v>512227106</v>
      </c>
      <c r="AS346" s="313" t="s">
        <v>148</v>
      </c>
      <c r="AT346" s="313" t="s">
        <v>1464</v>
      </c>
      <c r="AU346" s="176" t="s">
        <v>138</v>
      </c>
    </row>
    <row r="347" spans="1:47" s="218" customFormat="1" ht="25.5" customHeight="1" outlineLevel="2">
      <c r="A347" s="215" t="s">
        <v>125</v>
      </c>
      <c r="B347" s="151">
        <v>31</v>
      </c>
      <c r="C347" s="151" t="s">
        <v>128</v>
      </c>
      <c r="D347" s="245" t="s">
        <v>129</v>
      </c>
      <c r="E347" s="151" t="s">
        <v>130</v>
      </c>
      <c r="F347" s="151" t="s">
        <v>140</v>
      </c>
      <c r="G347" s="151" t="s">
        <v>33</v>
      </c>
      <c r="H347" s="151" t="s">
        <v>55</v>
      </c>
      <c r="I347" s="256">
        <v>17</v>
      </c>
      <c r="J347" s="151" t="s">
        <v>81</v>
      </c>
      <c r="K347" s="176" t="s">
        <v>132</v>
      </c>
      <c r="L347" s="245">
        <v>30485313</v>
      </c>
      <c r="M347" s="855"/>
      <c r="N347" s="245" t="e">
        <v>#N/A</v>
      </c>
      <c r="O347" s="245" t="s">
        <v>613</v>
      </c>
      <c r="P347" s="257" t="s">
        <v>614</v>
      </c>
      <c r="Q347" s="176" t="s">
        <v>615</v>
      </c>
      <c r="R347" s="273"/>
      <c r="S347" s="274"/>
      <c r="T347" s="273"/>
      <c r="U347" s="273"/>
      <c r="V347" s="273"/>
      <c r="W347" s="273"/>
      <c r="X347" s="274"/>
      <c r="Y347" s="275">
        <v>468032000</v>
      </c>
      <c r="Z347" s="275">
        <v>0</v>
      </c>
      <c r="AA347" s="296"/>
      <c r="AB347" s="297">
        <v>468032000</v>
      </c>
      <c r="AC347" s="297">
        <f t="shared" si="128"/>
        <v>294209030</v>
      </c>
      <c r="AD347" s="297">
        <f t="shared" si="132"/>
        <v>173822970</v>
      </c>
      <c r="AE347" s="297">
        <v>0</v>
      </c>
      <c r="AF347" s="297">
        <v>0</v>
      </c>
      <c r="AG347" s="297">
        <v>0</v>
      </c>
      <c r="AH347" s="297">
        <v>0</v>
      </c>
      <c r="AI347" s="297">
        <v>0</v>
      </c>
      <c r="AJ347" s="297">
        <v>83369654</v>
      </c>
      <c r="AK347" s="297">
        <v>96635450</v>
      </c>
      <c r="AL347" s="297">
        <v>76593628</v>
      </c>
      <c r="AM347" s="297">
        <v>37610298</v>
      </c>
      <c r="AN347" s="297">
        <v>0</v>
      </c>
      <c r="AO347" s="297">
        <v>0</v>
      </c>
      <c r="AP347" s="297">
        <v>0</v>
      </c>
      <c r="AQ347" s="296"/>
      <c r="AR347" s="297">
        <f t="shared" si="133"/>
        <v>0</v>
      </c>
      <c r="AS347" s="313" t="s">
        <v>148</v>
      </c>
      <c r="AT347" s="313" t="s">
        <v>1464</v>
      </c>
      <c r="AU347" s="176" t="s">
        <v>138</v>
      </c>
    </row>
    <row r="348" spans="1:47" s="218" customFormat="1" ht="25.5" customHeight="1" outlineLevel="2">
      <c r="A348" s="215" t="s">
        <v>125</v>
      </c>
      <c r="B348" s="191">
        <v>33</v>
      </c>
      <c r="C348" s="191" t="s">
        <v>128</v>
      </c>
      <c r="D348" s="246" t="s">
        <v>149</v>
      </c>
      <c r="E348" s="191" t="s">
        <v>130</v>
      </c>
      <c r="F348" s="191" t="s">
        <v>140</v>
      </c>
      <c r="G348" s="191" t="s">
        <v>33</v>
      </c>
      <c r="H348" s="191" t="s">
        <v>55</v>
      </c>
      <c r="I348" s="258">
        <v>17</v>
      </c>
      <c r="J348" s="191" t="s">
        <v>83</v>
      </c>
      <c r="K348" s="192" t="s">
        <v>132</v>
      </c>
      <c r="L348" s="246" t="s">
        <v>83</v>
      </c>
      <c r="M348" s="861" t="s">
        <v>1604</v>
      </c>
      <c r="N348" s="246"/>
      <c r="O348" s="245" t="s">
        <v>183</v>
      </c>
      <c r="P348" s="246"/>
      <c r="Q348" s="192" t="s">
        <v>184</v>
      </c>
      <c r="R348" s="276"/>
      <c r="S348" s="277"/>
      <c r="T348" s="276"/>
      <c r="U348" s="276"/>
      <c r="V348" s="276"/>
      <c r="W348" s="276"/>
      <c r="X348" s="277"/>
      <c r="Y348" s="194">
        <v>100000000</v>
      </c>
      <c r="Z348" s="194">
        <f>+FRIL!J532</f>
        <v>0</v>
      </c>
      <c r="AA348" s="298"/>
      <c r="AB348" s="299">
        <v>100000000</v>
      </c>
      <c r="AC348" s="299">
        <f t="shared" si="128"/>
        <v>0</v>
      </c>
      <c r="AD348" s="299">
        <f t="shared" si="132"/>
        <v>100000000</v>
      </c>
      <c r="AE348" s="299">
        <v>0</v>
      </c>
      <c r="AF348" s="299">
        <v>0</v>
      </c>
      <c r="AG348" s="299">
        <v>0</v>
      </c>
      <c r="AH348" s="299">
        <v>0</v>
      </c>
      <c r="AI348" s="299">
        <v>0</v>
      </c>
      <c r="AJ348" s="297">
        <v>0</v>
      </c>
      <c r="AK348" s="299">
        <v>0</v>
      </c>
      <c r="AL348" s="299">
        <v>0</v>
      </c>
      <c r="AM348" s="299">
        <v>0</v>
      </c>
      <c r="AN348" s="299">
        <v>0</v>
      </c>
      <c r="AO348" s="297">
        <v>0</v>
      </c>
      <c r="AP348" s="299">
        <v>0</v>
      </c>
      <c r="AQ348" s="298"/>
      <c r="AR348" s="299">
        <f t="shared" si="133"/>
        <v>0</v>
      </c>
      <c r="AS348" s="314" t="s">
        <v>185</v>
      </c>
      <c r="AT348" s="314" t="s">
        <v>83</v>
      </c>
      <c r="AU348" s="192" t="s">
        <v>138</v>
      </c>
    </row>
    <row r="349" spans="1:47" s="218" customFormat="1" ht="25.5" customHeight="1" outlineLevel="2">
      <c r="A349" s="215" t="s">
        <v>125</v>
      </c>
      <c r="B349" s="151">
        <v>33</v>
      </c>
      <c r="C349" s="151" t="s">
        <v>128</v>
      </c>
      <c r="D349" s="245" t="s">
        <v>149</v>
      </c>
      <c r="E349" s="151" t="s">
        <v>130</v>
      </c>
      <c r="F349" s="151" t="s">
        <v>140</v>
      </c>
      <c r="G349" s="151" t="s">
        <v>33</v>
      </c>
      <c r="H349" s="151" t="s">
        <v>55</v>
      </c>
      <c r="I349" s="256">
        <v>17</v>
      </c>
      <c r="J349" s="151" t="s">
        <v>83</v>
      </c>
      <c r="K349" s="176" t="s">
        <v>132</v>
      </c>
      <c r="L349" s="245" t="s">
        <v>83</v>
      </c>
      <c r="M349" s="855"/>
      <c r="N349" s="245"/>
      <c r="O349" s="245" t="s">
        <v>183</v>
      </c>
      <c r="P349" s="245"/>
      <c r="Q349" s="176" t="s">
        <v>550</v>
      </c>
      <c r="R349" s="273"/>
      <c r="S349" s="274"/>
      <c r="T349" s="273"/>
      <c r="U349" s="273"/>
      <c r="V349" s="273"/>
      <c r="W349" s="273"/>
      <c r="X349" s="274"/>
      <c r="Y349" s="275">
        <v>200000000</v>
      </c>
      <c r="Z349" s="275">
        <f>+FRIL!J533</f>
        <v>0</v>
      </c>
      <c r="AA349" s="296"/>
      <c r="AB349" s="297">
        <v>200000000</v>
      </c>
      <c r="AC349" s="297">
        <f t="shared" si="128"/>
        <v>91813611</v>
      </c>
      <c r="AD349" s="297">
        <f t="shared" si="132"/>
        <v>108186389</v>
      </c>
      <c r="AE349" s="297">
        <v>0</v>
      </c>
      <c r="AF349" s="297">
        <v>0</v>
      </c>
      <c r="AG349" s="297">
        <v>0</v>
      </c>
      <c r="AH349" s="297">
        <v>0</v>
      </c>
      <c r="AI349" s="297">
        <v>0</v>
      </c>
      <c r="AJ349" s="297">
        <v>1804209</v>
      </c>
      <c r="AK349" s="297">
        <v>0</v>
      </c>
      <c r="AL349" s="297">
        <v>0</v>
      </c>
      <c r="AM349" s="297">
        <v>37181846</v>
      </c>
      <c r="AN349" s="297">
        <v>0</v>
      </c>
      <c r="AO349" s="297">
        <f>+FRIL!L184</f>
        <v>52827556</v>
      </c>
      <c r="AP349" s="297">
        <v>0</v>
      </c>
      <c r="AQ349" s="296"/>
      <c r="AR349" s="297">
        <f t="shared" si="133"/>
        <v>0</v>
      </c>
      <c r="AS349" s="313" t="s">
        <v>185</v>
      </c>
      <c r="AT349" s="313" t="s">
        <v>83</v>
      </c>
      <c r="AU349" s="176" t="s">
        <v>138</v>
      </c>
    </row>
    <row r="350" spans="1:47" s="217" customFormat="1" ht="25.5" customHeight="1" outlineLevel="1">
      <c r="A350" s="215" t="s">
        <v>125</v>
      </c>
      <c r="B350" s="247"/>
      <c r="C350" s="247"/>
      <c r="D350" s="248"/>
      <c r="E350" s="249"/>
      <c r="F350" s="249"/>
      <c r="G350" s="249"/>
      <c r="H350" s="249"/>
      <c r="I350" s="249"/>
      <c r="J350" s="247"/>
      <c r="K350" s="259"/>
      <c r="L350" s="248"/>
      <c r="M350" s="248"/>
      <c r="N350" s="250"/>
      <c r="O350" s="250"/>
      <c r="P350" s="250"/>
      <c r="Q350" s="260" t="s">
        <v>187</v>
      </c>
      <c r="R350" s="278"/>
      <c r="S350" s="279"/>
      <c r="T350" s="279"/>
      <c r="U350" s="279"/>
      <c r="V350" s="279"/>
      <c r="W350" s="279"/>
      <c r="X350" s="281"/>
      <c r="Y350" s="286">
        <f>+Y340+Y341+Y342+Y343+Y344+Y345+Y346+Y348+Y349+Y347</f>
        <v>10732014952</v>
      </c>
      <c r="Z350" s="286">
        <f>+Z340+Z341+Z342+Z343+Z344+Z345+Z346+Z348+Z349+Z347</f>
        <v>4214314891</v>
      </c>
      <c r="AA350" s="303"/>
      <c r="AB350" s="286">
        <f t="shared" ref="AB350:AP350" si="134">+AB340+AB341+AB342+AB343+AB344+AB345+AB346+AB348+AB349+AB347</f>
        <v>3625392241</v>
      </c>
      <c r="AC350" s="286">
        <f t="shared" si="128"/>
        <v>1389168361</v>
      </c>
      <c r="AD350" s="286">
        <f t="shared" si="134"/>
        <v>2236223880</v>
      </c>
      <c r="AE350" s="286">
        <f t="shared" si="134"/>
        <v>0</v>
      </c>
      <c r="AF350" s="286">
        <f t="shared" si="134"/>
        <v>0</v>
      </c>
      <c r="AG350" s="286">
        <f t="shared" si="134"/>
        <v>0</v>
      </c>
      <c r="AH350" s="286">
        <f t="shared" si="134"/>
        <v>0</v>
      </c>
      <c r="AI350" s="286">
        <f t="shared" si="134"/>
        <v>0</v>
      </c>
      <c r="AJ350" s="286">
        <v>114787823</v>
      </c>
      <c r="AK350" s="286">
        <v>141931335</v>
      </c>
      <c r="AL350" s="286">
        <v>220364125</v>
      </c>
      <c r="AM350" s="286">
        <f t="shared" si="134"/>
        <v>225151386</v>
      </c>
      <c r="AN350" s="286">
        <f t="shared" si="134"/>
        <v>515711998</v>
      </c>
      <c r="AO350" s="286">
        <f t="shared" si="134"/>
        <v>120353519</v>
      </c>
      <c r="AP350" s="286">
        <f t="shared" si="134"/>
        <v>50868175</v>
      </c>
      <c r="AQ350" s="287"/>
      <c r="AR350" s="286">
        <f t="shared" si="133"/>
        <v>2892307820</v>
      </c>
      <c r="AS350" s="392"/>
      <c r="AT350" s="315"/>
      <c r="AU350" s="220"/>
    </row>
    <row r="351" spans="1:47" ht="18.75" customHeight="1" outlineLevel="1">
      <c r="A351" s="215" t="s">
        <v>125</v>
      </c>
      <c r="B351" s="249"/>
      <c r="C351" s="249"/>
      <c r="D351" s="250"/>
      <c r="E351" s="249"/>
      <c r="F351" s="249"/>
      <c r="G351" s="249"/>
      <c r="H351" s="249"/>
      <c r="I351" s="249"/>
      <c r="J351" s="249"/>
      <c r="K351" s="261"/>
      <c r="L351" s="250"/>
      <c r="M351" s="250"/>
      <c r="N351" s="250"/>
      <c r="O351" s="250"/>
      <c r="P351" s="250"/>
      <c r="Q351" s="261"/>
      <c r="R351" s="283"/>
      <c r="S351" s="283"/>
      <c r="T351" s="283"/>
      <c r="U351" s="283"/>
      <c r="V351" s="283"/>
      <c r="W351" s="283"/>
      <c r="X351" s="283"/>
      <c r="Y351" s="284"/>
      <c r="Z351" s="284"/>
      <c r="AA351" s="301"/>
      <c r="AB351" s="301"/>
      <c r="AC351" s="301"/>
      <c r="AD351" s="301"/>
      <c r="AE351" s="301"/>
      <c r="AF351" s="301"/>
      <c r="AG351" s="301"/>
      <c r="AH351" s="301"/>
      <c r="AI351" s="301"/>
      <c r="AJ351" s="301"/>
      <c r="AK351" s="301"/>
      <c r="AL351" s="301"/>
      <c r="AM351" s="301"/>
      <c r="AN351" s="301"/>
      <c r="AO351" s="301"/>
      <c r="AP351" s="301"/>
      <c r="AQ351" s="301"/>
      <c r="AR351" s="301"/>
      <c r="AS351" s="316"/>
      <c r="AT351" s="316"/>
      <c r="AU351" s="317"/>
    </row>
    <row r="352" spans="1:47" s="217" customFormat="1" ht="25.5" customHeight="1" outlineLevel="1">
      <c r="A352" s="215" t="s">
        <v>125</v>
      </c>
      <c r="B352" s="247"/>
      <c r="C352" s="247"/>
      <c r="D352" s="248"/>
      <c r="E352" s="249"/>
      <c r="F352" s="249"/>
      <c r="G352" s="249"/>
      <c r="H352" s="249"/>
      <c r="I352" s="249"/>
      <c r="J352" s="247"/>
      <c r="K352" s="259"/>
      <c r="L352" s="248"/>
      <c r="M352" s="248"/>
      <c r="N352" s="250"/>
      <c r="O352" s="250"/>
      <c r="P352" s="250"/>
      <c r="Q352" s="99" t="s">
        <v>188</v>
      </c>
      <c r="R352" s="283"/>
      <c r="S352" s="283"/>
      <c r="T352" s="283"/>
      <c r="U352" s="283"/>
      <c r="V352" s="283"/>
      <c r="W352" s="283"/>
      <c r="X352" s="283"/>
      <c r="Y352" s="285"/>
      <c r="Z352" s="285"/>
      <c r="AA352" s="302"/>
      <c r="AB352" s="302"/>
      <c r="AC352" s="302"/>
      <c r="AD352" s="302"/>
      <c r="AE352" s="302"/>
      <c r="AF352" s="302"/>
      <c r="AG352" s="302"/>
      <c r="AH352" s="301"/>
      <c r="AI352" s="301"/>
      <c r="AJ352" s="301"/>
      <c r="AK352" s="301"/>
      <c r="AL352" s="301"/>
      <c r="AM352" s="301"/>
      <c r="AN352" s="301"/>
      <c r="AO352" s="301"/>
      <c r="AP352" s="301"/>
      <c r="AQ352" s="302"/>
      <c r="AR352" s="302"/>
      <c r="AS352" s="315"/>
      <c r="AT352" s="315"/>
      <c r="AU352" s="220"/>
    </row>
    <row r="353" spans="1:49" s="218" customFormat="1" ht="25.5" customHeight="1" outlineLevel="2">
      <c r="A353" s="215" t="s">
        <v>125</v>
      </c>
      <c r="B353" s="151">
        <v>31</v>
      </c>
      <c r="C353" s="151" t="s">
        <v>128</v>
      </c>
      <c r="D353" s="245" t="s">
        <v>144</v>
      </c>
      <c r="E353" s="151" t="s">
        <v>130</v>
      </c>
      <c r="F353" s="151" t="s">
        <v>140</v>
      </c>
      <c r="G353" s="151" t="s">
        <v>33</v>
      </c>
      <c r="H353" s="151" t="s">
        <v>55</v>
      </c>
      <c r="I353" s="256">
        <v>17</v>
      </c>
      <c r="J353" s="151" t="s">
        <v>80</v>
      </c>
      <c r="K353" s="176" t="s">
        <v>132</v>
      </c>
      <c r="L353" s="245">
        <v>30204522</v>
      </c>
      <c r="M353" s="855"/>
      <c r="N353" s="245" t="e">
        <v>#N/A</v>
      </c>
      <c r="O353" s="245" t="s">
        <v>616</v>
      </c>
      <c r="P353" s="257" t="s">
        <v>1529</v>
      </c>
      <c r="Q353" s="176" t="s">
        <v>617</v>
      </c>
      <c r="R353" s="273"/>
      <c r="S353" s="274"/>
      <c r="T353" s="273"/>
      <c r="U353" s="273" t="s">
        <v>1533</v>
      </c>
      <c r="V353" s="273">
        <v>1169057000</v>
      </c>
      <c r="W353" s="273"/>
      <c r="X353" s="274"/>
      <c r="Y353" s="275">
        <v>1237007000</v>
      </c>
      <c r="Z353" s="275">
        <v>0</v>
      </c>
      <c r="AA353" s="296"/>
      <c r="AB353" s="297">
        <f>437007000-88831897</f>
        <v>348175103</v>
      </c>
      <c r="AC353" s="297">
        <f t="shared" si="128"/>
        <v>0</v>
      </c>
      <c r="AD353" s="297">
        <f>+AB353-AC353</f>
        <v>348175103</v>
      </c>
      <c r="AE353" s="297">
        <v>0</v>
      </c>
      <c r="AF353" s="297">
        <v>0</v>
      </c>
      <c r="AG353" s="297">
        <v>0</v>
      </c>
      <c r="AH353" s="297">
        <v>0</v>
      </c>
      <c r="AI353" s="297">
        <v>0</v>
      </c>
      <c r="AJ353" s="297">
        <v>0</v>
      </c>
      <c r="AK353" s="297">
        <v>0</v>
      </c>
      <c r="AL353" s="297">
        <v>0</v>
      </c>
      <c r="AM353" s="297">
        <v>0</v>
      </c>
      <c r="AN353" s="297">
        <v>0</v>
      </c>
      <c r="AO353" s="297">
        <v>0</v>
      </c>
      <c r="AP353" s="297">
        <v>0</v>
      </c>
      <c r="AQ353" s="296"/>
      <c r="AR353" s="297">
        <f>+Y353-Z353-AC353-AD353</f>
        <v>888831897</v>
      </c>
      <c r="AS353" s="313" t="s">
        <v>137</v>
      </c>
      <c r="AT353" s="313" t="s">
        <v>137</v>
      </c>
      <c r="AU353" s="176" t="s">
        <v>1530</v>
      </c>
    </row>
    <row r="354" spans="1:49" s="218" customFormat="1" ht="25.5" customHeight="1" outlineLevel="2">
      <c r="A354" s="215" t="s">
        <v>125</v>
      </c>
      <c r="B354" s="151">
        <v>31</v>
      </c>
      <c r="C354" s="151" t="s">
        <v>196</v>
      </c>
      <c r="D354" s="245" t="s">
        <v>618</v>
      </c>
      <c r="E354" s="151" t="s">
        <v>169</v>
      </c>
      <c r="F354" s="151" t="s">
        <v>619</v>
      </c>
      <c r="G354" s="151" t="s">
        <v>33</v>
      </c>
      <c r="H354" s="151" t="s">
        <v>55</v>
      </c>
      <c r="I354" s="256">
        <v>17</v>
      </c>
      <c r="J354" s="151" t="s">
        <v>80</v>
      </c>
      <c r="K354" s="176" t="s">
        <v>132</v>
      </c>
      <c r="L354" s="245">
        <v>40014647</v>
      </c>
      <c r="M354" s="855"/>
      <c r="N354" s="245"/>
      <c r="O354" s="245" t="s">
        <v>620</v>
      </c>
      <c r="P354" s="257"/>
      <c r="Q354" s="176" t="s">
        <v>621</v>
      </c>
      <c r="R354" s="273" t="s">
        <v>622</v>
      </c>
      <c r="S354" s="274"/>
      <c r="T354" s="273"/>
      <c r="U354" s="273"/>
      <c r="V354" s="273"/>
      <c r="W354" s="273"/>
      <c r="X354" s="274"/>
      <c r="Y354" s="275">
        <v>288600000</v>
      </c>
      <c r="Z354" s="275">
        <v>0</v>
      </c>
      <c r="AA354" s="296"/>
      <c r="AB354" s="297">
        <v>0</v>
      </c>
      <c r="AC354" s="297">
        <f t="shared" si="128"/>
        <v>0</v>
      </c>
      <c r="AD354" s="297">
        <f>+AB354-AC354</f>
        <v>0</v>
      </c>
      <c r="AE354" s="297"/>
      <c r="AF354" s="297"/>
      <c r="AG354" s="297"/>
      <c r="AH354" s="297"/>
      <c r="AI354" s="297"/>
      <c r="AJ354" s="297">
        <v>0</v>
      </c>
      <c r="AK354" s="297">
        <v>0</v>
      </c>
      <c r="AL354" s="297">
        <v>0</v>
      </c>
      <c r="AM354" s="297">
        <v>0</v>
      </c>
      <c r="AN354" s="297">
        <v>0</v>
      </c>
      <c r="AO354" s="297"/>
      <c r="AP354" s="297"/>
      <c r="AQ354" s="296"/>
      <c r="AR354" s="297">
        <f>+Y354-Z354-AC354-AD354</f>
        <v>288600000</v>
      </c>
      <c r="AS354" s="313" t="s">
        <v>137</v>
      </c>
      <c r="AT354" s="313" t="s">
        <v>137</v>
      </c>
      <c r="AU354" s="176" t="s">
        <v>190</v>
      </c>
    </row>
    <row r="355" spans="1:49" s="217" customFormat="1" ht="25.5" customHeight="1" outlineLevel="1">
      <c r="A355" s="215" t="s">
        <v>125</v>
      </c>
      <c r="B355" s="151">
        <v>31</v>
      </c>
      <c r="C355" s="151" t="s">
        <v>196</v>
      </c>
      <c r="D355" s="245" t="s">
        <v>129</v>
      </c>
      <c r="E355" s="151" t="s">
        <v>130</v>
      </c>
      <c r="F355" s="151" t="s">
        <v>131</v>
      </c>
      <c r="G355" s="151" t="s">
        <v>33</v>
      </c>
      <c r="H355" s="151" t="s">
        <v>55</v>
      </c>
      <c r="I355" s="256">
        <v>17</v>
      </c>
      <c r="J355" s="151" t="s">
        <v>81</v>
      </c>
      <c r="K355" s="176" t="s">
        <v>132</v>
      </c>
      <c r="L355" s="245">
        <v>40010719</v>
      </c>
      <c r="M355" s="855"/>
      <c r="N355" s="245"/>
      <c r="O355" s="245" t="s">
        <v>623</v>
      </c>
      <c r="P355" s="257" t="s">
        <v>1531</v>
      </c>
      <c r="Q355" s="176" t="s">
        <v>624</v>
      </c>
      <c r="R355" s="273"/>
      <c r="S355" s="274"/>
      <c r="T355" s="273"/>
      <c r="U355" s="273" t="s">
        <v>1534</v>
      </c>
      <c r="V355" s="273">
        <v>172866000</v>
      </c>
      <c r="W355" s="273"/>
      <c r="X355" s="274"/>
      <c r="Y355" s="275">
        <v>246000000</v>
      </c>
      <c r="Z355" s="275">
        <v>0</v>
      </c>
      <c r="AA355" s="296"/>
      <c r="AB355" s="297">
        <v>12300000</v>
      </c>
      <c r="AC355" s="297">
        <f t="shared" si="128"/>
        <v>0</v>
      </c>
      <c r="AD355" s="297">
        <f>+AB355-AC355</f>
        <v>12300000</v>
      </c>
      <c r="AE355" s="297">
        <v>0</v>
      </c>
      <c r="AF355" s="297">
        <v>0</v>
      </c>
      <c r="AG355" s="297">
        <v>0</v>
      </c>
      <c r="AH355" s="297">
        <v>0</v>
      </c>
      <c r="AI355" s="297">
        <v>0</v>
      </c>
      <c r="AJ355" s="297">
        <v>0</v>
      </c>
      <c r="AK355" s="297">
        <v>0</v>
      </c>
      <c r="AL355" s="297">
        <v>0</v>
      </c>
      <c r="AM355" s="297">
        <v>0</v>
      </c>
      <c r="AN355" s="297">
        <v>0</v>
      </c>
      <c r="AO355" s="297">
        <v>0</v>
      </c>
      <c r="AP355" s="297">
        <v>0</v>
      </c>
      <c r="AQ355" s="296"/>
      <c r="AR355" s="297">
        <f>+Y355-Z355-AC355-AD355</f>
        <v>233700000</v>
      </c>
      <c r="AS355" s="313" t="s">
        <v>137</v>
      </c>
      <c r="AT355" s="313" t="s">
        <v>137</v>
      </c>
      <c r="AU355" s="176" t="s">
        <v>1532</v>
      </c>
      <c r="AW355" s="218" t="s">
        <v>522</v>
      </c>
    </row>
    <row r="356" spans="1:49" s="217" customFormat="1" ht="25.5" customHeight="1" outlineLevel="1">
      <c r="A356" s="215" t="s">
        <v>125</v>
      </c>
      <c r="B356" s="151">
        <v>31</v>
      </c>
      <c r="C356" s="151" t="s">
        <v>196</v>
      </c>
      <c r="D356" s="245" t="s">
        <v>129</v>
      </c>
      <c r="E356" s="151" t="s">
        <v>130</v>
      </c>
      <c r="F356" s="151" t="s">
        <v>140</v>
      </c>
      <c r="G356" s="151" t="s">
        <v>33</v>
      </c>
      <c r="H356" s="151" t="s">
        <v>55</v>
      </c>
      <c r="I356" s="256">
        <v>17</v>
      </c>
      <c r="J356" s="151" t="s">
        <v>81</v>
      </c>
      <c r="K356" s="176" t="s">
        <v>132</v>
      </c>
      <c r="L356" s="245">
        <v>40015147</v>
      </c>
      <c r="M356" s="855"/>
      <c r="N356" s="245"/>
      <c r="O356" s="245" t="s">
        <v>625</v>
      </c>
      <c r="P356" s="257"/>
      <c r="Q356" s="176" t="s">
        <v>626</v>
      </c>
      <c r="R356" s="273"/>
      <c r="S356" s="274"/>
      <c r="T356" s="273"/>
      <c r="U356" s="273"/>
      <c r="V356" s="273"/>
      <c r="W356" s="273"/>
      <c r="X356" s="274"/>
      <c r="Y356" s="275">
        <v>818000000</v>
      </c>
      <c r="Z356" s="275">
        <v>0</v>
      </c>
      <c r="AA356" s="296"/>
      <c r="AB356" s="297">
        <v>100000000</v>
      </c>
      <c r="AC356" s="297">
        <f t="shared" si="128"/>
        <v>0</v>
      </c>
      <c r="AD356" s="297">
        <f t="shared" ref="AD356" si="135">+AB356-AC356</f>
        <v>100000000</v>
      </c>
      <c r="AE356" s="297">
        <v>0</v>
      </c>
      <c r="AF356" s="297">
        <v>0</v>
      </c>
      <c r="AG356" s="297">
        <v>0</v>
      </c>
      <c r="AH356" s="297">
        <v>0</v>
      </c>
      <c r="AI356" s="297">
        <v>0</v>
      </c>
      <c r="AJ356" s="297">
        <v>0</v>
      </c>
      <c r="AK356" s="297">
        <v>0</v>
      </c>
      <c r="AL356" s="297">
        <v>0</v>
      </c>
      <c r="AM356" s="297">
        <v>0</v>
      </c>
      <c r="AN356" s="297">
        <v>0</v>
      </c>
      <c r="AO356" s="297">
        <v>0</v>
      </c>
      <c r="AP356" s="297">
        <v>0</v>
      </c>
      <c r="AQ356" s="296"/>
      <c r="AR356" s="297">
        <f t="shared" ref="AR356:AR357" si="136">+Y356-Z356-AC356-AD356</f>
        <v>718000000</v>
      </c>
      <c r="AS356" s="313" t="s">
        <v>148</v>
      </c>
      <c r="AT356" s="313" t="s">
        <v>1464</v>
      </c>
      <c r="AU356" s="176" t="s">
        <v>200</v>
      </c>
    </row>
    <row r="357" spans="1:49" s="217" customFormat="1" ht="25.5" customHeight="1" outlineLevel="1">
      <c r="A357" s="215" t="s">
        <v>125</v>
      </c>
      <c r="B357" s="247"/>
      <c r="C357" s="247"/>
      <c r="D357" s="248"/>
      <c r="E357" s="249"/>
      <c r="F357" s="249"/>
      <c r="G357" s="249"/>
      <c r="H357" s="249"/>
      <c r="I357" s="249"/>
      <c r="J357" s="247"/>
      <c r="K357" s="259"/>
      <c r="L357" s="248"/>
      <c r="M357" s="248"/>
      <c r="N357" s="250"/>
      <c r="O357" s="250"/>
      <c r="P357" s="250"/>
      <c r="Q357" s="260" t="s">
        <v>201</v>
      </c>
      <c r="R357" s="278"/>
      <c r="S357" s="279"/>
      <c r="T357" s="279"/>
      <c r="U357" s="279"/>
      <c r="V357" s="279"/>
      <c r="W357" s="279"/>
      <c r="X357" s="281"/>
      <c r="Y357" s="286">
        <f>SUBTOTAL(9,Y353:Y356)</f>
        <v>2589607000</v>
      </c>
      <c r="Z357" s="286">
        <f>SUBTOTAL(9,Z353:Z356)</f>
        <v>0</v>
      </c>
      <c r="AA357" s="303"/>
      <c r="AB357" s="286">
        <f t="shared" ref="AB357:AD357" si="137">SUBTOTAL(9,AB353:AB356)</f>
        <v>460475103</v>
      </c>
      <c r="AC357" s="286">
        <f t="shared" si="137"/>
        <v>0</v>
      </c>
      <c r="AD357" s="286">
        <f t="shared" si="137"/>
        <v>460475103</v>
      </c>
      <c r="AE357" s="286">
        <f t="shared" ref="AE357:AI357" si="138">SUM(AE356:AE356)</f>
        <v>0</v>
      </c>
      <c r="AF357" s="286">
        <f t="shared" si="138"/>
        <v>0</v>
      </c>
      <c r="AG357" s="286">
        <f t="shared" si="138"/>
        <v>0</v>
      </c>
      <c r="AH357" s="286">
        <f t="shared" si="138"/>
        <v>0</v>
      </c>
      <c r="AI357" s="286">
        <f t="shared" si="138"/>
        <v>0</v>
      </c>
      <c r="AJ357" s="286">
        <v>0</v>
      </c>
      <c r="AK357" s="286">
        <v>0</v>
      </c>
      <c r="AL357" s="286">
        <v>0</v>
      </c>
      <c r="AM357" s="286">
        <f>SUM(AM356:AM356)</f>
        <v>0</v>
      </c>
      <c r="AN357" s="286">
        <f>SUM(AN356:AN356)</f>
        <v>0</v>
      </c>
      <c r="AO357" s="286">
        <f>SUM(AO356:AO356)</f>
        <v>0</v>
      </c>
      <c r="AP357" s="286">
        <f>SUM(AP356:AP356)</f>
        <v>0</v>
      </c>
      <c r="AQ357" s="287"/>
      <c r="AR357" s="286">
        <f t="shared" si="136"/>
        <v>2129131897</v>
      </c>
      <c r="AS357" s="315"/>
      <c r="AT357" s="315"/>
      <c r="AU357" s="220"/>
    </row>
    <row r="358" spans="1:49" ht="18.75" customHeight="1" outlineLevel="1">
      <c r="A358" s="215" t="s">
        <v>125</v>
      </c>
      <c r="B358" s="249"/>
      <c r="C358" s="249"/>
      <c r="D358" s="250"/>
      <c r="E358" s="249"/>
      <c r="F358" s="249"/>
      <c r="G358" s="249"/>
      <c r="H358" s="249"/>
      <c r="I358" s="249"/>
      <c r="J358" s="249"/>
      <c r="K358" s="261"/>
      <c r="L358" s="250"/>
      <c r="M358" s="250"/>
      <c r="N358" s="250"/>
      <c r="O358" s="250"/>
      <c r="P358" s="250"/>
      <c r="Q358" s="261"/>
      <c r="R358" s="283"/>
      <c r="S358" s="283"/>
      <c r="T358" s="283"/>
      <c r="U358" s="283"/>
      <c r="V358" s="283"/>
      <c r="W358" s="283"/>
      <c r="X358" s="283"/>
      <c r="Y358" s="284"/>
      <c r="Z358" s="284"/>
      <c r="AA358" s="301"/>
      <c r="AB358" s="301"/>
      <c r="AC358" s="301"/>
      <c r="AD358" s="301"/>
      <c r="AE358" s="301"/>
      <c r="AF358" s="301"/>
      <c r="AG358" s="301"/>
      <c r="AH358" s="301"/>
      <c r="AI358" s="301"/>
      <c r="AJ358" s="301"/>
      <c r="AK358" s="301"/>
      <c r="AL358" s="301"/>
      <c r="AM358" s="301"/>
      <c r="AN358" s="301"/>
      <c r="AO358" s="301"/>
      <c r="AP358" s="301"/>
      <c r="AQ358" s="301"/>
      <c r="AR358" s="301"/>
      <c r="AS358" s="316"/>
      <c r="AT358" s="316"/>
      <c r="AU358" s="317"/>
    </row>
    <row r="359" spans="1:49" s="219" customFormat="1" ht="24.75" customHeight="1" outlineLevel="1">
      <c r="A359" s="215" t="s">
        <v>125</v>
      </c>
      <c r="B359" s="251"/>
      <c r="C359" s="249"/>
      <c r="D359" s="250"/>
      <c r="E359" s="249"/>
      <c r="F359" s="249"/>
      <c r="G359" s="249"/>
      <c r="H359" s="249"/>
      <c r="I359" s="249"/>
      <c r="J359" s="251"/>
      <c r="K359" s="263"/>
      <c r="L359" s="252"/>
      <c r="M359" s="252"/>
      <c r="N359" s="252"/>
      <c r="O359" s="252"/>
      <c r="P359" s="252"/>
      <c r="Q359" s="117" t="s">
        <v>628</v>
      </c>
      <c r="R359" s="288"/>
      <c r="S359" s="289"/>
      <c r="T359" s="289"/>
      <c r="U359" s="289"/>
      <c r="V359" s="289"/>
      <c r="W359" s="289"/>
      <c r="X359" s="290"/>
      <c r="Y359" s="118">
        <f>+Y350+Y357</f>
        <v>13321621952</v>
      </c>
      <c r="Z359" s="118">
        <f>+Z350+Z357</f>
        <v>4214314891</v>
      </c>
      <c r="AA359" s="304"/>
      <c r="AB359" s="118">
        <f t="shared" ref="AB359:AD359" si="139">+AB350+AB357</f>
        <v>4085867344</v>
      </c>
      <c r="AC359" s="118">
        <f t="shared" si="139"/>
        <v>1389168361</v>
      </c>
      <c r="AD359" s="118">
        <f t="shared" si="139"/>
        <v>2696698983</v>
      </c>
      <c r="AE359" s="118">
        <f>+AE350+AE357</f>
        <v>0</v>
      </c>
      <c r="AF359" s="118">
        <f t="shared" ref="AF359:AP359" si="140">+AF350+AF357</f>
        <v>0</v>
      </c>
      <c r="AG359" s="118">
        <f t="shared" si="140"/>
        <v>0</v>
      </c>
      <c r="AH359" s="118">
        <f t="shared" si="140"/>
        <v>0</v>
      </c>
      <c r="AI359" s="118">
        <f t="shared" si="140"/>
        <v>0</v>
      </c>
      <c r="AJ359" s="118">
        <v>114787823</v>
      </c>
      <c r="AK359" s="118">
        <f t="shared" si="140"/>
        <v>141931335</v>
      </c>
      <c r="AL359" s="118">
        <f t="shared" si="140"/>
        <v>220364125</v>
      </c>
      <c r="AM359" s="118">
        <f t="shared" si="140"/>
        <v>225151386</v>
      </c>
      <c r="AN359" s="118">
        <f t="shared" si="140"/>
        <v>515711998</v>
      </c>
      <c r="AO359" s="118">
        <f t="shared" si="140"/>
        <v>120353519</v>
      </c>
      <c r="AP359" s="118">
        <f t="shared" si="140"/>
        <v>50868175</v>
      </c>
      <c r="AQ359" s="318"/>
      <c r="AR359" s="118">
        <f>+Y359-Z359-AC359-AD359</f>
        <v>5021439717</v>
      </c>
      <c r="AS359" s="333"/>
      <c r="AT359" s="333"/>
      <c r="AU359" s="320"/>
    </row>
    <row r="360" spans="1:49" ht="18.75" customHeight="1" outlineLevel="1">
      <c r="A360" s="215" t="s">
        <v>125</v>
      </c>
      <c r="B360" s="249"/>
      <c r="C360" s="249"/>
      <c r="D360" s="250"/>
      <c r="E360" s="249"/>
      <c r="F360" s="249"/>
      <c r="G360" s="249"/>
      <c r="H360" s="249"/>
      <c r="I360" s="249"/>
      <c r="J360" s="249"/>
      <c r="K360" s="261"/>
      <c r="L360" s="250"/>
      <c r="M360" s="250"/>
      <c r="N360" s="250"/>
      <c r="O360" s="250"/>
      <c r="P360" s="250"/>
      <c r="Q360" s="261"/>
      <c r="R360" s="283"/>
      <c r="S360" s="283"/>
      <c r="T360" s="283"/>
      <c r="U360" s="283"/>
      <c r="V360" s="283"/>
      <c r="W360" s="283"/>
      <c r="X360" s="283"/>
      <c r="Y360" s="284"/>
      <c r="Z360" s="284"/>
      <c r="AA360" s="301"/>
      <c r="AB360" s="301"/>
      <c r="AC360" s="301"/>
      <c r="AD360" s="301"/>
      <c r="AE360" s="301"/>
      <c r="AF360" s="301"/>
      <c r="AG360" s="301"/>
      <c r="AH360" s="301"/>
      <c r="AI360" s="301"/>
      <c r="AJ360" s="301"/>
      <c r="AK360" s="301"/>
      <c r="AL360" s="301"/>
      <c r="AM360" s="301"/>
      <c r="AN360" s="301"/>
      <c r="AO360" s="301"/>
      <c r="AP360" s="301"/>
      <c r="AQ360" s="301"/>
      <c r="AR360" s="301"/>
      <c r="AS360" s="316"/>
      <c r="AT360" s="316"/>
      <c r="AU360" s="317"/>
    </row>
    <row r="361" spans="1:49" ht="21" customHeight="1" outlineLevel="1">
      <c r="A361" s="215" t="s">
        <v>125</v>
      </c>
      <c r="B361" s="249"/>
      <c r="C361" s="249"/>
      <c r="D361" s="250"/>
      <c r="E361" s="249"/>
      <c r="F361" s="249"/>
      <c r="G361" s="249"/>
      <c r="H361" s="249"/>
      <c r="I361" s="249"/>
      <c r="J361" s="249"/>
      <c r="K361" s="261"/>
      <c r="L361" s="250"/>
      <c r="M361" s="250"/>
      <c r="N361" s="250"/>
      <c r="O361" s="250"/>
      <c r="P361" s="250"/>
      <c r="Q361" s="339" t="s">
        <v>336</v>
      </c>
      <c r="R361" s="283"/>
      <c r="S361" s="283"/>
      <c r="T361" s="283"/>
      <c r="U361" s="283"/>
      <c r="V361" s="283"/>
      <c r="W361" s="283"/>
      <c r="X361" s="283"/>
      <c r="Y361" s="284"/>
      <c r="Z361" s="284"/>
      <c r="AA361" s="301"/>
      <c r="AB361" s="301"/>
      <c r="AC361" s="301"/>
      <c r="AD361" s="301"/>
      <c r="AE361" s="301"/>
      <c r="AF361" s="301"/>
      <c r="AG361" s="301"/>
      <c r="AH361" s="301"/>
      <c r="AI361" s="301"/>
      <c r="AJ361" s="301"/>
      <c r="AK361" s="301"/>
      <c r="AL361" s="301"/>
      <c r="AM361" s="301"/>
      <c r="AN361" s="301"/>
      <c r="AO361" s="301"/>
      <c r="AP361" s="301"/>
      <c r="AQ361" s="301"/>
      <c r="AR361" s="301"/>
      <c r="AS361" s="316"/>
      <c r="AT361" s="316"/>
      <c r="AU361" s="317"/>
    </row>
    <row r="362" spans="1:49" s="216" customFormat="1" ht="15" customHeight="1" outlineLevel="1">
      <c r="A362" s="215" t="s">
        <v>125</v>
      </c>
      <c r="B362" s="249"/>
      <c r="C362" s="249"/>
      <c r="D362" s="250"/>
      <c r="E362" s="249"/>
      <c r="F362" s="249"/>
      <c r="G362" s="249"/>
      <c r="H362" s="249"/>
      <c r="I362" s="249"/>
      <c r="J362" s="249"/>
      <c r="K362" s="261"/>
      <c r="L362" s="250"/>
      <c r="M362" s="250"/>
      <c r="N362" s="250"/>
      <c r="O362" s="250"/>
      <c r="P362" s="250"/>
      <c r="Q362" s="340"/>
      <c r="R362" s="283"/>
      <c r="S362" s="283"/>
      <c r="T362" s="283"/>
      <c r="U362" s="283"/>
      <c r="V362" s="283"/>
      <c r="W362" s="283"/>
      <c r="X362" s="283"/>
      <c r="Y362" s="284"/>
      <c r="Z362" s="284"/>
      <c r="AA362" s="301"/>
      <c r="AB362" s="301"/>
      <c r="AC362" s="301"/>
      <c r="AD362" s="301"/>
      <c r="AE362" s="301"/>
      <c r="AF362" s="301"/>
      <c r="AG362" s="301"/>
      <c r="AH362" s="301"/>
      <c r="AI362" s="301"/>
      <c r="AJ362" s="301"/>
      <c r="AK362" s="301"/>
      <c r="AL362" s="301"/>
      <c r="AM362" s="301"/>
      <c r="AN362" s="301"/>
      <c r="AO362" s="301"/>
      <c r="AP362" s="301"/>
      <c r="AQ362" s="301"/>
      <c r="AR362" s="301"/>
      <c r="AS362" s="316"/>
      <c r="AT362" s="316"/>
      <c r="AU362" s="317"/>
    </row>
    <row r="363" spans="1:49" s="217" customFormat="1" ht="25.5" customHeight="1" outlineLevel="1">
      <c r="A363" s="215" t="s">
        <v>125</v>
      </c>
      <c r="B363" s="247"/>
      <c r="C363" s="247"/>
      <c r="D363" s="248"/>
      <c r="E363" s="249"/>
      <c r="F363" s="249"/>
      <c r="G363" s="249"/>
      <c r="H363" s="249"/>
      <c r="I363" s="249"/>
      <c r="J363" s="247"/>
      <c r="K363" s="259"/>
      <c r="L363" s="248"/>
      <c r="M363" s="248"/>
      <c r="N363" s="250"/>
      <c r="O363" s="250"/>
      <c r="P363" s="250"/>
      <c r="Q363" s="99" t="s">
        <v>127</v>
      </c>
      <c r="R363" s="283"/>
      <c r="S363" s="283"/>
      <c r="T363" s="283"/>
      <c r="U363" s="283"/>
      <c r="V363" s="283"/>
      <c r="W363" s="283"/>
      <c r="X363" s="283"/>
      <c r="Y363" s="285"/>
      <c r="Z363" s="285"/>
      <c r="AA363" s="302"/>
      <c r="AB363" s="302"/>
      <c r="AC363" s="302"/>
      <c r="AD363" s="302"/>
      <c r="AE363" s="302"/>
      <c r="AF363" s="302"/>
      <c r="AG363" s="302"/>
      <c r="AH363" s="301"/>
      <c r="AI363" s="301"/>
      <c r="AJ363" s="301"/>
      <c r="AK363" s="301"/>
      <c r="AL363" s="301"/>
      <c r="AM363" s="301"/>
      <c r="AN363" s="301"/>
      <c r="AO363" s="301"/>
      <c r="AP363" s="301"/>
      <c r="AQ363" s="302"/>
      <c r="AR363" s="302"/>
      <c r="AS363" s="315"/>
      <c r="AT363" s="315"/>
      <c r="AU363" s="220"/>
    </row>
    <row r="364" spans="1:49" s="218" customFormat="1" ht="25.5" customHeight="1" outlineLevel="2">
      <c r="A364" s="215" t="s">
        <v>125</v>
      </c>
      <c r="B364" s="151">
        <v>31</v>
      </c>
      <c r="C364" s="151" t="s">
        <v>128</v>
      </c>
      <c r="D364" s="245" t="s">
        <v>129</v>
      </c>
      <c r="E364" s="151" t="s">
        <v>169</v>
      </c>
      <c r="F364" s="151" t="s">
        <v>131</v>
      </c>
      <c r="G364" s="151" t="s">
        <v>33</v>
      </c>
      <c r="H364" s="151" t="s">
        <v>47</v>
      </c>
      <c r="I364" s="256">
        <v>18</v>
      </c>
      <c r="J364" s="151" t="s">
        <v>82</v>
      </c>
      <c r="K364" s="176" t="s">
        <v>132</v>
      </c>
      <c r="L364" s="245">
        <v>30342773</v>
      </c>
      <c r="M364" s="855" t="s">
        <v>1609</v>
      </c>
      <c r="N364" s="245" t="s">
        <v>373</v>
      </c>
      <c r="O364" s="245" t="s">
        <v>629</v>
      </c>
      <c r="P364" s="245"/>
      <c r="Q364" s="176" t="s">
        <v>630</v>
      </c>
      <c r="R364" s="273"/>
      <c r="S364" s="274"/>
      <c r="T364" s="273"/>
      <c r="U364" s="273"/>
      <c r="V364" s="273"/>
      <c r="W364" s="273"/>
      <c r="X364" s="274"/>
      <c r="Y364" s="275">
        <v>7077521000</v>
      </c>
      <c r="Z364" s="275">
        <v>3408630569</v>
      </c>
      <c r="AA364" s="296"/>
      <c r="AB364" s="297">
        <f>800000000+127207479+271542850+284031169+100888405+44742626+124000000</f>
        <v>1752412529</v>
      </c>
      <c r="AC364" s="297">
        <f t="shared" si="128"/>
        <v>1705519135</v>
      </c>
      <c r="AD364" s="297">
        <f>+AB364-AC364</f>
        <v>46893394</v>
      </c>
      <c r="AE364" s="297">
        <v>0</v>
      </c>
      <c r="AF364" s="297">
        <v>0</v>
      </c>
      <c r="AG364" s="297">
        <v>0</v>
      </c>
      <c r="AH364" s="297">
        <v>0</v>
      </c>
      <c r="AI364" s="297">
        <v>0</v>
      </c>
      <c r="AJ364" s="297">
        <v>77106606</v>
      </c>
      <c r="AK364" s="297">
        <v>44742626</v>
      </c>
      <c r="AL364" s="297">
        <v>100888405</v>
      </c>
      <c r="AM364" s="297">
        <v>284031169</v>
      </c>
      <c r="AN364" s="297">
        <v>367910604</v>
      </c>
      <c r="AO364" s="297">
        <v>327156331</v>
      </c>
      <c r="AP364" s="297">
        <v>503683394</v>
      </c>
      <c r="AQ364" s="296"/>
      <c r="AR364" s="297">
        <f>+Y364-Z364-AC364-AD364</f>
        <v>1916477902</v>
      </c>
      <c r="AS364" s="313" t="s">
        <v>1611</v>
      </c>
      <c r="AT364" s="313" t="s">
        <v>1611</v>
      </c>
      <c r="AU364" s="176" t="s">
        <v>1612</v>
      </c>
    </row>
    <row r="365" spans="1:49" s="218" customFormat="1" ht="25.5" customHeight="1" outlineLevel="2">
      <c r="A365" s="215" t="s">
        <v>125</v>
      </c>
      <c r="B365" s="151">
        <v>31</v>
      </c>
      <c r="C365" s="151" t="s">
        <v>128</v>
      </c>
      <c r="D365" s="245" t="s">
        <v>164</v>
      </c>
      <c r="E365" s="151" t="s">
        <v>169</v>
      </c>
      <c r="F365" s="151" t="s">
        <v>140</v>
      </c>
      <c r="G365" s="151" t="s">
        <v>33</v>
      </c>
      <c r="H365" s="151" t="s">
        <v>47</v>
      </c>
      <c r="I365" s="256">
        <v>18</v>
      </c>
      <c r="J365" s="151" t="s">
        <v>80</v>
      </c>
      <c r="K365" s="176" t="s">
        <v>132</v>
      </c>
      <c r="L365" s="245">
        <v>30380331</v>
      </c>
      <c r="M365" s="855" t="s">
        <v>164</v>
      </c>
      <c r="N365" s="245" t="s">
        <v>337</v>
      </c>
      <c r="O365" s="245" t="s">
        <v>631</v>
      </c>
      <c r="P365" s="245"/>
      <c r="Q365" s="176" t="s">
        <v>632</v>
      </c>
      <c r="R365" s="273"/>
      <c r="S365" s="274"/>
      <c r="T365" s="273"/>
      <c r="U365" s="273"/>
      <c r="V365" s="273"/>
      <c r="W365" s="273"/>
      <c r="X365" s="274"/>
      <c r="Y365" s="275">
        <v>1947580000</v>
      </c>
      <c r="Z365" s="275">
        <v>0</v>
      </c>
      <c r="AA365" s="296"/>
      <c r="AB365" s="297">
        <f>200000000+88831897</f>
        <v>288831897</v>
      </c>
      <c r="AC365" s="297">
        <f t="shared" si="128"/>
        <v>177066265</v>
      </c>
      <c r="AD365" s="297">
        <f>+AB365-AC365</f>
        <v>111765632</v>
      </c>
      <c r="AE365" s="297">
        <v>0</v>
      </c>
      <c r="AF365" s="297">
        <v>0</v>
      </c>
      <c r="AG365" s="297">
        <v>0</v>
      </c>
      <c r="AH365" s="297">
        <v>0</v>
      </c>
      <c r="AI365" s="297">
        <v>0</v>
      </c>
      <c r="AJ365" s="297">
        <v>0</v>
      </c>
      <c r="AK365" s="297">
        <v>39431720</v>
      </c>
      <c r="AL365" s="297">
        <v>0</v>
      </c>
      <c r="AM365" s="297">
        <v>53722525</v>
      </c>
      <c r="AN365" s="297">
        <v>0</v>
      </c>
      <c r="AO365" s="297">
        <v>27825832</v>
      </c>
      <c r="AP365" s="297">
        <v>56086188</v>
      </c>
      <c r="AQ365" s="296"/>
      <c r="AR365" s="297">
        <f>+Y365-Z365-AC365-AD365</f>
        <v>1658748103</v>
      </c>
      <c r="AS365" s="313" t="s">
        <v>137</v>
      </c>
      <c r="AT365" s="313" t="s">
        <v>137</v>
      </c>
      <c r="AU365" s="176" t="s">
        <v>138</v>
      </c>
    </row>
    <row r="366" spans="1:49" s="218" customFormat="1" ht="25.5" customHeight="1" outlineLevel="2">
      <c r="A366" s="215" t="s">
        <v>125</v>
      </c>
      <c r="B366" s="151">
        <v>31</v>
      </c>
      <c r="C366" s="151" t="s">
        <v>128</v>
      </c>
      <c r="D366" s="245" t="s">
        <v>129</v>
      </c>
      <c r="E366" s="151" t="s">
        <v>169</v>
      </c>
      <c r="F366" s="151" t="s">
        <v>131</v>
      </c>
      <c r="G366" s="151" t="s">
        <v>33</v>
      </c>
      <c r="H366" s="151" t="s">
        <v>47</v>
      </c>
      <c r="I366" s="256">
        <v>18</v>
      </c>
      <c r="J366" s="151" t="s">
        <v>81</v>
      </c>
      <c r="K366" s="176" t="s">
        <v>132</v>
      </c>
      <c r="L366" s="245">
        <v>30133755</v>
      </c>
      <c r="M366" s="855"/>
      <c r="N366" s="245" t="s">
        <v>145</v>
      </c>
      <c r="O366" s="245" t="s">
        <v>633</v>
      </c>
      <c r="P366" s="245"/>
      <c r="Q366" s="176" t="s">
        <v>634</v>
      </c>
      <c r="R366" s="273"/>
      <c r="S366" s="274"/>
      <c r="T366" s="273"/>
      <c r="U366" s="273"/>
      <c r="V366" s="273"/>
      <c r="W366" s="273"/>
      <c r="X366" s="274"/>
      <c r="Y366" s="275">
        <v>9774474000</v>
      </c>
      <c r="Z366" s="275">
        <v>4532551127</v>
      </c>
      <c r="AA366" s="296"/>
      <c r="AB366" s="297">
        <f>1627512837+186853563+898024426+177140947+6391940</f>
        <v>2895923713</v>
      </c>
      <c r="AC366" s="297">
        <f t="shared" si="128"/>
        <v>2889531773</v>
      </c>
      <c r="AD366" s="297">
        <f>+AB366-AC366</f>
        <v>6391940</v>
      </c>
      <c r="AE366" s="297">
        <v>0</v>
      </c>
      <c r="AF366" s="297">
        <v>0</v>
      </c>
      <c r="AG366" s="297">
        <v>0</v>
      </c>
      <c r="AH366" s="297">
        <v>0</v>
      </c>
      <c r="AI366" s="297">
        <v>0</v>
      </c>
      <c r="AJ366" s="297">
        <v>0</v>
      </c>
      <c r="AK366" s="297">
        <v>177140947</v>
      </c>
      <c r="AL366" s="297">
        <v>0</v>
      </c>
      <c r="AM366" s="297">
        <v>898024426</v>
      </c>
      <c r="AN366" s="297">
        <v>186853563</v>
      </c>
      <c r="AO366" s="297">
        <v>1252698058</v>
      </c>
      <c r="AP366" s="297">
        <v>374814779</v>
      </c>
      <c r="AQ366" s="296"/>
      <c r="AR366" s="297">
        <f>+Y366-Z366-AC366-AD366</f>
        <v>2345999160</v>
      </c>
      <c r="AS366" s="313" t="s">
        <v>148</v>
      </c>
      <c r="AT366" s="313" t="s">
        <v>1464</v>
      </c>
      <c r="AU366" s="176" t="s">
        <v>138</v>
      </c>
    </row>
    <row r="367" spans="1:49" s="217" customFormat="1" ht="25.5" customHeight="1" outlineLevel="1">
      <c r="A367" s="215" t="s">
        <v>125</v>
      </c>
      <c r="B367" s="247"/>
      <c r="C367" s="247"/>
      <c r="D367" s="248"/>
      <c r="E367" s="249"/>
      <c r="F367" s="249"/>
      <c r="G367" s="249"/>
      <c r="H367" s="249"/>
      <c r="I367" s="249"/>
      <c r="J367" s="247"/>
      <c r="K367" s="259"/>
      <c r="L367" s="248"/>
      <c r="M367" s="248"/>
      <c r="N367" s="250"/>
      <c r="O367" s="250"/>
      <c r="P367" s="250"/>
      <c r="Q367" s="260" t="s">
        <v>187</v>
      </c>
      <c r="R367" s="278"/>
      <c r="S367" s="279"/>
      <c r="T367" s="279"/>
      <c r="U367" s="279"/>
      <c r="V367" s="279"/>
      <c r="W367" s="279"/>
      <c r="X367" s="281"/>
      <c r="Y367" s="286">
        <f>+Y364+Y365+Y366</f>
        <v>18799575000</v>
      </c>
      <c r="Z367" s="286">
        <f>+Z364+Z365+Z366</f>
        <v>7941181696</v>
      </c>
      <c r="AA367" s="303"/>
      <c r="AB367" s="286">
        <f t="shared" ref="AB367:AP367" si="141">+AB364+AB365+AB366</f>
        <v>4937168139</v>
      </c>
      <c r="AC367" s="286">
        <f t="shared" si="141"/>
        <v>4772117173</v>
      </c>
      <c r="AD367" s="286">
        <f t="shared" si="141"/>
        <v>165050966</v>
      </c>
      <c r="AE367" s="286">
        <f t="shared" si="141"/>
        <v>0</v>
      </c>
      <c r="AF367" s="286">
        <f t="shared" si="141"/>
        <v>0</v>
      </c>
      <c r="AG367" s="286">
        <f t="shared" si="141"/>
        <v>0</v>
      </c>
      <c r="AH367" s="286">
        <f t="shared" si="141"/>
        <v>0</v>
      </c>
      <c r="AI367" s="286">
        <f t="shared" si="141"/>
        <v>0</v>
      </c>
      <c r="AJ367" s="286">
        <v>77106606</v>
      </c>
      <c r="AK367" s="286">
        <f t="shared" si="141"/>
        <v>261315293</v>
      </c>
      <c r="AL367" s="286">
        <f t="shared" si="141"/>
        <v>100888405</v>
      </c>
      <c r="AM367" s="286">
        <f t="shared" si="141"/>
        <v>1235778120</v>
      </c>
      <c r="AN367" s="286">
        <f t="shared" si="141"/>
        <v>554764167</v>
      </c>
      <c r="AO367" s="286">
        <f t="shared" si="141"/>
        <v>1607680221</v>
      </c>
      <c r="AP367" s="286">
        <f t="shared" si="141"/>
        <v>934584361</v>
      </c>
      <c r="AQ367" s="287"/>
      <c r="AR367" s="286">
        <f>+Y367-Z367-AC367-AD367</f>
        <v>5921225165</v>
      </c>
      <c r="AS367" s="315"/>
      <c r="AT367" s="315"/>
      <c r="AU367" s="220"/>
    </row>
    <row r="368" spans="1:49" ht="18.75" customHeight="1" outlineLevel="1">
      <c r="A368" s="215" t="s">
        <v>125</v>
      </c>
      <c r="B368" s="249"/>
      <c r="C368" s="249"/>
      <c r="D368" s="250"/>
      <c r="E368" s="249"/>
      <c r="F368" s="249"/>
      <c r="G368" s="249"/>
      <c r="H368" s="249"/>
      <c r="I368" s="249"/>
      <c r="J368" s="249"/>
      <c r="K368" s="261"/>
      <c r="L368" s="250"/>
      <c r="M368" s="250"/>
      <c r="N368" s="250"/>
      <c r="O368" s="250"/>
      <c r="P368" s="250"/>
      <c r="Q368" s="261"/>
      <c r="R368" s="283"/>
      <c r="S368" s="283"/>
      <c r="T368" s="283"/>
      <c r="U368" s="283"/>
      <c r="V368" s="283"/>
      <c r="W368" s="283"/>
      <c r="X368" s="283"/>
      <c r="Y368" s="284"/>
      <c r="Z368" s="284"/>
      <c r="AA368" s="301"/>
      <c r="AB368" s="301"/>
      <c r="AC368" s="301"/>
      <c r="AD368" s="301"/>
      <c r="AE368" s="301"/>
      <c r="AF368" s="301"/>
      <c r="AG368" s="301"/>
      <c r="AH368" s="301"/>
      <c r="AI368" s="301"/>
      <c r="AJ368" s="301"/>
      <c r="AK368" s="301"/>
      <c r="AL368" s="301"/>
      <c r="AM368" s="301"/>
      <c r="AN368" s="301"/>
      <c r="AO368" s="301"/>
      <c r="AP368" s="301"/>
      <c r="AQ368" s="301"/>
      <c r="AR368" s="301"/>
      <c r="AS368" s="316"/>
      <c r="AT368" s="316"/>
      <c r="AU368" s="317"/>
    </row>
    <row r="369" spans="1:49" s="217" customFormat="1" ht="25.5" customHeight="1" outlineLevel="1">
      <c r="A369" s="215" t="s">
        <v>125</v>
      </c>
      <c r="B369" s="247"/>
      <c r="C369" s="247"/>
      <c r="D369" s="248"/>
      <c r="E369" s="249"/>
      <c r="F369" s="249"/>
      <c r="G369" s="249"/>
      <c r="H369" s="249"/>
      <c r="I369" s="249"/>
      <c r="J369" s="247"/>
      <c r="K369" s="259"/>
      <c r="L369" s="248"/>
      <c r="M369" s="248"/>
      <c r="N369" s="250"/>
      <c r="O369" s="250"/>
      <c r="P369" s="250"/>
      <c r="Q369" s="99" t="s">
        <v>188</v>
      </c>
      <c r="R369" s="283"/>
      <c r="S369" s="283"/>
      <c r="T369" s="283"/>
      <c r="U369" s="283"/>
      <c r="V369" s="283"/>
      <c r="W369" s="283"/>
      <c r="X369" s="283"/>
      <c r="Y369" s="285"/>
      <c r="Z369" s="285"/>
      <c r="AA369" s="302"/>
      <c r="AB369" s="302"/>
      <c r="AC369" s="302"/>
      <c r="AD369" s="302"/>
      <c r="AE369" s="302"/>
      <c r="AF369" s="302"/>
      <c r="AG369" s="302"/>
      <c r="AH369" s="301"/>
      <c r="AI369" s="301"/>
      <c r="AJ369" s="301"/>
      <c r="AK369" s="301"/>
      <c r="AL369" s="301"/>
      <c r="AM369" s="301"/>
      <c r="AN369" s="301"/>
      <c r="AO369" s="301"/>
      <c r="AP369" s="301"/>
      <c r="AQ369" s="302"/>
      <c r="AR369" s="302"/>
      <c r="AS369" s="315"/>
      <c r="AT369" s="315"/>
      <c r="AU369" s="220"/>
    </row>
    <row r="370" spans="1:49" s="218" customFormat="1" ht="25.5" customHeight="1" outlineLevel="2">
      <c r="A370" s="215" t="s">
        <v>125</v>
      </c>
      <c r="B370" s="151">
        <v>31</v>
      </c>
      <c r="C370" s="151" t="s">
        <v>128</v>
      </c>
      <c r="D370" s="245" t="s">
        <v>139</v>
      </c>
      <c r="E370" s="151" t="s">
        <v>169</v>
      </c>
      <c r="F370" s="151" t="s">
        <v>140</v>
      </c>
      <c r="G370" s="151" t="s">
        <v>33</v>
      </c>
      <c r="H370" s="151" t="s">
        <v>47</v>
      </c>
      <c r="I370" s="256">
        <v>18</v>
      </c>
      <c r="J370" s="151" t="s">
        <v>80</v>
      </c>
      <c r="K370" s="176" t="s">
        <v>132</v>
      </c>
      <c r="L370" s="245">
        <v>30077481</v>
      </c>
      <c r="M370" s="855" t="s">
        <v>1608</v>
      </c>
      <c r="N370" s="245" t="e">
        <v>#N/A</v>
      </c>
      <c r="O370" s="245" t="s">
        <v>635</v>
      </c>
      <c r="P370" s="257" t="s">
        <v>636</v>
      </c>
      <c r="Q370" s="176" t="s">
        <v>637</v>
      </c>
      <c r="R370" s="273" t="s">
        <v>638</v>
      </c>
      <c r="S370" s="274"/>
      <c r="T370" s="273"/>
      <c r="U370" s="273"/>
      <c r="V370" s="273"/>
      <c r="W370" s="273"/>
      <c r="X370" s="274"/>
      <c r="Y370" s="275">
        <v>2057540000</v>
      </c>
      <c r="Z370" s="275">
        <v>0</v>
      </c>
      <c r="AA370" s="296"/>
      <c r="AB370" s="297">
        <f>300000000-212831897-49084</f>
        <v>87119019</v>
      </c>
      <c r="AC370" s="297">
        <f t="shared" si="128"/>
        <v>0</v>
      </c>
      <c r="AD370" s="297">
        <f t="shared" ref="AD370:AD375" si="142">+AB370-AC370</f>
        <v>87119019</v>
      </c>
      <c r="AE370" s="297">
        <v>0</v>
      </c>
      <c r="AF370" s="297">
        <v>0</v>
      </c>
      <c r="AG370" s="297">
        <v>0</v>
      </c>
      <c r="AH370" s="297">
        <v>0</v>
      </c>
      <c r="AI370" s="297">
        <v>0</v>
      </c>
      <c r="AJ370" s="297">
        <v>0</v>
      </c>
      <c r="AK370" s="297">
        <v>0</v>
      </c>
      <c r="AL370" s="297">
        <v>0</v>
      </c>
      <c r="AM370" s="297">
        <v>0</v>
      </c>
      <c r="AN370" s="297">
        <v>0</v>
      </c>
      <c r="AO370" s="297">
        <v>0</v>
      </c>
      <c r="AP370" s="297">
        <v>0</v>
      </c>
      <c r="AQ370" s="296"/>
      <c r="AR370" s="297">
        <f t="shared" ref="AR370:AR376" si="143">+Y370-Z370-AC370-AD370</f>
        <v>1970420981</v>
      </c>
      <c r="AS370" s="313" t="s">
        <v>137</v>
      </c>
      <c r="AT370" s="313" t="s">
        <v>137</v>
      </c>
      <c r="AU370" s="176" t="s">
        <v>394</v>
      </c>
    </row>
    <row r="371" spans="1:49" s="218" customFormat="1" ht="25.5" customHeight="1" outlineLevel="2">
      <c r="A371" s="215" t="s">
        <v>125</v>
      </c>
      <c r="B371" s="337">
        <v>31</v>
      </c>
      <c r="C371" s="337" t="s">
        <v>128</v>
      </c>
      <c r="D371" s="338" t="s">
        <v>144</v>
      </c>
      <c r="E371" s="337" t="s">
        <v>130</v>
      </c>
      <c r="F371" s="337" t="s">
        <v>140</v>
      </c>
      <c r="G371" s="337" t="s">
        <v>33</v>
      </c>
      <c r="H371" s="337" t="s">
        <v>47</v>
      </c>
      <c r="I371" s="341">
        <v>18</v>
      </c>
      <c r="J371" s="337" t="s">
        <v>80</v>
      </c>
      <c r="K371" s="342" t="s">
        <v>132</v>
      </c>
      <c r="L371" s="338">
        <v>30077182</v>
      </c>
      <c r="M371" s="855" t="s">
        <v>1608</v>
      </c>
      <c r="N371" s="338" t="s">
        <v>337</v>
      </c>
      <c r="O371" s="245" t="s">
        <v>639</v>
      </c>
      <c r="P371" s="338"/>
      <c r="Q371" s="342" t="s">
        <v>640</v>
      </c>
      <c r="R371" s="344"/>
      <c r="S371" s="274"/>
      <c r="T371" s="344"/>
      <c r="U371" s="344"/>
      <c r="V371" s="344"/>
      <c r="W371" s="344"/>
      <c r="X371" s="274"/>
      <c r="Y371" s="345">
        <v>2369092000</v>
      </c>
      <c r="Z371" s="345">
        <v>9000000</v>
      </c>
      <c r="AA371" s="395"/>
      <c r="AB371" s="346">
        <v>103242800</v>
      </c>
      <c r="AC371" s="346">
        <f t="shared" si="128"/>
        <v>0</v>
      </c>
      <c r="AD371" s="346">
        <f t="shared" si="142"/>
        <v>103242800</v>
      </c>
      <c r="AE371" s="346">
        <v>0</v>
      </c>
      <c r="AF371" s="346">
        <v>0</v>
      </c>
      <c r="AG371" s="346">
        <v>0</v>
      </c>
      <c r="AH371" s="346">
        <v>0</v>
      </c>
      <c r="AI371" s="346">
        <v>0</v>
      </c>
      <c r="AJ371" s="297">
        <v>0</v>
      </c>
      <c r="AK371" s="297">
        <v>0</v>
      </c>
      <c r="AL371" s="297">
        <v>0</v>
      </c>
      <c r="AM371" s="297">
        <v>0</v>
      </c>
      <c r="AN371" s="297">
        <v>0</v>
      </c>
      <c r="AO371" s="297">
        <v>0</v>
      </c>
      <c r="AP371" s="297">
        <v>0</v>
      </c>
      <c r="AQ371" s="296"/>
      <c r="AR371" s="346">
        <f t="shared" si="143"/>
        <v>2256849200</v>
      </c>
      <c r="AS371" s="347" t="s">
        <v>137</v>
      </c>
      <c r="AT371" s="313" t="s">
        <v>137</v>
      </c>
      <c r="AU371" s="342" t="s">
        <v>190</v>
      </c>
    </row>
    <row r="372" spans="1:49" s="217" customFormat="1" ht="25.5" customHeight="1" outlineLevel="1">
      <c r="A372" s="215" t="s">
        <v>125</v>
      </c>
      <c r="B372" s="854">
        <v>31</v>
      </c>
      <c r="C372" s="854" t="s">
        <v>196</v>
      </c>
      <c r="D372" s="855" t="s">
        <v>129</v>
      </c>
      <c r="E372" s="854" t="s">
        <v>130</v>
      </c>
      <c r="F372" s="854" t="s">
        <v>140</v>
      </c>
      <c r="G372" s="854" t="s">
        <v>33</v>
      </c>
      <c r="H372" s="854" t="s">
        <v>47</v>
      </c>
      <c r="I372" s="256">
        <v>18</v>
      </c>
      <c r="J372" s="854" t="s">
        <v>80</v>
      </c>
      <c r="K372" s="856" t="s">
        <v>132</v>
      </c>
      <c r="L372" s="855">
        <v>30376572</v>
      </c>
      <c r="M372" s="855" t="s">
        <v>1606</v>
      </c>
      <c r="N372" s="855"/>
      <c r="O372" s="855" t="s">
        <v>1698</v>
      </c>
      <c r="P372" s="855"/>
      <c r="Q372" s="856" t="s">
        <v>1699</v>
      </c>
      <c r="R372" s="857" t="s">
        <v>1700</v>
      </c>
      <c r="S372" s="274"/>
      <c r="T372" s="857"/>
      <c r="U372" s="857"/>
      <c r="V372" s="857"/>
      <c r="W372" s="857"/>
      <c r="X372" s="274"/>
      <c r="Y372" s="943">
        <v>435343000</v>
      </c>
      <c r="Z372" s="858">
        <v>0</v>
      </c>
      <c r="AA372" s="296"/>
      <c r="AB372" s="859">
        <v>49084</v>
      </c>
      <c r="AC372" s="859">
        <f>SUBTOTAL(9,AE372:AP372)</f>
        <v>49084</v>
      </c>
      <c r="AD372" s="859">
        <f>+AB372-AC372</f>
        <v>0</v>
      </c>
      <c r="AE372" s="859">
        <v>0</v>
      </c>
      <c r="AF372" s="859">
        <v>0</v>
      </c>
      <c r="AG372" s="859">
        <v>0</v>
      </c>
      <c r="AH372" s="859">
        <v>0</v>
      </c>
      <c r="AI372" s="859">
        <v>0</v>
      </c>
      <c r="AJ372" s="297">
        <v>49084</v>
      </c>
      <c r="AK372" s="859">
        <v>0</v>
      </c>
      <c r="AL372" s="859">
        <v>0</v>
      </c>
      <c r="AM372" s="859">
        <v>0</v>
      </c>
      <c r="AN372" s="859">
        <v>0</v>
      </c>
      <c r="AO372" s="859">
        <v>0</v>
      </c>
      <c r="AP372" s="859">
        <v>0</v>
      </c>
      <c r="AQ372" s="296"/>
      <c r="AR372" s="859">
        <f t="shared" ref="AR372" si="144">+Y372-Z372-AC372-AD372</f>
        <v>435293916</v>
      </c>
      <c r="AS372" s="860" t="s">
        <v>137</v>
      </c>
      <c r="AT372" s="860" t="s">
        <v>1475</v>
      </c>
      <c r="AU372" s="856" t="s">
        <v>195</v>
      </c>
    </row>
    <row r="373" spans="1:49" s="217" customFormat="1" ht="25.5" customHeight="1" outlineLevel="1">
      <c r="A373" s="215" t="s">
        <v>125</v>
      </c>
      <c r="B373" s="151">
        <v>31</v>
      </c>
      <c r="C373" s="151" t="s">
        <v>196</v>
      </c>
      <c r="D373" s="245" t="s">
        <v>129</v>
      </c>
      <c r="E373" s="151" t="s">
        <v>130</v>
      </c>
      <c r="F373" s="151" t="s">
        <v>131</v>
      </c>
      <c r="G373" s="151" t="s">
        <v>33</v>
      </c>
      <c r="H373" s="151" t="s">
        <v>47</v>
      </c>
      <c r="I373" s="256">
        <v>18</v>
      </c>
      <c r="J373" s="151" t="s">
        <v>81</v>
      </c>
      <c r="K373" s="176" t="s">
        <v>132</v>
      </c>
      <c r="L373" s="245">
        <v>30127010</v>
      </c>
      <c r="M373" s="855" t="s">
        <v>1606</v>
      </c>
      <c r="N373" s="245" t="s">
        <v>373</v>
      </c>
      <c r="O373" s="245" t="s">
        <v>641</v>
      </c>
      <c r="P373" s="245"/>
      <c r="Q373" s="176" t="s">
        <v>642</v>
      </c>
      <c r="R373" s="273"/>
      <c r="S373" s="274"/>
      <c r="T373" s="273"/>
      <c r="U373" s="273" t="s">
        <v>1554</v>
      </c>
      <c r="V373" s="273">
        <v>3678096000</v>
      </c>
      <c r="W373" s="273"/>
      <c r="X373" s="274"/>
      <c r="Y373" s="275">
        <v>3678102000</v>
      </c>
      <c r="Z373" s="275">
        <v>0</v>
      </c>
      <c r="AA373" s="296"/>
      <c r="AB373" s="297">
        <f>300000000-177140947-6391940</f>
        <v>116467113</v>
      </c>
      <c r="AC373" s="297">
        <f t="shared" si="128"/>
        <v>0</v>
      </c>
      <c r="AD373" s="297">
        <f t="shared" si="142"/>
        <v>116467113</v>
      </c>
      <c r="AE373" s="297">
        <v>0</v>
      </c>
      <c r="AF373" s="297">
        <v>0</v>
      </c>
      <c r="AG373" s="297">
        <v>0</v>
      </c>
      <c r="AH373" s="297">
        <v>0</v>
      </c>
      <c r="AI373" s="297">
        <v>0</v>
      </c>
      <c r="AJ373" s="297">
        <v>0</v>
      </c>
      <c r="AK373" s="297">
        <v>0</v>
      </c>
      <c r="AL373" s="297">
        <v>0</v>
      </c>
      <c r="AM373" s="297">
        <v>0</v>
      </c>
      <c r="AN373" s="297">
        <v>0</v>
      </c>
      <c r="AO373" s="297">
        <v>0</v>
      </c>
      <c r="AP373" s="297">
        <v>0</v>
      </c>
      <c r="AQ373" s="296"/>
      <c r="AR373" s="297">
        <f t="shared" si="143"/>
        <v>3561634887</v>
      </c>
      <c r="AS373" s="313" t="s">
        <v>137</v>
      </c>
      <c r="AT373" s="313" t="s">
        <v>137</v>
      </c>
      <c r="AU373" s="176" t="s">
        <v>195</v>
      </c>
      <c r="AW373" s="218" t="s">
        <v>522</v>
      </c>
    </row>
    <row r="374" spans="1:49" s="217" customFormat="1" ht="25.5" customHeight="1" outlineLevel="1">
      <c r="A374" s="215" t="s">
        <v>125</v>
      </c>
      <c r="B374" s="151">
        <v>29</v>
      </c>
      <c r="C374" s="151" t="s">
        <v>196</v>
      </c>
      <c r="D374" s="245" t="s">
        <v>144</v>
      </c>
      <c r="E374" s="151" t="s">
        <v>169</v>
      </c>
      <c r="F374" s="151" t="s">
        <v>140</v>
      </c>
      <c r="G374" s="151" t="s">
        <v>33</v>
      </c>
      <c r="H374" s="151" t="s">
        <v>47</v>
      </c>
      <c r="I374" s="256">
        <v>18</v>
      </c>
      <c r="J374" s="151" t="s">
        <v>80</v>
      </c>
      <c r="K374" s="176" t="s">
        <v>132</v>
      </c>
      <c r="L374" s="245">
        <v>40008014</v>
      </c>
      <c r="M374" s="855"/>
      <c r="N374" s="245"/>
      <c r="O374" s="245" t="s">
        <v>643</v>
      </c>
      <c r="P374" s="245"/>
      <c r="Q374" s="176" t="s">
        <v>644</v>
      </c>
      <c r="R374" s="273" t="s">
        <v>645</v>
      </c>
      <c r="S374" s="274"/>
      <c r="T374" s="273"/>
      <c r="U374" s="273"/>
      <c r="V374" s="273"/>
      <c r="W374" s="273"/>
      <c r="X374" s="274"/>
      <c r="Y374" s="275">
        <v>105867000</v>
      </c>
      <c r="Z374" s="275">
        <v>0</v>
      </c>
      <c r="AA374" s="296"/>
      <c r="AB374" s="297">
        <v>105867000</v>
      </c>
      <c r="AC374" s="297">
        <f t="shared" ref="AC374:AC416" si="145">SUBTOTAL(9,AE374:AP374)</f>
        <v>0</v>
      </c>
      <c r="AD374" s="297">
        <f t="shared" si="142"/>
        <v>105867000</v>
      </c>
      <c r="AE374" s="297">
        <v>0</v>
      </c>
      <c r="AF374" s="297">
        <v>0</v>
      </c>
      <c r="AG374" s="297">
        <v>0</v>
      </c>
      <c r="AH374" s="297">
        <v>0</v>
      </c>
      <c r="AI374" s="297">
        <v>0</v>
      </c>
      <c r="AJ374" s="297">
        <v>0</v>
      </c>
      <c r="AK374" s="297">
        <v>0</v>
      </c>
      <c r="AL374" s="297">
        <v>0</v>
      </c>
      <c r="AM374" s="297">
        <v>0</v>
      </c>
      <c r="AN374" s="297">
        <v>0</v>
      </c>
      <c r="AO374" s="297">
        <v>0</v>
      </c>
      <c r="AP374" s="297">
        <v>0</v>
      </c>
      <c r="AQ374" s="296"/>
      <c r="AR374" s="297">
        <f t="shared" si="143"/>
        <v>0</v>
      </c>
      <c r="AS374" s="313" t="s">
        <v>148</v>
      </c>
      <c r="AT374" s="313" t="s">
        <v>1464</v>
      </c>
      <c r="AU374" s="176" t="s">
        <v>200</v>
      </c>
    </row>
    <row r="375" spans="1:49" s="217" customFormat="1" ht="25.5" customHeight="1" outlineLevel="1">
      <c r="A375" s="215" t="s">
        <v>125</v>
      </c>
      <c r="B375" s="151">
        <v>31</v>
      </c>
      <c r="C375" s="151" t="s">
        <v>196</v>
      </c>
      <c r="D375" s="245" t="s">
        <v>129</v>
      </c>
      <c r="E375" s="151" t="s">
        <v>130</v>
      </c>
      <c r="F375" s="151" t="s">
        <v>131</v>
      </c>
      <c r="G375" s="151" t="s">
        <v>33</v>
      </c>
      <c r="H375" s="151" t="s">
        <v>47</v>
      </c>
      <c r="I375" s="256">
        <v>18</v>
      </c>
      <c r="J375" s="151" t="s">
        <v>81</v>
      </c>
      <c r="K375" s="176" t="s">
        <v>202</v>
      </c>
      <c r="L375" s="245">
        <v>30437675</v>
      </c>
      <c r="M375" s="855" t="s">
        <v>1606</v>
      </c>
      <c r="N375" s="245" t="s">
        <v>373</v>
      </c>
      <c r="O375" s="245" t="s">
        <v>646</v>
      </c>
      <c r="P375" s="245"/>
      <c r="Q375" s="176" t="s">
        <v>647</v>
      </c>
      <c r="R375" s="273"/>
      <c r="S375" s="274"/>
      <c r="T375" s="273"/>
      <c r="U375" s="273" t="s">
        <v>1555</v>
      </c>
      <c r="V375" s="273">
        <v>500000000</v>
      </c>
      <c r="W375" s="273"/>
      <c r="X375" s="274"/>
      <c r="Y375" s="275">
        <v>500000000</v>
      </c>
      <c r="Z375" s="275">
        <v>0</v>
      </c>
      <c r="AA375" s="296"/>
      <c r="AB375" s="297">
        <v>250000000</v>
      </c>
      <c r="AC375" s="297">
        <f t="shared" si="145"/>
        <v>0</v>
      </c>
      <c r="AD375" s="297">
        <f t="shared" si="142"/>
        <v>250000000</v>
      </c>
      <c r="AE375" s="297">
        <v>0</v>
      </c>
      <c r="AF375" s="297">
        <v>0</v>
      </c>
      <c r="AG375" s="297">
        <v>0</v>
      </c>
      <c r="AH375" s="297">
        <v>0</v>
      </c>
      <c r="AI375" s="297">
        <v>0</v>
      </c>
      <c r="AJ375" s="297">
        <v>0</v>
      </c>
      <c r="AK375" s="297">
        <v>0</v>
      </c>
      <c r="AL375" s="297">
        <v>0</v>
      </c>
      <c r="AM375" s="297">
        <v>0</v>
      </c>
      <c r="AN375" s="297">
        <v>0</v>
      </c>
      <c r="AO375" s="297">
        <v>0</v>
      </c>
      <c r="AP375" s="297">
        <v>0</v>
      </c>
      <c r="AQ375" s="296"/>
      <c r="AR375" s="297">
        <f t="shared" si="143"/>
        <v>250000000</v>
      </c>
      <c r="AS375" s="313" t="s">
        <v>137</v>
      </c>
      <c r="AT375" s="313" t="s">
        <v>137</v>
      </c>
      <c r="AU375" s="176" t="s">
        <v>195</v>
      </c>
      <c r="AW375" s="218" t="s">
        <v>522</v>
      </c>
    </row>
    <row r="376" spans="1:49" s="217" customFormat="1" ht="25.5" customHeight="1" outlineLevel="1">
      <c r="A376" s="215" t="s">
        <v>125</v>
      </c>
      <c r="B376" s="247"/>
      <c r="C376" s="247"/>
      <c r="D376" s="248"/>
      <c r="E376" s="249"/>
      <c r="F376" s="249"/>
      <c r="G376" s="249"/>
      <c r="H376" s="249"/>
      <c r="I376" s="249"/>
      <c r="J376" s="247"/>
      <c r="K376" s="259"/>
      <c r="L376" s="248"/>
      <c r="M376" s="248"/>
      <c r="N376" s="250"/>
      <c r="O376" s="250"/>
      <c r="P376" s="250"/>
      <c r="Q376" s="260" t="s">
        <v>201</v>
      </c>
      <c r="R376" s="278"/>
      <c r="S376" s="279"/>
      <c r="T376" s="279"/>
      <c r="U376" s="279"/>
      <c r="V376" s="279"/>
      <c r="W376" s="279"/>
      <c r="X376" s="281"/>
      <c r="Y376" s="286">
        <f>SUM(Y370:Y375)</f>
        <v>9145944000</v>
      </c>
      <c r="Z376" s="286">
        <f t="shared" ref="Z376:AP376" si="146">SUM(Z370:Z375)</f>
        <v>9000000</v>
      </c>
      <c r="AA376" s="303"/>
      <c r="AB376" s="286">
        <f t="shared" si="146"/>
        <v>662745016</v>
      </c>
      <c r="AC376" s="286">
        <f t="shared" si="145"/>
        <v>49084</v>
      </c>
      <c r="AD376" s="286">
        <f t="shared" si="146"/>
        <v>662695932</v>
      </c>
      <c r="AE376" s="286">
        <f t="shared" si="146"/>
        <v>0</v>
      </c>
      <c r="AF376" s="286">
        <f t="shared" si="146"/>
        <v>0</v>
      </c>
      <c r="AG376" s="286">
        <f t="shared" si="146"/>
        <v>0</v>
      </c>
      <c r="AH376" s="286">
        <f t="shared" si="146"/>
        <v>0</v>
      </c>
      <c r="AI376" s="286">
        <f t="shared" si="146"/>
        <v>0</v>
      </c>
      <c r="AJ376" s="286">
        <v>49084</v>
      </c>
      <c r="AK376" s="286">
        <v>0</v>
      </c>
      <c r="AL376" s="286">
        <v>0</v>
      </c>
      <c r="AM376" s="286">
        <f t="shared" si="146"/>
        <v>0</v>
      </c>
      <c r="AN376" s="286">
        <f t="shared" si="146"/>
        <v>0</v>
      </c>
      <c r="AO376" s="286">
        <f t="shared" si="146"/>
        <v>0</v>
      </c>
      <c r="AP376" s="286">
        <f t="shared" si="146"/>
        <v>0</v>
      </c>
      <c r="AQ376" s="287"/>
      <c r="AR376" s="286">
        <f t="shared" si="143"/>
        <v>8474198984</v>
      </c>
      <c r="AS376" s="315"/>
      <c r="AT376" s="315"/>
      <c r="AU376" s="220"/>
    </row>
    <row r="377" spans="1:49" ht="18.75" customHeight="1" outlineLevel="1">
      <c r="A377" s="215" t="s">
        <v>125</v>
      </c>
      <c r="B377" s="249"/>
      <c r="C377" s="249"/>
      <c r="D377" s="250"/>
      <c r="E377" s="249"/>
      <c r="F377" s="249"/>
      <c r="G377" s="249"/>
      <c r="H377" s="249"/>
      <c r="I377" s="249"/>
      <c r="J377" s="249"/>
      <c r="K377" s="261"/>
      <c r="L377" s="250"/>
      <c r="M377" s="250"/>
      <c r="N377" s="250"/>
      <c r="O377" s="250"/>
      <c r="P377" s="250"/>
      <c r="Q377" s="261"/>
      <c r="R377" s="283"/>
      <c r="S377" s="283"/>
      <c r="T377" s="283"/>
      <c r="U377" s="283"/>
      <c r="V377" s="283"/>
      <c r="W377" s="283"/>
      <c r="X377" s="283"/>
      <c r="Y377" s="284"/>
      <c r="Z377" s="284"/>
      <c r="AA377" s="301"/>
      <c r="AB377" s="301"/>
      <c r="AC377" s="301"/>
      <c r="AD377" s="301"/>
      <c r="AE377" s="301"/>
      <c r="AF377" s="301"/>
      <c r="AG377" s="301"/>
      <c r="AH377" s="301"/>
      <c r="AI377" s="301"/>
      <c r="AJ377" s="301"/>
      <c r="AK377" s="301"/>
      <c r="AL377" s="301"/>
      <c r="AM377" s="301"/>
      <c r="AN377" s="301"/>
      <c r="AO377" s="301"/>
      <c r="AP377" s="301"/>
      <c r="AQ377" s="301"/>
      <c r="AR377" s="301"/>
      <c r="AS377" s="316"/>
      <c r="AT377" s="316"/>
      <c r="AU377" s="317"/>
    </row>
    <row r="378" spans="1:49" s="219" customFormat="1" ht="24.75" customHeight="1" outlineLevel="1">
      <c r="A378" s="215" t="s">
        <v>125</v>
      </c>
      <c r="B378" s="251"/>
      <c r="C378" s="249"/>
      <c r="D378" s="250"/>
      <c r="E378" s="249"/>
      <c r="F378" s="249"/>
      <c r="G378" s="249"/>
      <c r="H378" s="249"/>
      <c r="I378" s="249"/>
      <c r="J378" s="251"/>
      <c r="K378" s="263"/>
      <c r="L378" s="252"/>
      <c r="M378" s="252"/>
      <c r="N378" s="252"/>
      <c r="O378" s="252"/>
      <c r="P378" s="252"/>
      <c r="Q378" s="117" t="s">
        <v>364</v>
      </c>
      <c r="R378" s="288"/>
      <c r="S378" s="289"/>
      <c r="T378" s="289"/>
      <c r="U378" s="289"/>
      <c r="V378" s="289"/>
      <c r="W378" s="289"/>
      <c r="X378" s="290"/>
      <c r="Y378" s="118">
        <f>+Y367+Y376</f>
        <v>27945519000</v>
      </c>
      <c r="Z378" s="118">
        <f>+Z367+Z376</f>
        <v>7950181696</v>
      </c>
      <c r="AA378" s="304"/>
      <c r="AB378" s="118">
        <f t="shared" ref="AB378:AD378" si="147">+AB367+AB376</f>
        <v>5599913155</v>
      </c>
      <c r="AC378" s="118">
        <f t="shared" si="147"/>
        <v>4772166257</v>
      </c>
      <c r="AD378" s="118">
        <f t="shared" si="147"/>
        <v>827746898</v>
      </c>
      <c r="AE378" s="118">
        <f>+AE367+AE376</f>
        <v>0</v>
      </c>
      <c r="AF378" s="118">
        <f t="shared" ref="AF378:AP378" si="148">+AF367+AF376</f>
        <v>0</v>
      </c>
      <c r="AG378" s="118">
        <f t="shared" si="148"/>
        <v>0</v>
      </c>
      <c r="AH378" s="118">
        <f t="shared" si="148"/>
        <v>0</v>
      </c>
      <c r="AI378" s="118">
        <f t="shared" si="148"/>
        <v>0</v>
      </c>
      <c r="AJ378" s="118">
        <v>77155690</v>
      </c>
      <c r="AK378" s="118">
        <f t="shared" si="148"/>
        <v>261315293</v>
      </c>
      <c r="AL378" s="118">
        <f t="shared" si="148"/>
        <v>100888405</v>
      </c>
      <c r="AM378" s="118">
        <f t="shared" si="148"/>
        <v>1235778120</v>
      </c>
      <c r="AN378" s="118">
        <f t="shared" si="148"/>
        <v>554764167</v>
      </c>
      <c r="AO378" s="118">
        <f t="shared" si="148"/>
        <v>1607680221</v>
      </c>
      <c r="AP378" s="118">
        <f t="shared" si="148"/>
        <v>934584361</v>
      </c>
      <c r="AQ378" s="318"/>
      <c r="AR378" s="118">
        <f>+Y378-Z378-AC378-AD378</f>
        <v>14395424149</v>
      </c>
      <c r="AS378" s="333"/>
      <c r="AT378" s="333"/>
      <c r="AU378" s="320"/>
    </row>
    <row r="379" spans="1:49" ht="18.75" customHeight="1" outlineLevel="1">
      <c r="A379" s="215" t="s">
        <v>125</v>
      </c>
      <c r="B379" s="249"/>
      <c r="C379" s="249"/>
      <c r="D379" s="250"/>
      <c r="E379" s="249"/>
      <c r="F379" s="249"/>
      <c r="G379" s="249"/>
      <c r="H379" s="249"/>
      <c r="I379" s="249"/>
      <c r="J379" s="249"/>
      <c r="K379" s="261"/>
      <c r="L379" s="250"/>
      <c r="M379" s="250"/>
      <c r="N379" s="250"/>
      <c r="O379" s="250"/>
      <c r="P379" s="250"/>
      <c r="Q379" s="261"/>
      <c r="R379" s="283"/>
      <c r="S379" s="283"/>
      <c r="T379" s="283"/>
      <c r="U379" s="283"/>
      <c r="V379" s="283"/>
      <c r="W379" s="283"/>
      <c r="X379" s="283"/>
      <c r="Y379" s="284"/>
      <c r="Z379" s="284"/>
      <c r="AA379" s="301"/>
      <c r="AB379" s="301"/>
      <c r="AC379" s="301"/>
      <c r="AD379" s="301"/>
      <c r="AE379" s="301"/>
      <c r="AF379" s="301"/>
      <c r="AG379" s="301"/>
      <c r="AH379" s="301"/>
      <c r="AI379" s="301"/>
      <c r="AJ379" s="301"/>
      <c r="AK379" s="301"/>
      <c r="AL379" s="301"/>
      <c r="AM379" s="301"/>
      <c r="AN379" s="301"/>
      <c r="AO379" s="301"/>
      <c r="AP379" s="301"/>
      <c r="AQ379" s="301"/>
      <c r="AR379" s="301"/>
      <c r="AS379" s="316"/>
      <c r="AT379" s="316"/>
      <c r="AU379" s="317"/>
    </row>
    <row r="380" spans="1:49" s="219" customFormat="1" ht="24.75" customHeight="1" outlineLevel="1">
      <c r="A380" s="215" t="s">
        <v>125</v>
      </c>
      <c r="B380" s="251"/>
      <c r="C380" s="249"/>
      <c r="D380" s="250"/>
      <c r="E380" s="249"/>
      <c r="F380" s="249"/>
      <c r="G380" s="249"/>
      <c r="H380" s="249"/>
      <c r="I380" s="249"/>
      <c r="J380" s="251"/>
      <c r="K380" s="263"/>
      <c r="L380" s="252"/>
      <c r="M380" s="252"/>
      <c r="N380" s="252"/>
      <c r="O380" s="252"/>
      <c r="P380" s="252"/>
      <c r="Q380" s="117" t="s">
        <v>650</v>
      </c>
      <c r="R380" s="288"/>
      <c r="S380" s="289"/>
      <c r="T380" s="289"/>
      <c r="U380" s="289"/>
      <c r="V380" s="289"/>
      <c r="W380" s="289"/>
      <c r="X380" s="290"/>
      <c r="Y380" s="118">
        <f>+Y188+Y215+Y236+Y257+Y278+Y293+Y317+Y335+Y359+Y378</f>
        <v>113404416519</v>
      </c>
      <c r="Z380" s="118">
        <f>+Z188+Z215+Z236+Z257+Z278+Z293+Z317+Z335+Z359+Z378</f>
        <v>28678511839</v>
      </c>
      <c r="AA380" s="304"/>
      <c r="AB380" s="118">
        <f t="shared" ref="AB380:AI380" si="149">+AB188+AB215+AB236+AB257+AB278+AB293+AB317+AB335+AB359+AB378</f>
        <v>25307496695</v>
      </c>
      <c r="AC380" s="118">
        <f t="shared" si="149"/>
        <v>11161729473</v>
      </c>
      <c r="AD380" s="118">
        <f t="shared" si="149"/>
        <v>14145767222</v>
      </c>
      <c r="AE380" s="118">
        <f t="shared" si="149"/>
        <v>0</v>
      </c>
      <c r="AF380" s="118">
        <f t="shared" si="149"/>
        <v>0</v>
      </c>
      <c r="AG380" s="118">
        <f t="shared" si="149"/>
        <v>0</v>
      </c>
      <c r="AH380" s="118">
        <f t="shared" si="149"/>
        <v>0</v>
      </c>
      <c r="AI380" s="118">
        <f t="shared" si="149"/>
        <v>0</v>
      </c>
      <c r="AJ380" s="118">
        <v>717077288</v>
      </c>
      <c r="AK380" s="118">
        <f t="shared" ref="AK380:AP380" si="150">+AK188+AK215+AK236+AK257+AK278+AK293+AK317+AK335+AK359+AK378</f>
        <v>1204348659</v>
      </c>
      <c r="AL380" s="118">
        <f t="shared" si="150"/>
        <v>978734537</v>
      </c>
      <c r="AM380" s="118">
        <f t="shared" si="150"/>
        <v>2578626076</v>
      </c>
      <c r="AN380" s="118">
        <f t="shared" si="150"/>
        <v>1656614987</v>
      </c>
      <c r="AO380" s="118">
        <f t="shared" si="150"/>
        <v>2609233375</v>
      </c>
      <c r="AP380" s="118">
        <f t="shared" si="150"/>
        <v>1417094551</v>
      </c>
      <c r="AQ380" s="318"/>
      <c r="AR380" s="118">
        <f>+Y380-Z380-AC380-AD380</f>
        <v>59418407985</v>
      </c>
      <c r="AS380" s="333"/>
      <c r="AT380" s="333"/>
      <c r="AU380" s="320"/>
    </row>
    <row r="381" spans="1:49" ht="18.75" customHeight="1" outlineLevel="1">
      <c r="A381" s="215" t="s">
        <v>125</v>
      </c>
      <c r="B381" s="249"/>
      <c r="C381" s="249"/>
      <c r="D381" s="250"/>
      <c r="E381" s="249"/>
      <c r="F381" s="249"/>
      <c r="G381" s="249"/>
      <c r="H381" s="249"/>
      <c r="I381" s="249"/>
      <c r="J381" s="249"/>
      <c r="K381" s="261"/>
      <c r="L381" s="250"/>
      <c r="M381" s="250"/>
      <c r="N381" s="250"/>
      <c r="O381" s="250"/>
      <c r="P381" s="250"/>
      <c r="Q381" s="261"/>
      <c r="R381" s="283"/>
      <c r="S381" s="283"/>
      <c r="T381" s="283"/>
      <c r="U381" s="283"/>
      <c r="V381" s="283"/>
      <c r="W381" s="283"/>
      <c r="X381" s="283"/>
      <c r="Y381" s="284"/>
      <c r="Z381" s="284"/>
      <c r="AA381" s="301"/>
      <c r="AB381" s="301"/>
      <c r="AC381" s="301"/>
      <c r="AD381" s="301"/>
      <c r="AE381" s="301"/>
      <c r="AF381" s="301"/>
      <c r="AG381" s="301"/>
      <c r="AH381" s="301"/>
      <c r="AI381" s="301"/>
      <c r="AJ381" s="301"/>
      <c r="AK381" s="301"/>
      <c r="AL381" s="301"/>
      <c r="AM381" s="301"/>
      <c r="AN381" s="301"/>
      <c r="AO381" s="301"/>
      <c r="AP381" s="301"/>
      <c r="AQ381" s="301"/>
      <c r="AR381" s="301"/>
      <c r="AS381" s="316"/>
      <c r="AT381" s="316"/>
      <c r="AU381" s="317"/>
    </row>
    <row r="382" spans="1:49" ht="26.25" customHeight="1" outlineLevel="1">
      <c r="A382" s="215" t="s">
        <v>125</v>
      </c>
      <c r="B382" s="249"/>
      <c r="C382" s="249"/>
      <c r="D382" s="250"/>
      <c r="E382" s="249"/>
      <c r="F382" s="249"/>
      <c r="G382" s="249"/>
      <c r="H382" s="249"/>
      <c r="I382" s="249"/>
      <c r="J382" s="249"/>
      <c r="K382" s="261"/>
      <c r="L382" s="250"/>
      <c r="M382" s="250"/>
      <c r="N382" s="250"/>
      <c r="O382" s="250"/>
      <c r="P382" s="250"/>
      <c r="Q382" s="264" t="s">
        <v>651</v>
      </c>
      <c r="R382" s="283"/>
      <c r="S382" s="283"/>
      <c r="T382" s="283"/>
      <c r="U382" s="283"/>
      <c r="V382" s="283"/>
      <c r="W382" s="283"/>
      <c r="X382" s="283"/>
      <c r="Y382" s="284"/>
      <c r="Z382" s="284"/>
      <c r="AA382" s="301"/>
      <c r="AB382" s="301"/>
      <c r="AC382" s="301"/>
      <c r="AD382" s="301"/>
      <c r="AE382" s="301"/>
      <c r="AF382" s="301"/>
      <c r="AG382" s="301"/>
      <c r="AH382" s="301"/>
      <c r="AI382" s="301"/>
      <c r="AJ382" s="301"/>
      <c r="AK382" s="301"/>
      <c r="AL382" s="301"/>
      <c r="AM382" s="301"/>
      <c r="AN382" s="301"/>
      <c r="AO382" s="301"/>
      <c r="AP382" s="301"/>
      <c r="AQ382" s="301"/>
      <c r="AR382" s="301"/>
      <c r="AS382" s="316"/>
      <c r="AT382" s="316"/>
      <c r="AU382" s="317"/>
    </row>
    <row r="383" spans="1:49" s="216" customFormat="1" ht="15" customHeight="1" outlineLevel="1">
      <c r="A383" s="215" t="s">
        <v>125</v>
      </c>
      <c r="B383" s="249"/>
      <c r="C383" s="249"/>
      <c r="D383" s="250"/>
      <c r="E383" s="249"/>
      <c r="F383" s="249"/>
      <c r="G383" s="249"/>
      <c r="H383" s="249"/>
      <c r="I383" s="249"/>
      <c r="J383" s="249"/>
      <c r="K383" s="261"/>
      <c r="L383" s="250"/>
      <c r="M383" s="250"/>
      <c r="N383" s="250"/>
      <c r="O383" s="250"/>
      <c r="P383" s="250"/>
      <c r="Q383" s="255"/>
      <c r="R383" s="283"/>
      <c r="S383" s="283"/>
      <c r="T383" s="283"/>
      <c r="U383" s="283"/>
      <c r="V383" s="283"/>
      <c r="W383" s="283"/>
      <c r="X383" s="283"/>
      <c r="Y383" s="284"/>
      <c r="Z383" s="284"/>
      <c r="AA383" s="301"/>
      <c r="AB383" s="301"/>
      <c r="AC383" s="301"/>
      <c r="AD383" s="301"/>
      <c r="AE383" s="301"/>
      <c r="AF383" s="301"/>
      <c r="AG383" s="301"/>
      <c r="AH383" s="301"/>
      <c r="AI383" s="301"/>
      <c r="AJ383" s="301"/>
      <c r="AK383" s="301"/>
      <c r="AL383" s="301"/>
      <c r="AM383" s="301"/>
      <c r="AN383" s="301"/>
      <c r="AO383" s="301"/>
      <c r="AP383" s="301"/>
      <c r="AQ383" s="301"/>
      <c r="AR383" s="301"/>
      <c r="AS383" s="316"/>
      <c r="AT383" s="316"/>
      <c r="AU383" s="317"/>
    </row>
    <row r="384" spans="1:49" s="217" customFormat="1" ht="25.5" customHeight="1" outlineLevel="1">
      <c r="A384" s="215" t="s">
        <v>125</v>
      </c>
      <c r="B384" s="247"/>
      <c r="C384" s="247"/>
      <c r="D384" s="248"/>
      <c r="E384" s="249"/>
      <c r="F384" s="249"/>
      <c r="G384" s="249"/>
      <c r="H384" s="249"/>
      <c r="I384" s="249"/>
      <c r="J384" s="247"/>
      <c r="K384" s="259"/>
      <c r="L384" s="248"/>
      <c r="M384" s="248"/>
      <c r="N384" s="250"/>
      <c r="O384" s="250"/>
      <c r="P384" s="250"/>
      <c r="Q384" s="99" t="s">
        <v>127</v>
      </c>
      <c r="R384" s="283"/>
      <c r="S384" s="283"/>
      <c r="T384" s="283"/>
      <c r="U384" s="283"/>
      <c r="V384" s="283"/>
      <c r="W384" s="283"/>
      <c r="X384" s="283"/>
      <c r="Y384" s="285"/>
      <c r="Z384" s="285"/>
      <c r="AA384" s="302"/>
      <c r="AB384" s="302"/>
      <c r="AC384" s="302"/>
      <c r="AD384" s="302"/>
      <c r="AE384" s="302"/>
      <c r="AF384" s="302"/>
      <c r="AG384" s="302"/>
      <c r="AH384" s="301"/>
      <c r="AI384" s="301"/>
      <c r="AJ384" s="301"/>
      <c r="AK384" s="301"/>
      <c r="AL384" s="301"/>
      <c r="AM384" s="301"/>
      <c r="AN384" s="301"/>
      <c r="AO384" s="301"/>
      <c r="AP384" s="301"/>
      <c r="AQ384" s="302"/>
      <c r="AR384" s="302"/>
      <c r="AS384" s="315"/>
      <c r="AT384" s="315"/>
      <c r="AU384" s="220"/>
    </row>
    <row r="385" spans="1:47" s="218" customFormat="1" ht="25.5" customHeight="1" outlineLevel="2">
      <c r="A385" s="215" t="s">
        <v>125</v>
      </c>
      <c r="B385" s="151">
        <v>31</v>
      </c>
      <c r="C385" s="151" t="s">
        <v>128</v>
      </c>
      <c r="D385" s="245" t="s">
        <v>139</v>
      </c>
      <c r="E385" s="151" t="s">
        <v>130</v>
      </c>
      <c r="F385" s="151" t="s">
        <v>140</v>
      </c>
      <c r="G385" s="151" t="s">
        <v>34</v>
      </c>
      <c r="H385" s="151" t="s">
        <v>57</v>
      </c>
      <c r="I385" s="256">
        <v>19</v>
      </c>
      <c r="J385" s="151" t="s">
        <v>80</v>
      </c>
      <c r="K385" s="176" t="s">
        <v>132</v>
      </c>
      <c r="L385" s="245">
        <v>30085972</v>
      </c>
      <c r="M385" s="855"/>
      <c r="N385" s="245" t="s">
        <v>652</v>
      </c>
      <c r="O385" s="245" t="s">
        <v>653</v>
      </c>
      <c r="P385" s="245"/>
      <c r="Q385" s="176" t="s">
        <v>654</v>
      </c>
      <c r="R385" s="273" t="s">
        <v>655</v>
      </c>
      <c r="S385" s="274"/>
      <c r="T385" s="273"/>
      <c r="U385" s="273"/>
      <c r="V385" s="273"/>
      <c r="W385" s="273"/>
      <c r="X385" s="274"/>
      <c r="Y385" s="275">
        <v>1847765465</v>
      </c>
      <c r="Z385" s="275">
        <v>1847765465</v>
      </c>
      <c r="AA385" s="296"/>
      <c r="AB385" s="297">
        <v>0</v>
      </c>
      <c r="AC385" s="297">
        <f t="shared" si="145"/>
        <v>0</v>
      </c>
      <c r="AD385" s="297">
        <f t="shared" ref="AD385:AD391" si="151">+AB385-AC385</f>
        <v>0</v>
      </c>
      <c r="AE385" s="297">
        <v>0</v>
      </c>
      <c r="AF385" s="297">
        <v>0</v>
      </c>
      <c r="AG385" s="297">
        <v>0</v>
      </c>
      <c r="AH385" s="297">
        <v>0</v>
      </c>
      <c r="AI385" s="297">
        <v>0</v>
      </c>
      <c r="AJ385" s="297">
        <v>0</v>
      </c>
      <c r="AK385" s="297">
        <v>0</v>
      </c>
      <c r="AL385" s="297">
        <v>0</v>
      </c>
      <c r="AM385" s="297">
        <v>0</v>
      </c>
      <c r="AN385" s="297">
        <v>0</v>
      </c>
      <c r="AO385" s="297">
        <v>0</v>
      </c>
      <c r="AP385" s="297">
        <v>0</v>
      </c>
      <c r="AQ385" s="296"/>
      <c r="AR385" s="297">
        <f t="shared" ref="AR385:AR392" si="152">+Y385-Z385-AC385-AD385</f>
        <v>0</v>
      </c>
      <c r="AS385" s="313" t="s">
        <v>137</v>
      </c>
      <c r="AT385" s="313" t="s">
        <v>1475</v>
      </c>
      <c r="AU385" s="176" t="s">
        <v>301</v>
      </c>
    </row>
    <row r="386" spans="1:47" s="218" customFormat="1" ht="25.5" customHeight="1" outlineLevel="2">
      <c r="A386" s="215" t="s">
        <v>125</v>
      </c>
      <c r="B386" s="151">
        <v>31</v>
      </c>
      <c r="C386" s="151" t="s">
        <v>128</v>
      </c>
      <c r="D386" s="245" t="s">
        <v>168</v>
      </c>
      <c r="E386" s="151" t="s">
        <v>130</v>
      </c>
      <c r="F386" s="151" t="s">
        <v>207</v>
      </c>
      <c r="G386" s="151" t="s">
        <v>34</v>
      </c>
      <c r="H386" s="151" t="s">
        <v>57</v>
      </c>
      <c r="I386" s="256">
        <v>19</v>
      </c>
      <c r="J386" s="151" t="s">
        <v>80</v>
      </c>
      <c r="K386" s="176" t="s">
        <v>132</v>
      </c>
      <c r="L386" s="245">
        <v>30341232</v>
      </c>
      <c r="M386" s="855"/>
      <c r="N386" s="245" t="s">
        <v>656</v>
      </c>
      <c r="O386" s="245" t="s">
        <v>657</v>
      </c>
      <c r="P386" s="245"/>
      <c r="Q386" s="176" t="s">
        <v>1625</v>
      </c>
      <c r="R386" s="273" t="s">
        <v>1624</v>
      </c>
      <c r="S386" s="274"/>
      <c r="T386" s="273"/>
      <c r="U386" s="273"/>
      <c r="V386" s="273"/>
      <c r="W386" s="273"/>
      <c r="X386" s="274"/>
      <c r="Y386" s="326">
        <v>160308499</v>
      </c>
      <c r="Z386" s="275">
        <v>88202923</v>
      </c>
      <c r="AA386" s="296"/>
      <c r="AB386" s="297">
        <v>27448301</v>
      </c>
      <c r="AC386" s="297">
        <f t="shared" si="145"/>
        <v>0</v>
      </c>
      <c r="AD386" s="297">
        <f t="shared" si="151"/>
        <v>27448301</v>
      </c>
      <c r="AE386" s="297">
        <v>0</v>
      </c>
      <c r="AF386" s="297">
        <v>0</v>
      </c>
      <c r="AG386" s="297">
        <v>0</v>
      </c>
      <c r="AH386" s="297">
        <v>0</v>
      </c>
      <c r="AI386" s="297">
        <v>0</v>
      </c>
      <c r="AJ386" s="297">
        <v>0</v>
      </c>
      <c r="AK386" s="297">
        <v>0</v>
      </c>
      <c r="AL386" s="297">
        <v>0</v>
      </c>
      <c r="AM386" s="297">
        <v>0</v>
      </c>
      <c r="AN386" s="297">
        <v>0</v>
      </c>
      <c r="AO386" s="297">
        <v>0</v>
      </c>
      <c r="AP386" s="297">
        <v>0</v>
      </c>
      <c r="AQ386" s="296"/>
      <c r="AR386" s="297">
        <f t="shared" si="152"/>
        <v>44657275</v>
      </c>
      <c r="AS386" s="313" t="s">
        <v>137</v>
      </c>
      <c r="AT386" s="313" t="s">
        <v>137</v>
      </c>
      <c r="AU386" s="176" t="s">
        <v>138</v>
      </c>
    </row>
    <row r="387" spans="1:47" s="218" customFormat="1" ht="25.5" customHeight="1" outlineLevel="2">
      <c r="A387" s="215" t="s">
        <v>125</v>
      </c>
      <c r="B387" s="151">
        <v>31</v>
      </c>
      <c r="C387" s="151" t="s">
        <v>128</v>
      </c>
      <c r="D387" s="245" t="s">
        <v>168</v>
      </c>
      <c r="E387" s="151" t="s">
        <v>130</v>
      </c>
      <c r="F387" s="151" t="s">
        <v>207</v>
      </c>
      <c r="G387" s="151" t="s">
        <v>34</v>
      </c>
      <c r="H387" s="151" t="s">
        <v>57</v>
      </c>
      <c r="I387" s="256">
        <v>19</v>
      </c>
      <c r="J387" s="151" t="s">
        <v>80</v>
      </c>
      <c r="K387" s="176" t="s">
        <v>132</v>
      </c>
      <c r="L387" s="245">
        <v>30476333</v>
      </c>
      <c r="M387" s="855"/>
      <c r="N387" s="245" t="s">
        <v>656</v>
      </c>
      <c r="O387" s="245" t="s">
        <v>658</v>
      </c>
      <c r="P387" s="245"/>
      <c r="Q387" s="176" t="s">
        <v>659</v>
      </c>
      <c r="R387" s="273"/>
      <c r="S387" s="274"/>
      <c r="T387" s="273"/>
      <c r="U387" s="273"/>
      <c r="V387" s="273"/>
      <c r="W387" s="273"/>
      <c r="X387" s="274"/>
      <c r="Y387" s="275">
        <v>481533000</v>
      </c>
      <c r="Z387" s="275">
        <v>76584642</v>
      </c>
      <c r="AA387" s="296"/>
      <c r="AB387" s="297">
        <f>343415064+61533294</f>
        <v>404948358</v>
      </c>
      <c r="AC387" s="297">
        <f t="shared" si="145"/>
        <v>401363136</v>
      </c>
      <c r="AD387" s="297">
        <f t="shared" si="151"/>
        <v>3585222</v>
      </c>
      <c r="AE387" s="297">
        <v>0</v>
      </c>
      <c r="AF387" s="297">
        <v>0</v>
      </c>
      <c r="AG387" s="297">
        <v>0</v>
      </c>
      <c r="AH387" s="297">
        <v>0</v>
      </c>
      <c r="AI387" s="297">
        <v>0</v>
      </c>
      <c r="AJ387" s="297">
        <v>0</v>
      </c>
      <c r="AK387" s="297">
        <v>0</v>
      </c>
      <c r="AL387" s="297">
        <v>0</v>
      </c>
      <c r="AM387" s="297">
        <v>21109805</v>
      </c>
      <c r="AN387" s="297">
        <v>2300000</v>
      </c>
      <c r="AO387" s="297">
        <v>159747627</v>
      </c>
      <c r="AP387" s="297">
        <v>218205704</v>
      </c>
      <c r="AQ387" s="296"/>
      <c r="AR387" s="297">
        <f t="shared" si="152"/>
        <v>0</v>
      </c>
      <c r="AS387" s="313" t="s">
        <v>137</v>
      </c>
      <c r="AT387" s="313" t="s">
        <v>137</v>
      </c>
      <c r="AU387" s="176" t="s">
        <v>138</v>
      </c>
    </row>
    <row r="388" spans="1:47" s="218" customFormat="1" ht="25.5" customHeight="1" outlineLevel="2">
      <c r="A388" s="215" t="s">
        <v>125</v>
      </c>
      <c r="B388" s="151">
        <v>31</v>
      </c>
      <c r="C388" s="151" t="s">
        <v>128</v>
      </c>
      <c r="D388" s="245" t="s">
        <v>159</v>
      </c>
      <c r="E388" s="151" t="s">
        <v>130</v>
      </c>
      <c r="F388" s="151" t="s">
        <v>140</v>
      </c>
      <c r="G388" s="151" t="s">
        <v>34</v>
      </c>
      <c r="H388" s="151" t="s">
        <v>57</v>
      </c>
      <c r="I388" s="256">
        <v>19</v>
      </c>
      <c r="J388" s="151" t="s">
        <v>80</v>
      </c>
      <c r="K388" s="176" t="s">
        <v>132</v>
      </c>
      <c r="L388" s="245">
        <v>30486350</v>
      </c>
      <c r="M388" s="855"/>
      <c r="N388" s="245" t="s">
        <v>656</v>
      </c>
      <c r="O388" s="245" t="s">
        <v>660</v>
      </c>
      <c r="P388" s="245"/>
      <c r="Q388" s="176" t="s">
        <v>661</v>
      </c>
      <c r="R388" s="273" t="s">
        <v>662</v>
      </c>
      <c r="S388" s="274"/>
      <c r="T388" s="273"/>
      <c r="U388" s="273"/>
      <c r="V388" s="273"/>
      <c r="W388" s="273"/>
      <c r="X388" s="274"/>
      <c r="Y388" s="275">
        <f>+Z388+15371804</f>
        <v>125477804</v>
      </c>
      <c r="Z388" s="297">
        <v>110106000</v>
      </c>
      <c r="AA388" s="296"/>
      <c r="AB388" s="297">
        <v>15371804</v>
      </c>
      <c r="AC388" s="297">
        <f t="shared" si="145"/>
        <v>15371804</v>
      </c>
      <c r="AD388" s="297">
        <f t="shared" si="151"/>
        <v>0</v>
      </c>
      <c r="AE388" s="297"/>
      <c r="AF388" s="297"/>
      <c r="AG388" s="297"/>
      <c r="AH388" s="297"/>
      <c r="AI388" s="297"/>
      <c r="AJ388" s="297">
        <v>0</v>
      </c>
      <c r="AK388" s="297">
        <v>0</v>
      </c>
      <c r="AL388" s="297">
        <v>0</v>
      </c>
      <c r="AM388" s="297">
        <v>0</v>
      </c>
      <c r="AN388" s="297">
        <v>0</v>
      </c>
      <c r="AO388" s="297">
        <v>15371804</v>
      </c>
      <c r="AP388" s="297">
        <v>0</v>
      </c>
      <c r="AQ388" s="296"/>
      <c r="AR388" s="297">
        <f t="shared" si="152"/>
        <v>0</v>
      </c>
      <c r="AS388" s="313" t="s">
        <v>148</v>
      </c>
      <c r="AT388" s="313" t="s">
        <v>1464</v>
      </c>
      <c r="AU388" s="176" t="s">
        <v>138</v>
      </c>
    </row>
    <row r="389" spans="1:47" s="218" customFormat="1" ht="25.5" customHeight="1" outlineLevel="2">
      <c r="A389" s="215" t="s">
        <v>125</v>
      </c>
      <c r="B389" s="151">
        <v>31</v>
      </c>
      <c r="C389" s="151" t="s">
        <v>128</v>
      </c>
      <c r="D389" s="245" t="s">
        <v>168</v>
      </c>
      <c r="E389" s="151" t="s">
        <v>169</v>
      </c>
      <c r="F389" s="151" t="s">
        <v>207</v>
      </c>
      <c r="G389" s="151" t="s">
        <v>34</v>
      </c>
      <c r="H389" s="151" t="s">
        <v>57</v>
      </c>
      <c r="I389" s="256">
        <v>19</v>
      </c>
      <c r="J389" s="151" t="s">
        <v>80</v>
      </c>
      <c r="K389" s="176" t="s">
        <v>132</v>
      </c>
      <c r="L389" s="245">
        <v>30109898</v>
      </c>
      <c r="M389" s="855"/>
      <c r="N389" s="245" t="e">
        <v>#N/A</v>
      </c>
      <c r="O389" s="245" t="s">
        <v>663</v>
      </c>
      <c r="P389" s="257" t="s">
        <v>664</v>
      </c>
      <c r="Q389" s="176" t="s">
        <v>665</v>
      </c>
      <c r="R389" s="273" t="s">
        <v>666</v>
      </c>
      <c r="S389" s="274"/>
      <c r="T389" s="273"/>
      <c r="U389" s="273"/>
      <c r="V389" s="273"/>
      <c r="W389" s="273"/>
      <c r="X389" s="274"/>
      <c r="Y389" s="275">
        <v>661606000</v>
      </c>
      <c r="Z389" s="275">
        <v>0</v>
      </c>
      <c r="AA389" s="296"/>
      <c r="AB389" s="297">
        <f>300000000-15371804+102168027+153598046</f>
        <v>540394269</v>
      </c>
      <c r="AC389" s="297">
        <f t="shared" si="145"/>
        <v>217345732</v>
      </c>
      <c r="AD389" s="297">
        <f t="shared" si="151"/>
        <v>323048537</v>
      </c>
      <c r="AE389" s="297">
        <v>0</v>
      </c>
      <c r="AF389" s="297">
        <v>0</v>
      </c>
      <c r="AG389" s="297">
        <v>0</v>
      </c>
      <c r="AH389" s="297">
        <v>0</v>
      </c>
      <c r="AI389" s="297">
        <v>0</v>
      </c>
      <c r="AJ389" s="297">
        <v>82349998</v>
      </c>
      <c r="AK389" s="297">
        <v>56913014</v>
      </c>
      <c r="AL389" s="297">
        <v>0</v>
      </c>
      <c r="AM389" s="297">
        <v>0</v>
      </c>
      <c r="AN389" s="297">
        <v>78082720</v>
      </c>
      <c r="AO389" s="297">
        <v>0</v>
      </c>
      <c r="AP389" s="297">
        <v>0</v>
      </c>
      <c r="AQ389" s="296"/>
      <c r="AR389" s="297">
        <f t="shared" si="152"/>
        <v>121211731</v>
      </c>
      <c r="AS389" s="313" t="s">
        <v>137</v>
      </c>
      <c r="AT389" s="313" t="s">
        <v>137</v>
      </c>
      <c r="AU389" s="176" t="s">
        <v>138</v>
      </c>
    </row>
    <row r="390" spans="1:47" s="218" customFormat="1" ht="25.5" customHeight="1" outlineLevel="2">
      <c r="A390" s="215" t="s">
        <v>125</v>
      </c>
      <c r="B390" s="191">
        <v>33</v>
      </c>
      <c r="C390" s="191" t="s">
        <v>128</v>
      </c>
      <c r="D390" s="246" t="s">
        <v>149</v>
      </c>
      <c r="E390" s="191" t="s">
        <v>130</v>
      </c>
      <c r="F390" s="191" t="s">
        <v>140</v>
      </c>
      <c r="G390" s="191" t="s">
        <v>34</v>
      </c>
      <c r="H390" s="191" t="s">
        <v>57</v>
      </c>
      <c r="I390" s="258">
        <v>19</v>
      </c>
      <c r="J390" s="191" t="s">
        <v>83</v>
      </c>
      <c r="K390" s="192" t="s">
        <v>132</v>
      </c>
      <c r="L390" s="246" t="s">
        <v>83</v>
      </c>
      <c r="M390" s="861" t="s">
        <v>1604</v>
      </c>
      <c r="N390" s="246"/>
      <c r="O390" s="245" t="s">
        <v>183</v>
      </c>
      <c r="P390" s="246"/>
      <c r="Q390" s="192" t="s">
        <v>184</v>
      </c>
      <c r="R390" s="276"/>
      <c r="S390" s="277"/>
      <c r="T390" s="276"/>
      <c r="U390" s="276"/>
      <c r="V390" s="276"/>
      <c r="W390" s="276"/>
      <c r="X390" s="277"/>
      <c r="Y390" s="194">
        <v>100000000</v>
      </c>
      <c r="Z390" s="194">
        <f>+FRIL!J589</f>
        <v>0</v>
      </c>
      <c r="AA390" s="298"/>
      <c r="AB390" s="299">
        <v>100000000</v>
      </c>
      <c r="AC390" s="299">
        <f t="shared" si="145"/>
        <v>0</v>
      </c>
      <c r="AD390" s="299">
        <f t="shared" si="151"/>
        <v>100000000</v>
      </c>
      <c r="AE390" s="299">
        <v>0</v>
      </c>
      <c r="AF390" s="299">
        <v>0</v>
      </c>
      <c r="AG390" s="299">
        <v>0</v>
      </c>
      <c r="AH390" s="299">
        <v>0</v>
      </c>
      <c r="AI390" s="299">
        <v>0</v>
      </c>
      <c r="AJ390" s="297">
        <v>0</v>
      </c>
      <c r="AK390" s="299">
        <v>0</v>
      </c>
      <c r="AL390" s="299">
        <v>0</v>
      </c>
      <c r="AM390" s="299">
        <v>0</v>
      </c>
      <c r="AN390" s="299">
        <v>0</v>
      </c>
      <c r="AO390" s="297">
        <v>0</v>
      </c>
      <c r="AP390" s="299">
        <v>0</v>
      </c>
      <c r="AQ390" s="298"/>
      <c r="AR390" s="299">
        <f t="shared" si="152"/>
        <v>0</v>
      </c>
      <c r="AS390" s="314" t="s">
        <v>185</v>
      </c>
      <c r="AT390" s="314" t="s">
        <v>83</v>
      </c>
      <c r="AU390" s="192" t="s">
        <v>138</v>
      </c>
    </row>
    <row r="391" spans="1:47" s="218" customFormat="1" ht="25.5" customHeight="1" outlineLevel="2">
      <c r="A391" s="215" t="s">
        <v>125</v>
      </c>
      <c r="B391" s="151">
        <v>33</v>
      </c>
      <c r="C391" s="151" t="s">
        <v>128</v>
      </c>
      <c r="D391" s="245" t="s">
        <v>149</v>
      </c>
      <c r="E391" s="151" t="s">
        <v>130</v>
      </c>
      <c r="F391" s="151" t="s">
        <v>140</v>
      </c>
      <c r="G391" s="151" t="s">
        <v>34</v>
      </c>
      <c r="H391" s="151" t="s">
        <v>57</v>
      </c>
      <c r="I391" s="256">
        <v>19</v>
      </c>
      <c r="J391" s="151" t="s">
        <v>83</v>
      </c>
      <c r="K391" s="176" t="s">
        <v>132</v>
      </c>
      <c r="L391" s="245" t="s">
        <v>83</v>
      </c>
      <c r="M391" s="855"/>
      <c r="N391" s="245"/>
      <c r="O391" s="245" t="s">
        <v>183</v>
      </c>
      <c r="P391" s="245"/>
      <c r="Q391" s="176" t="s">
        <v>667</v>
      </c>
      <c r="R391" s="273"/>
      <c r="S391" s="274"/>
      <c r="T391" s="273"/>
      <c r="U391" s="273"/>
      <c r="V391" s="273"/>
      <c r="W391" s="273"/>
      <c r="X391" s="274"/>
      <c r="Y391" s="275">
        <v>200000000</v>
      </c>
      <c r="Z391" s="275">
        <f>+FRIL!J590</f>
        <v>0</v>
      </c>
      <c r="AA391" s="296"/>
      <c r="AB391" s="297">
        <v>200000000</v>
      </c>
      <c r="AC391" s="297">
        <f t="shared" si="145"/>
        <v>70294738</v>
      </c>
      <c r="AD391" s="297">
        <f t="shared" si="151"/>
        <v>129705262</v>
      </c>
      <c r="AE391" s="297">
        <v>0</v>
      </c>
      <c r="AF391" s="297">
        <v>0</v>
      </c>
      <c r="AG391" s="297">
        <v>0</v>
      </c>
      <c r="AH391" s="297">
        <v>0</v>
      </c>
      <c r="AI391" s="297">
        <v>0</v>
      </c>
      <c r="AJ391" s="297">
        <v>0</v>
      </c>
      <c r="AK391" s="297">
        <v>0</v>
      </c>
      <c r="AL391" s="297">
        <v>0</v>
      </c>
      <c r="AM391" s="297">
        <v>0</v>
      </c>
      <c r="AN391" s="297">
        <v>70294738</v>
      </c>
      <c r="AO391" s="297">
        <f>+FRIL!L199</f>
        <v>0</v>
      </c>
      <c r="AP391" s="297">
        <v>0</v>
      </c>
      <c r="AQ391" s="296"/>
      <c r="AR391" s="297">
        <f t="shared" si="152"/>
        <v>0</v>
      </c>
      <c r="AS391" s="313" t="s">
        <v>185</v>
      </c>
      <c r="AT391" s="313" t="s">
        <v>83</v>
      </c>
      <c r="AU391" s="176" t="s">
        <v>138</v>
      </c>
    </row>
    <row r="392" spans="1:47" s="217" customFormat="1" ht="25.5" customHeight="1" outlineLevel="1">
      <c r="A392" s="215" t="s">
        <v>125</v>
      </c>
      <c r="B392" s="247"/>
      <c r="C392" s="247"/>
      <c r="D392" s="248"/>
      <c r="E392" s="249"/>
      <c r="F392" s="249"/>
      <c r="G392" s="249"/>
      <c r="H392" s="249"/>
      <c r="I392" s="249"/>
      <c r="J392" s="247"/>
      <c r="K392" s="259"/>
      <c r="L392" s="248"/>
      <c r="M392" s="248"/>
      <c r="N392" s="250"/>
      <c r="O392" s="250"/>
      <c r="P392" s="250"/>
      <c r="Q392" s="260" t="s">
        <v>187</v>
      </c>
      <c r="R392" s="278"/>
      <c r="S392" s="279"/>
      <c r="T392" s="279"/>
      <c r="U392" s="279"/>
      <c r="V392" s="279"/>
      <c r="W392" s="279"/>
      <c r="X392" s="281"/>
      <c r="Y392" s="394">
        <f>+Y385+Y386+Y387+Y390+Y391+Y388+Y389</f>
        <v>3576690768</v>
      </c>
      <c r="Z392" s="394">
        <f t="shared" ref="Z392:AP392" si="153">+Z385+Z386+Z387+Z390+Z391+Z388+Z389</f>
        <v>2122659030</v>
      </c>
      <c r="AA392" s="303"/>
      <c r="AB392" s="394">
        <f t="shared" si="153"/>
        <v>1288162732</v>
      </c>
      <c r="AC392" s="394">
        <f t="shared" si="145"/>
        <v>704375410</v>
      </c>
      <c r="AD392" s="394">
        <f t="shared" si="153"/>
        <v>583787322</v>
      </c>
      <c r="AE392" s="394">
        <f t="shared" si="153"/>
        <v>0</v>
      </c>
      <c r="AF392" s="394">
        <f t="shared" si="153"/>
        <v>0</v>
      </c>
      <c r="AG392" s="394">
        <f t="shared" si="153"/>
        <v>0</v>
      </c>
      <c r="AH392" s="394">
        <f t="shared" si="153"/>
        <v>0</v>
      </c>
      <c r="AI392" s="394">
        <f t="shared" si="153"/>
        <v>0</v>
      </c>
      <c r="AJ392" s="394">
        <v>82349998</v>
      </c>
      <c r="AK392" s="394">
        <v>56913014</v>
      </c>
      <c r="AL392" s="394">
        <v>0</v>
      </c>
      <c r="AM392" s="394">
        <f t="shared" si="153"/>
        <v>21109805</v>
      </c>
      <c r="AN392" s="394">
        <f t="shared" si="153"/>
        <v>150677458</v>
      </c>
      <c r="AO392" s="394">
        <f t="shared" si="153"/>
        <v>175119431</v>
      </c>
      <c r="AP392" s="394">
        <f t="shared" si="153"/>
        <v>218205704</v>
      </c>
      <c r="AQ392" s="287"/>
      <c r="AR392" s="394">
        <f t="shared" si="152"/>
        <v>165869006</v>
      </c>
      <c r="AS392" s="315"/>
      <c r="AT392" s="315"/>
      <c r="AU392" s="220"/>
    </row>
    <row r="393" spans="1:47" ht="18.75" customHeight="1" outlineLevel="1">
      <c r="A393" s="215" t="s">
        <v>125</v>
      </c>
      <c r="B393" s="249"/>
      <c r="C393" s="249"/>
      <c r="D393" s="250"/>
      <c r="E393" s="249"/>
      <c r="F393" s="249"/>
      <c r="G393" s="249"/>
      <c r="H393" s="249"/>
      <c r="I393" s="249"/>
      <c r="J393" s="249"/>
      <c r="K393" s="261"/>
      <c r="L393" s="250"/>
      <c r="M393" s="250"/>
      <c r="N393" s="250"/>
      <c r="O393" s="250"/>
      <c r="P393" s="250"/>
      <c r="Q393" s="261"/>
      <c r="R393" s="283"/>
      <c r="S393" s="283"/>
      <c r="T393" s="283"/>
      <c r="U393" s="283"/>
      <c r="V393" s="283"/>
      <c r="W393" s="283"/>
      <c r="X393" s="283"/>
      <c r="Y393" s="284"/>
      <c r="Z393" s="284"/>
      <c r="AA393" s="301"/>
      <c r="AB393" s="301"/>
      <c r="AC393" s="301"/>
      <c r="AD393" s="301"/>
      <c r="AE393" s="301"/>
      <c r="AF393" s="301"/>
      <c r="AG393" s="301"/>
      <c r="AH393" s="301"/>
      <c r="AI393" s="301"/>
      <c r="AJ393" s="301"/>
      <c r="AK393" s="301"/>
      <c r="AL393" s="301"/>
      <c r="AM393" s="301"/>
      <c r="AN393" s="301"/>
      <c r="AO393" s="301"/>
      <c r="AP393" s="301"/>
      <c r="AQ393" s="301"/>
      <c r="AR393" s="301"/>
      <c r="AS393" s="316"/>
      <c r="AT393" s="316"/>
      <c r="AU393" s="317"/>
    </row>
    <row r="394" spans="1:47" s="217" customFormat="1" ht="25.5" customHeight="1" outlineLevel="1">
      <c r="A394" s="215" t="s">
        <v>125</v>
      </c>
      <c r="B394" s="247"/>
      <c r="C394" s="247"/>
      <c r="D394" s="248"/>
      <c r="E394" s="249"/>
      <c r="F394" s="249"/>
      <c r="G394" s="249"/>
      <c r="H394" s="249"/>
      <c r="I394" s="249"/>
      <c r="J394" s="247"/>
      <c r="K394" s="259"/>
      <c r="L394" s="248"/>
      <c r="M394" s="248"/>
      <c r="N394" s="250"/>
      <c r="O394" s="250"/>
      <c r="P394" s="250"/>
      <c r="Q394" s="99" t="s">
        <v>188</v>
      </c>
      <c r="R394" s="283"/>
      <c r="S394" s="283"/>
      <c r="T394" s="283"/>
      <c r="U394" s="283"/>
      <c r="V394" s="283"/>
      <c r="W394" s="283"/>
      <c r="X394" s="283"/>
      <c r="Y394" s="285"/>
      <c r="Z394" s="285"/>
      <c r="AA394" s="302"/>
      <c r="AB394" s="302"/>
      <c r="AC394" s="302"/>
      <c r="AD394" s="302"/>
      <c r="AE394" s="302"/>
      <c r="AF394" s="302"/>
      <c r="AG394" s="302"/>
      <c r="AH394" s="301"/>
      <c r="AI394" s="301"/>
      <c r="AJ394" s="301"/>
      <c r="AK394" s="301"/>
      <c r="AL394" s="301"/>
      <c r="AM394" s="301"/>
      <c r="AN394" s="301"/>
      <c r="AO394" s="301"/>
      <c r="AP394" s="301"/>
      <c r="AQ394" s="302"/>
      <c r="AR394" s="302"/>
      <c r="AS394" s="315"/>
      <c r="AT394" s="315"/>
      <c r="AU394" s="220"/>
    </row>
    <row r="395" spans="1:47" s="218" customFormat="1" ht="25.5" customHeight="1" outlineLevel="2">
      <c r="A395" s="215" t="s">
        <v>125</v>
      </c>
      <c r="B395" s="151">
        <v>31</v>
      </c>
      <c r="C395" s="151" t="s">
        <v>128</v>
      </c>
      <c r="D395" s="245" t="s">
        <v>168</v>
      </c>
      <c r="E395" s="151" t="s">
        <v>130</v>
      </c>
      <c r="F395" s="151" t="s">
        <v>207</v>
      </c>
      <c r="G395" s="151" t="s">
        <v>34</v>
      </c>
      <c r="H395" s="151" t="s">
        <v>57</v>
      </c>
      <c r="I395" s="256">
        <v>19</v>
      </c>
      <c r="J395" s="151" t="s">
        <v>80</v>
      </c>
      <c r="K395" s="176" t="s">
        <v>132</v>
      </c>
      <c r="L395" s="245">
        <v>40009233</v>
      </c>
      <c r="M395" s="855"/>
      <c r="N395" s="245" t="e">
        <v>#N/A</v>
      </c>
      <c r="O395" s="245" t="s">
        <v>668</v>
      </c>
      <c r="P395" s="257" t="s">
        <v>1489</v>
      </c>
      <c r="Q395" s="176" t="s">
        <v>669</v>
      </c>
      <c r="R395" s="273" t="s">
        <v>670</v>
      </c>
      <c r="S395" s="274"/>
      <c r="T395" s="273"/>
      <c r="U395" s="273" t="s">
        <v>1490</v>
      </c>
      <c r="V395" s="273">
        <v>659095000</v>
      </c>
      <c r="W395" s="273"/>
      <c r="X395" s="274"/>
      <c r="Y395" s="275">
        <v>659095000</v>
      </c>
      <c r="Z395" s="275">
        <v>0</v>
      </c>
      <c r="AA395" s="296"/>
      <c r="AB395" s="297">
        <f>300000000-255766073</f>
        <v>44233927</v>
      </c>
      <c r="AC395" s="297">
        <f t="shared" si="145"/>
        <v>0</v>
      </c>
      <c r="AD395" s="297">
        <f t="shared" ref="AD395:AD399" si="154">+AB395-AC395</f>
        <v>44233927</v>
      </c>
      <c r="AE395" s="297">
        <v>0</v>
      </c>
      <c r="AF395" s="297">
        <v>0</v>
      </c>
      <c r="AG395" s="297">
        <v>0</v>
      </c>
      <c r="AH395" s="297">
        <v>0</v>
      </c>
      <c r="AI395" s="297">
        <v>0</v>
      </c>
      <c r="AJ395" s="297">
        <v>0</v>
      </c>
      <c r="AK395" s="297">
        <v>0</v>
      </c>
      <c r="AL395" s="297">
        <v>0</v>
      </c>
      <c r="AM395" s="297">
        <v>0</v>
      </c>
      <c r="AN395" s="297">
        <v>0</v>
      </c>
      <c r="AO395" s="297">
        <v>0</v>
      </c>
      <c r="AP395" s="297">
        <v>0</v>
      </c>
      <c r="AQ395" s="296"/>
      <c r="AR395" s="297">
        <f t="shared" ref="AR395:AR399" si="155">+Y395-Z395-AC395-AD395</f>
        <v>614861073</v>
      </c>
      <c r="AS395" s="313" t="s">
        <v>137</v>
      </c>
      <c r="AT395" s="313" t="s">
        <v>137</v>
      </c>
      <c r="AU395" s="176" t="s">
        <v>158</v>
      </c>
    </row>
    <row r="396" spans="1:47" s="218" customFormat="1" ht="25.5" customHeight="1" outlineLevel="2">
      <c r="A396" s="215" t="s">
        <v>125</v>
      </c>
      <c r="B396" s="151">
        <v>31</v>
      </c>
      <c r="C396" s="151" t="s">
        <v>128</v>
      </c>
      <c r="D396" s="245" t="s">
        <v>164</v>
      </c>
      <c r="E396" s="151" t="s">
        <v>169</v>
      </c>
      <c r="F396" s="151" t="s">
        <v>140</v>
      </c>
      <c r="G396" s="151" t="s">
        <v>34</v>
      </c>
      <c r="H396" s="151" t="s">
        <v>57</v>
      </c>
      <c r="I396" s="256">
        <v>19</v>
      </c>
      <c r="J396" s="151" t="s">
        <v>80</v>
      </c>
      <c r="K396" s="176" t="s">
        <v>132</v>
      </c>
      <c r="L396" s="245">
        <v>30093349</v>
      </c>
      <c r="M396" s="855" t="s">
        <v>164</v>
      </c>
      <c r="N396" s="245" t="s">
        <v>652</v>
      </c>
      <c r="O396" s="245" t="s">
        <v>671</v>
      </c>
      <c r="P396" s="245"/>
      <c r="Q396" s="176" t="s">
        <v>672</v>
      </c>
      <c r="R396" s="273" t="s">
        <v>673</v>
      </c>
      <c r="S396" s="274"/>
      <c r="T396" s="327">
        <v>563580000</v>
      </c>
      <c r="U396" s="273" t="s">
        <v>674</v>
      </c>
      <c r="V396" s="273">
        <v>540199000</v>
      </c>
      <c r="W396" s="273"/>
      <c r="X396" s="274"/>
      <c r="Y396" s="275">
        <v>563580000</v>
      </c>
      <c r="Z396" s="275">
        <v>0</v>
      </c>
      <c r="AA396" s="296"/>
      <c r="AB396" s="297">
        <v>100000000</v>
      </c>
      <c r="AC396" s="297">
        <f t="shared" si="145"/>
        <v>0</v>
      </c>
      <c r="AD396" s="297">
        <f t="shared" si="154"/>
        <v>100000000</v>
      </c>
      <c r="AE396" s="297">
        <v>0</v>
      </c>
      <c r="AF396" s="297">
        <v>0</v>
      </c>
      <c r="AG396" s="297">
        <v>0</v>
      </c>
      <c r="AH396" s="297">
        <v>0</v>
      </c>
      <c r="AI396" s="297">
        <v>0</v>
      </c>
      <c r="AJ396" s="297">
        <v>0</v>
      </c>
      <c r="AK396" s="297">
        <v>0</v>
      </c>
      <c r="AL396" s="297">
        <v>0</v>
      </c>
      <c r="AM396" s="297">
        <v>0</v>
      </c>
      <c r="AN396" s="297">
        <v>0</v>
      </c>
      <c r="AO396" s="297">
        <v>0</v>
      </c>
      <c r="AP396" s="297">
        <v>0</v>
      </c>
      <c r="AQ396" s="296"/>
      <c r="AR396" s="297">
        <f t="shared" si="155"/>
        <v>463580000</v>
      </c>
      <c r="AS396" s="313" t="s">
        <v>137</v>
      </c>
      <c r="AT396" s="313" t="s">
        <v>137</v>
      </c>
      <c r="AU396" s="176" t="s">
        <v>195</v>
      </c>
    </row>
    <row r="397" spans="1:47" s="217" customFormat="1" ht="25.5" customHeight="1" outlineLevel="1">
      <c r="A397" s="215" t="s">
        <v>125</v>
      </c>
      <c r="B397" s="151">
        <v>31</v>
      </c>
      <c r="C397" s="151" t="s">
        <v>196</v>
      </c>
      <c r="D397" s="245" t="s">
        <v>168</v>
      </c>
      <c r="E397" s="151" t="s">
        <v>169</v>
      </c>
      <c r="F397" s="151" t="s">
        <v>207</v>
      </c>
      <c r="G397" s="151" t="s">
        <v>34</v>
      </c>
      <c r="H397" s="151" t="s">
        <v>57</v>
      </c>
      <c r="I397" s="256">
        <v>19</v>
      </c>
      <c r="J397" s="151" t="s">
        <v>80</v>
      </c>
      <c r="K397" s="176" t="s">
        <v>132</v>
      </c>
      <c r="L397" s="245">
        <v>30116708</v>
      </c>
      <c r="M397" s="855"/>
      <c r="N397" s="245" t="s">
        <v>652</v>
      </c>
      <c r="O397" s="245" t="s">
        <v>675</v>
      </c>
      <c r="P397" s="245"/>
      <c r="Q397" s="176" t="s">
        <v>676</v>
      </c>
      <c r="R397" s="273" t="s">
        <v>677</v>
      </c>
      <c r="S397" s="274"/>
      <c r="T397" s="273"/>
      <c r="U397" s="273" t="s">
        <v>678</v>
      </c>
      <c r="V397" s="273">
        <v>842254000</v>
      </c>
      <c r="W397" s="273"/>
      <c r="X397" s="274"/>
      <c r="Y397" s="326">
        <v>842254000</v>
      </c>
      <c r="Z397" s="275">
        <v>0</v>
      </c>
      <c r="AA397" s="296"/>
      <c r="AB397" s="297">
        <v>28332450</v>
      </c>
      <c r="AC397" s="297">
        <f t="shared" si="145"/>
        <v>0</v>
      </c>
      <c r="AD397" s="297">
        <f t="shared" si="154"/>
        <v>28332450</v>
      </c>
      <c r="AE397" s="297">
        <v>0</v>
      </c>
      <c r="AF397" s="297">
        <v>0</v>
      </c>
      <c r="AG397" s="297">
        <v>0</v>
      </c>
      <c r="AH397" s="297">
        <v>0</v>
      </c>
      <c r="AI397" s="297">
        <v>0</v>
      </c>
      <c r="AJ397" s="297">
        <v>0</v>
      </c>
      <c r="AK397" s="297">
        <v>0</v>
      </c>
      <c r="AL397" s="297">
        <v>0</v>
      </c>
      <c r="AM397" s="297">
        <v>0</v>
      </c>
      <c r="AN397" s="297">
        <v>0</v>
      </c>
      <c r="AO397" s="297">
        <v>0</v>
      </c>
      <c r="AP397" s="297">
        <v>0</v>
      </c>
      <c r="AQ397" s="296"/>
      <c r="AR397" s="297">
        <f t="shared" si="155"/>
        <v>813921550</v>
      </c>
      <c r="AS397" s="313" t="s">
        <v>137</v>
      </c>
      <c r="AT397" s="313" t="s">
        <v>137</v>
      </c>
      <c r="AU397" s="176" t="s">
        <v>195</v>
      </c>
    </row>
    <row r="398" spans="1:47" s="217" customFormat="1" ht="25.5" customHeight="1" outlineLevel="1">
      <c r="A398" s="215" t="s">
        <v>125</v>
      </c>
      <c r="B398" s="321">
        <v>31</v>
      </c>
      <c r="C398" s="321" t="s">
        <v>196</v>
      </c>
      <c r="D398" s="322" t="s">
        <v>168</v>
      </c>
      <c r="E398" s="321" t="s">
        <v>130</v>
      </c>
      <c r="F398" s="321" t="s">
        <v>397</v>
      </c>
      <c r="G398" s="321" t="s">
        <v>34</v>
      </c>
      <c r="H398" s="321" t="s">
        <v>57</v>
      </c>
      <c r="I398" s="324">
        <v>19</v>
      </c>
      <c r="J398" s="321" t="s">
        <v>80</v>
      </c>
      <c r="K398" s="325" t="s">
        <v>132</v>
      </c>
      <c r="L398" s="322">
        <v>40017416</v>
      </c>
      <c r="M398" s="862" t="s">
        <v>1605</v>
      </c>
      <c r="N398" s="322" t="s">
        <v>652</v>
      </c>
      <c r="O398" s="245" t="s">
        <v>679</v>
      </c>
      <c r="P398" s="322"/>
      <c r="Q398" s="325" t="s">
        <v>680</v>
      </c>
      <c r="R398" s="328" t="s">
        <v>681</v>
      </c>
      <c r="S398" s="329"/>
      <c r="T398" s="328"/>
      <c r="U398" s="328" t="s">
        <v>682</v>
      </c>
      <c r="V398" s="328">
        <v>406672000</v>
      </c>
      <c r="W398" s="328"/>
      <c r="X398" s="329"/>
      <c r="Y398" s="330">
        <v>406672000</v>
      </c>
      <c r="Z398" s="330">
        <v>0</v>
      </c>
      <c r="AA398" s="331"/>
      <c r="AB398" s="332">
        <v>406672000</v>
      </c>
      <c r="AC398" s="332">
        <f t="shared" si="145"/>
        <v>0</v>
      </c>
      <c r="AD398" s="332">
        <f t="shared" si="154"/>
        <v>406672000</v>
      </c>
      <c r="AE398" s="332"/>
      <c r="AF398" s="332"/>
      <c r="AG398" s="332"/>
      <c r="AH398" s="332"/>
      <c r="AI398" s="332"/>
      <c r="AJ398" s="297">
        <v>0</v>
      </c>
      <c r="AK398" s="297">
        <v>0</v>
      </c>
      <c r="AL398" s="297">
        <v>0</v>
      </c>
      <c r="AM398" s="297">
        <v>0</v>
      </c>
      <c r="AN398" s="297">
        <v>0</v>
      </c>
      <c r="AO398" s="332">
        <v>0</v>
      </c>
      <c r="AP398" s="332">
        <v>0</v>
      </c>
      <c r="AQ398" s="331"/>
      <c r="AR398" s="332">
        <f t="shared" si="155"/>
        <v>0</v>
      </c>
      <c r="AS398" s="335" t="s">
        <v>137</v>
      </c>
      <c r="AT398" s="313" t="s">
        <v>137</v>
      </c>
      <c r="AU398" s="325" t="s">
        <v>195</v>
      </c>
    </row>
    <row r="399" spans="1:47" s="217" customFormat="1" ht="25.5" customHeight="1" outlineLevel="1">
      <c r="A399" s="215" t="s">
        <v>125</v>
      </c>
      <c r="B399" s="151">
        <v>31</v>
      </c>
      <c r="C399" s="151" t="s">
        <v>196</v>
      </c>
      <c r="D399" s="245" t="s">
        <v>139</v>
      </c>
      <c r="E399" s="151" t="s">
        <v>130</v>
      </c>
      <c r="F399" s="151" t="s">
        <v>140</v>
      </c>
      <c r="G399" s="151" t="s">
        <v>34</v>
      </c>
      <c r="H399" s="151" t="s">
        <v>57</v>
      </c>
      <c r="I399" s="256">
        <v>19</v>
      </c>
      <c r="J399" s="151" t="s">
        <v>80</v>
      </c>
      <c r="K399" s="176" t="s">
        <v>132</v>
      </c>
      <c r="L399" s="245">
        <v>40001823</v>
      </c>
      <c r="M399" s="855"/>
      <c r="N399" s="245" t="s">
        <v>652</v>
      </c>
      <c r="O399" s="245" t="s">
        <v>683</v>
      </c>
      <c r="P399" s="245"/>
      <c r="Q399" s="176" t="s">
        <v>684</v>
      </c>
      <c r="R399" s="273" t="s">
        <v>685</v>
      </c>
      <c r="S399" s="274"/>
      <c r="T399" s="273"/>
      <c r="U399" s="273" t="s">
        <v>686</v>
      </c>
      <c r="V399" s="273">
        <v>180779000</v>
      </c>
      <c r="W399" s="273"/>
      <c r="X399" s="274"/>
      <c r="Y399" s="326">
        <v>225228000</v>
      </c>
      <c r="Z399" s="275">
        <v>0</v>
      </c>
      <c r="AA399" s="296"/>
      <c r="AB399" s="297">
        <v>7500000</v>
      </c>
      <c r="AC399" s="297">
        <f t="shared" si="145"/>
        <v>0</v>
      </c>
      <c r="AD399" s="297">
        <f t="shared" si="154"/>
        <v>7500000</v>
      </c>
      <c r="AE399" s="297">
        <v>0</v>
      </c>
      <c r="AF399" s="297">
        <v>0</v>
      </c>
      <c r="AG399" s="297">
        <v>0</v>
      </c>
      <c r="AH399" s="297">
        <v>0</v>
      </c>
      <c r="AI399" s="297">
        <v>0</v>
      </c>
      <c r="AJ399" s="297">
        <v>0</v>
      </c>
      <c r="AK399" s="297">
        <v>0</v>
      </c>
      <c r="AL399" s="297">
        <v>0</v>
      </c>
      <c r="AM399" s="297">
        <v>0</v>
      </c>
      <c r="AN399" s="297">
        <v>0</v>
      </c>
      <c r="AO399" s="297">
        <v>0</v>
      </c>
      <c r="AP399" s="297">
        <v>0</v>
      </c>
      <c r="AQ399" s="296"/>
      <c r="AR399" s="297">
        <f t="shared" si="155"/>
        <v>217728000</v>
      </c>
      <c r="AS399" s="313" t="s">
        <v>137</v>
      </c>
      <c r="AT399" s="313" t="s">
        <v>137</v>
      </c>
      <c r="AU399" s="176" t="s">
        <v>195</v>
      </c>
    </row>
    <row r="400" spans="1:47" s="217" customFormat="1" ht="25.5" customHeight="1" outlineLevel="1">
      <c r="A400" s="215" t="s">
        <v>125</v>
      </c>
      <c r="B400" s="321">
        <v>31</v>
      </c>
      <c r="C400" s="321" t="s">
        <v>196</v>
      </c>
      <c r="D400" s="322" t="s">
        <v>251</v>
      </c>
      <c r="E400" s="321" t="s">
        <v>169</v>
      </c>
      <c r="F400" s="321" t="s">
        <v>251</v>
      </c>
      <c r="G400" s="321" t="s">
        <v>34</v>
      </c>
      <c r="H400" s="321" t="s">
        <v>57</v>
      </c>
      <c r="I400" s="324">
        <v>19</v>
      </c>
      <c r="J400" s="321" t="s">
        <v>80</v>
      </c>
      <c r="K400" s="325" t="s">
        <v>132</v>
      </c>
      <c r="L400" s="322">
        <v>40009430</v>
      </c>
      <c r="M400" s="862" t="s">
        <v>1605</v>
      </c>
      <c r="N400" s="322"/>
      <c r="O400" s="245" t="s">
        <v>693</v>
      </c>
      <c r="P400" s="322"/>
      <c r="Q400" s="325" t="s">
        <v>1572</v>
      </c>
      <c r="R400" s="328" t="s">
        <v>1573</v>
      </c>
      <c r="S400" s="329"/>
      <c r="T400" s="328"/>
      <c r="U400" s="328"/>
      <c r="V400" s="328"/>
      <c r="W400" s="328"/>
      <c r="X400" s="329"/>
      <c r="Y400" s="869">
        <v>310199000</v>
      </c>
      <c r="Z400" s="330">
        <v>0</v>
      </c>
      <c r="AA400" s="331"/>
      <c r="AB400" s="332">
        <v>310199000</v>
      </c>
      <c r="AC400" s="332">
        <f t="shared" si="145"/>
        <v>0</v>
      </c>
      <c r="AD400" s="332">
        <f t="shared" ref="AD400" si="156">+AB400-AC400</f>
        <v>310199000</v>
      </c>
      <c r="AE400" s="332"/>
      <c r="AF400" s="332"/>
      <c r="AG400" s="332"/>
      <c r="AH400" s="332"/>
      <c r="AI400" s="332"/>
      <c r="AJ400" s="297">
        <v>0</v>
      </c>
      <c r="AK400" s="297">
        <v>0</v>
      </c>
      <c r="AL400" s="297">
        <v>0</v>
      </c>
      <c r="AM400" s="297">
        <v>0</v>
      </c>
      <c r="AN400" s="297">
        <v>0</v>
      </c>
      <c r="AO400" s="332">
        <v>0</v>
      </c>
      <c r="AP400" s="332">
        <v>0</v>
      </c>
      <c r="AQ400" s="331"/>
      <c r="AR400" s="332">
        <f t="shared" ref="AR400:AR401" si="157">+Y400-Z400-AC400-AD400</f>
        <v>0</v>
      </c>
      <c r="AS400" s="335" t="s">
        <v>137</v>
      </c>
      <c r="AT400" s="313" t="s">
        <v>137</v>
      </c>
      <c r="AU400" s="325" t="s">
        <v>190</v>
      </c>
    </row>
    <row r="401" spans="1:47" s="217" customFormat="1" ht="25.5" customHeight="1" outlineLevel="1">
      <c r="A401" s="215" t="s">
        <v>125</v>
      </c>
      <c r="B401" s="247"/>
      <c r="C401" s="247"/>
      <c r="D401" s="248"/>
      <c r="E401" s="249"/>
      <c r="F401" s="249"/>
      <c r="G401" s="249"/>
      <c r="H401" s="249"/>
      <c r="I401" s="249"/>
      <c r="J401" s="247"/>
      <c r="K401" s="259"/>
      <c r="L401" s="248"/>
      <c r="M401" s="248"/>
      <c r="N401" s="250"/>
      <c r="O401" s="250"/>
      <c r="P401" s="250"/>
      <c r="Q401" s="260" t="s">
        <v>201</v>
      </c>
      <c r="R401" s="278"/>
      <c r="S401" s="279"/>
      <c r="T401" s="279"/>
      <c r="U401" s="279"/>
      <c r="V401" s="279"/>
      <c r="W401" s="279"/>
      <c r="X401" s="281"/>
      <c r="Y401" s="286">
        <f>SUBTOTAL(9,Y395:Y400)</f>
        <v>3007028000</v>
      </c>
      <c r="Z401" s="286">
        <f>SUBTOTAL(9,Z395:Z400)</f>
        <v>0</v>
      </c>
      <c r="AA401" s="303"/>
      <c r="AB401" s="286">
        <f t="shared" ref="AB401:AD401" si="158">SUBTOTAL(9,AB395:AB400)</f>
        <v>896937377</v>
      </c>
      <c r="AC401" s="286">
        <f t="shared" si="158"/>
        <v>0</v>
      </c>
      <c r="AD401" s="286">
        <f t="shared" si="158"/>
        <v>896937377</v>
      </c>
      <c r="AE401" s="286">
        <f t="shared" ref="AE401:AI401" si="159">SUM(AE400:AE400)</f>
        <v>0</v>
      </c>
      <c r="AF401" s="286">
        <f t="shared" si="159"/>
        <v>0</v>
      </c>
      <c r="AG401" s="286">
        <f t="shared" si="159"/>
        <v>0</v>
      </c>
      <c r="AH401" s="286">
        <f t="shared" si="159"/>
        <v>0</v>
      </c>
      <c r="AI401" s="286">
        <f t="shared" si="159"/>
        <v>0</v>
      </c>
      <c r="AJ401" s="286">
        <v>0</v>
      </c>
      <c r="AK401" s="286">
        <v>0</v>
      </c>
      <c r="AL401" s="286">
        <v>0</v>
      </c>
      <c r="AM401" s="286">
        <f>SUM(AM400:AM400)</f>
        <v>0</v>
      </c>
      <c r="AN401" s="286">
        <f>SUM(AN400:AN400)</f>
        <v>0</v>
      </c>
      <c r="AO401" s="286">
        <f>SUM(AO400:AO400)</f>
        <v>0</v>
      </c>
      <c r="AP401" s="286">
        <f>SUM(AP400:AP400)</f>
        <v>0</v>
      </c>
      <c r="AQ401" s="287"/>
      <c r="AR401" s="286">
        <f t="shared" si="157"/>
        <v>2110090623</v>
      </c>
      <c r="AS401" s="315"/>
      <c r="AT401" s="315"/>
      <c r="AU401" s="220"/>
    </row>
    <row r="402" spans="1:47" ht="18.75" customHeight="1" outlineLevel="1">
      <c r="A402" s="215" t="s">
        <v>125</v>
      </c>
      <c r="B402" s="249"/>
      <c r="C402" s="249"/>
      <c r="D402" s="250"/>
      <c r="E402" s="249"/>
      <c r="F402" s="249"/>
      <c r="G402" s="249"/>
      <c r="H402" s="249"/>
      <c r="I402" s="249"/>
      <c r="J402" s="249"/>
      <c r="K402" s="261"/>
      <c r="L402" s="250"/>
      <c r="M402" s="250"/>
      <c r="N402" s="250"/>
      <c r="O402" s="250"/>
      <c r="P402" s="250"/>
      <c r="Q402" s="261"/>
      <c r="R402" s="283"/>
      <c r="S402" s="283"/>
      <c r="T402" s="283"/>
      <c r="U402" s="283"/>
      <c r="V402" s="283"/>
      <c r="W402" s="283"/>
      <c r="X402" s="283"/>
      <c r="Y402" s="284"/>
      <c r="Z402" s="284"/>
      <c r="AA402" s="301"/>
      <c r="AB402" s="301"/>
      <c r="AC402" s="301"/>
      <c r="AD402" s="301"/>
      <c r="AE402" s="301"/>
      <c r="AF402" s="301"/>
      <c r="AG402" s="301"/>
      <c r="AH402" s="301"/>
      <c r="AI402" s="301"/>
      <c r="AJ402" s="301"/>
      <c r="AK402" s="301"/>
      <c r="AL402" s="301"/>
      <c r="AM402" s="301"/>
      <c r="AN402" s="301"/>
      <c r="AO402" s="301"/>
      <c r="AP402" s="301"/>
      <c r="AQ402" s="301"/>
      <c r="AR402" s="301"/>
      <c r="AS402" s="316"/>
      <c r="AT402" s="316"/>
      <c r="AU402" s="317"/>
    </row>
    <row r="403" spans="1:47" s="219" customFormat="1" ht="24.75" customHeight="1" outlineLevel="1">
      <c r="A403" s="215" t="s">
        <v>125</v>
      </c>
      <c r="B403" s="251"/>
      <c r="C403" s="249"/>
      <c r="D403" s="250"/>
      <c r="E403" s="249"/>
      <c r="F403" s="249"/>
      <c r="G403" s="249"/>
      <c r="H403" s="249"/>
      <c r="I403" s="249"/>
      <c r="J403" s="251"/>
      <c r="K403" s="263"/>
      <c r="L403" s="252"/>
      <c r="M403" s="252"/>
      <c r="N403" s="252"/>
      <c r="O403" s="252"/>
      <c r="P403" s="252"/>
      <c r="Q403" s="117" t="s">
        <v>699</v>
      </c>
      <c r="R403" s="288"/>
      <c r="S403" s="289"/>
      <c r="T403" s="289"/>
      <c r="U403" s="289"/>
      <c r="V403" s="289"/>
      <c r="W403" s="289"/>
      <c r="X403" s="290"/>
      <c r="Y403" s="118">
        <f>+Y392+Y401</f>
        <v>6583718768</v>
      </c>
      <c r="Z403" s="118">
        <f>+Z392+Z401</f>
        <v>2122659030</v>
      </c>
      <c r="AA403" s="304"/>
      <c r="AB403" s="118">
        <f t="shared" ref="AB403:AD403" si="160">+AB392+AB401</f>
        <v>2185100109</v>
      </c>
      <c r="AC403" s="118">
        <f t="shared" si="160"/>
        <v>704375410</v>
      </c>
      <c r="AD403" s="118">
        <f t="shared" si="160"/>
        <v>1480724699</v>
      </c>
      <c r="AE403" s="118">
        <f>+AE392+AE401</f>
        <v>0</v>
      </c>
      <c r="AF403" s="118">
        <f t="shared" ref="AF403:AP403" si="161">+AF392+AF401</f>
        <v>0</v>
      </c>
      <c r="AG403" s="118">
        <f t="shared" si="161"/>
        <v>0</v>
      </c>
      <c r="AH403" s="118">
        <f t="shared" si="161"/>
        <v>0</v>
      </c>
      <c r="AI403" s="118">
        <f t="shared" si="161"/>
        <v>0</v>
      </c>
      <c r="AJ403" s="118">
        <v>82349998</v>
      </c>
      <c r="AK403" s="118">
        <f t="shared" si="161"/>
        <v>56913014</v>
      </c>
      <c r="AL403" s="118">
        <f t="shared" si="161"/>
        <v>0</v>
      </c>
      <c r="AM403" s="118">
        <f t="shared" si="161"/>
        <v>21109805</v>
      </c>
      <c r="AN403" s="118">
        <f t="shared" si="161"/>
        <v>150677458</v>
      </c>
      <c r="AO403" s="118">
        <f t="shared" si="161"/>
        <v>175119431</v>
      </c>
      <c r="AP403" s="118">
        <f t="shared" si="161"/>
        <v>218205704</v>
      </c>
      <c r="AQ403" s="318"/>
      <c r="AR403" s="118">
        <f>+Y403-Z403-AC403-AD403</f>
        <v>2275959629</v>
      </c>
      <c r="AS403" s="333"/>
      <c r="AT403" s="333"/>
      <c r="AU403" s="320"/>
    </row>
    <row r="404" spans="1:47" ht="18.75" customHeight="1" outlineLevel="1">
      <c r="A404" s="215" t="s">
        <v>125</v>
      </c>
      <c r="B404" s="249"/>
      <c r="C404" s="249"/>
      <c r="D404" s="250"/>
      <c r="E404" s="249"/>
      <c r="F404" s="249"/>
      <c r="G404" s="249"/>
      <c r="H404" s="249"/>
      <c r="I404" s="249"/>
      <c r="J404" s="249"/>
      <c r="K404" s="261"/>
      <c r="L404" s="250"/>
      <c r="M404" s="250"/>
      <c r="N404" s="250"/>
      <c r="O404" s="250"/>
      <c r="P404" s="250"/>
      <c r="Q404" s="261"/>
      <c r="R404" s="283"/>
      <c r="S404" s="283"/>
      <c r="T404" s="283"/>
      <c r="U404" s="283"/>
      <c r="V404" s="283"/>
      <c r="W404" s="283"/>
      <c r="X404" s="283"/>
      <c r="Y404" s="284"/>
      <c r="Z404" s="284"/>
      <c r="AA404" s="301"/>
      <c r="AB404" s="301"/>
      <c r="AC404" s="301"/>
      <c r="AD404" s="301"/>
      <c r="AE404" s="301"/>
      <c r="AF404" s="301"/>
      <c r="AG404" s="301"/>
      <c r="AH404" s="301"/>
      <c r="AI404" s="301"/>
      <c r="AJ404" s="301"/>
      <c r="AK404" s="301"/>
      <c r="AL404" s="301"/>
      <c r="AM404" s="301"/>
      <c r="AN404" s="301"/>
      <c r="AO404" s="301"/>
      <c r="AP404" s="301"/>
      <c r="AQ404" s="301"/>
      <c r="AR404" s="301"/>
      <c r="AS404" s="316"/>
      <c r="AT404" s="316"/>
      <c r="AU404" s="317"/>
    </row>
    <row r="405" spans="1:47" ht="26.25" customHeight="1" outlineLevel="1">
      <c r="A405" s="215" t="s">
        <v>125</v>
      </c>
      <c r="B405" s="249"/>
      <c r="C405" s="249"/>
      <c r="D405" s="250"/>
      <c r="E405" s="249"/>
      <c r="F405" s="249"/>
      <c r="G405" s="249"/>
      <c r="H405" s="249"/>
      <c r="I405" s="249"/>
      <c r="J405" s="249"/>
      <c r="K405" s="261"/>
      <c r="L405" s="250"/>
      <c r="M405" s="250"/>
      <c r="N405" s="250"/>
      <c r="O405" s="250"/>
      <c r="P405" s="250"/>
      <c r="Q405" s="264" t="s">
        <v>700</v>
      </c>
      <c r="R405" s="283"/>
      <c r="S405" s="283"/>
      <c r="T405" s="283"/>
      <c r="U405" s="283"/>
      <c r="V405" s="283"/>
      <c r="W405" s="283"/>
      <c r="X405" s="283"/>
      <c r="Y405" s="284"/>
      <c r="Z405" s="284"/>
      <c r="AA405" s="301"/>
      <c r="AB405" s="301"/>
      <c r="AC405" s="301"/>
      <c r="AD405" s="301"/>
      <c r="AE405" s="301"/>
      <c r="AF405" s="301"/>
      <c r="AG405" s="301"/>
      <c r="AH405" s="301"/>
      <c r="AI405" s="301"/>
      <c r="AJ405" s="301"/>
      <c r="AK405" s="301"/>
      <c r="AL405" s="301"/>
      <c r="AM405" s="301"/>
      <c r="AN405" s="301"/>
      <c r="AO405" s="301"/>
      <c r="AP405" s="301"/>
      <c r="AQ405" s="301"/>
      <c r="AR405" s="301"/>
      <c r="AS405" s="316"/>
      <c r="AT405" s="316"/>
      <c r="AU405" s="317"/>
    </row>
    <row r="406" spans="1:47" s="216" customFormat="1" ht="15" customHeight="1" outlineLevel="1">
      <c r="A406" s="215" t="s">
        <v>125</v>
      </c>
      <c r="B406" s="249"/>
      <c r="C406" s="249"/>
      <c r="D406" s="250"/>
      <c r="E406" s="249"/>
      <c r="F406" s="249"/>
      <c r="G406" s="249"/>
      <c r="H406" s="249"/>
      <c r="I406" s="249"/>
      <c r="J406" s="249"/>
      <c r="K406" s="261"/>
      <c r="L406" s="250"/>
      <c r="M406" s="250"/>
      <c r="N406" s="250"/>
      <c r="O406" s="250"/>
      <c r="P406" s="250"/>
      <c r="Q406" s="255"/>
      <c r="R406" s="283"/>
      <c r="S406" s="283"/>
      <c r="T406" s="283"/>
      <c r="U406" s="283"/>
      <c r="V406" s="283"/>
      <c r="W406" s="283"/>
      <c r="X406" s="283"/>
      <c r="Y406" s="284"/>
      <c r="Z406" s="284"/>
      <c r="AA406" s="301"/>
      <c r="AB406" s="301"/>
      <c r="AC406" s="301"/>
      <c r="AD406" s="301"/>
      <c r="AE406" s="301"/>
      <c r="AF406" s="301"/>
      <c r="AG406" s="301"/>
      <c r="AH406" s="301"/>
      <c r="AI406" s="301"/>
      <c r="AJ406" s="301"/>
      <c r="AK406" s="301"/>
      <c r="AL406" s="301"/>
      <c r="AM406" s="301"/>
      <c r="AN406" s="301"/>
      <c r="AO406" s="301"/>
      <c r="AP406" s="301"/>
      <c r="AQ406" s="301"/>
      <c r="AR406" s="301"/>
      <c r="AS406" s="316"/>
      <c r="AT406" s="316"/>
      <c r="AU406" s="317"/>
    </row>
    <row r="407" spans="1:47" s="217" customFormat="1" ht="25.5" customHeight="1" outlineLevel="1">
      <c r="A407" s="215" t="s">
        <v>125</v>
      </c>
      <c r="B407" s="247"/>
      <c r="C407" s="247"/>
      <c r="D407" s="248"/>
      <c r="E407" s="249"/>
      <c r="F407" s="249"/>
      <c r="G407" s="249"/>
      <c r="H407" s="249"/>
      <c r="I407" s="249"/>
      <c r="J407" s="247"/>
      <c r="K407" s="259"/>
      <c r="L407" s="248"/>
      <c r="M407" s="248"/>
      <c r="N407" s="250"/>
      <c r="O407" s="250"/>
      <c r="P407" s="250"/>
      <c r="Q407" s="99" t="s">
        <v>127</v>
      </c>
      <c r="R407" s="283"/>
      <c r="S407" s="283"/>
      <c r="T407" s="283"/>
      <c r="U407" s="283"/>
      <c r="V407" s="283"/>
      <c r="W407" s="283"/>
      <c r="X407" s="283"/>
      <c r="Y407" s="285"/>
      <c r="Z407" s="285"/>
      <c r="AA407" s="302"/>
      <c r="AB407" s="302"/>
      <c r="AC407" s="302"/>
      <c r="AD407" s="302"/>
      <c r="AE407" s="302"/>
      <c r="AF407" s="302"/>
      <c r="AG407" s="302"/>
      <c r="AH407" s="301"/>
      <c r="AI407" s="301"/>
      <c r="AJ407" s="301"/>
      <c r="AK407" s="301"/>
      <c r="AL407" s="301"/>
      <c r="AM407" s="301"/>
      <c r="AN407" s="301"/>
      <c r="AO407" s="301"/>
      <c r="AP407" s="301"/>
      <c r="AQ407" s="302"/>
      <c r="AR407" s="302"/>
      <c r="AS407" s="315"/>
      <c r="AT407" s="315"/>
      <c r="AU407" s="220"/>
    </row>
    <row r="408" spans="1:47" s="218" customFormat="1" ht="25.5" customHeight="1" outlineLevel="2">
      <c r="A408" s="215" t="s">
        <v>125</v>
      </c>
      <c r="B408" s="151">
        <v>31</v>
      </c>
      <c r="C408" s="151" t="s">
        <v>128</v>
      </c>
      <c r="D408" s="245" t="s">
        <v>129</v>
      </c>
      <c r="E408" s="151" t="s">
        <v>130</v>
      </c>
      <c r="F408" s="151" t="s">
        <v>131</v>
      </c>
      <c r="G408" s="151" t="s">
        <v>34</v>
      </c>
      <c r="H408" s="151" t="s">
        <v>58</v>
      </c>
      <c r="I408" s="256">
        <v>20</v>
      </c>
      <c r="J408" s="151" t="s">
        <v>81</v>
      </c>
      <c r="K408" s="176" t="s">
        <v>132</v>
      </c>
      <c r="L408" s="245">
        <v>30485135</v>
      </c>
      <c r="M408" s="855"/>
      <c r="N408" s="245" t="s">
        <v>652</v>
      </c>
      <c r="O408" s="245" t="s">
        <v>701</v>
      </c>
      <c r="P408" s="245"/>
      <c r="Q408" s="176" t="s">
        <v>702</v>
      </c>
      <c r="R408" s="273"/>
      <c r="S408" s="274"/>
      <c r="T408" s="273"/>
      <c r="U408" s="273"/>
      <c r="V408" s="273"/>
      <c r="W408" s="273"/>
      <c r="X408" s="274"/>
      <c r="Y408" s="275">
        <v>457733000</v>
      </c>
      <c r="Z408" s="275">
        <v>0</v>
      </c>
      <c r="AA408" s="296"/>
      <c r="AB408" s="297">
        <f>357733000+78213053+20713948-11936453</f>
        <v>444723548</v>
      </c>
      <c r="AC408" s="297">
        <f t="shared" si="145"/>
        <v>435946053</v>
      </c>
      <c r="AD408" s="297">
        <f t="shared" ref="AD408:AD415" si="162">+AB408-AC408</f>
        <v>8777495</v>
      </c>
      <c r="AE408" s="297">
        <v>0</v>
      </c>
      <c r="AF408" s="297">
        <v>0</v>
      </c>
      <c r="AG408" s="297">
        <v>0</v>
      </c>
      <c r="AH408" s="297">
        <v>0</v>
      </c>
      <c r="AI408" s="297">
        <v>0</v>
      </c>
      <c r="AJ408" s="297">
        <v>0</v>
      </c>
      <c r="AK408" s="297">
        <v>0</v>
      </c>
      <c r="AL408" s="297">
        <v>103844241</v>
      </c>
      <c r="AM408" s="297">
        <v>0</v>
      </c>
      <c r="AN408" s="297">
        <v>0</v>
      </c>
      <c r="AO408" s="297">
        <v>94313272</v>
      </c>
      <c r="AP408" s="297">
        <v>237788540</v>
      </c>
      <c r="AQ408" s="296"/>
      <c r="AR408" s="297">
        <f t="shared" ref="AR408:AR416" si="163">+Y408-Z408-AC408-AD408</f>
        <v>13009452</v>
      </c>
      <c r="AS408" s="313" t="s">
        <v>148</v>
      </c>
      <c r="AT408" s="313" t="s">
        <v>1464</v>
      </c>
      <c r="AU408" s="176" t="s">
        <v>138</v>
      </c>
    </row>
    <row r="409" spans="1:47" s="218" customFormat="1" ht="25.5" customHeight="1" outlineLevel="2">
      <c r="A409" s="215" t="s">
        <v>125</v>
      </c>
      <c r="B409" s="151">
        <v>31</v>
      </c>
      <c r="C409" s="151" t="s">
        <v>128</v>
      </c>
      <c r="D409" s="245" t="s">
        <v>168</v>
      </c>
      <c r="E409" s="151" t="s">
        <v>130</v>
      </c>
      <c r="F409" s="151" t="s">
        <v>207</v>
      </c>
      <c r="G409" s="151" t="s">
        <v>34</v>
      </c>
      <c r="H409" s="151" t="s">
        <v>58</v>
      </c>
      <c r="I409" s="256">
        <v>20</v>
      </c>
      <c r="J409" s="151" t="s">
        <v>80</v>
      </c>
      <c r="K409" s="176" t="s">
        <v>132</v>
      </c>
      <c r="L409" s="245">
        <v>30121787</v>
      </c>
      <c r="M409" s="855"/>
      <c r="N409" s="245" t="s">
        <v>656</v>
      </c>
      <c r="O409" s="245" t="s">
        <v>703</v>
      </c>
      <c r="P409" s="245"/>
      <c r="Q409" s="176" t="s">
        <v>704</v>
      </c>
      <c r="R409" s="273"/>
      <c r="S409" s="274"/>
      <c r="T409" s="273"/>
      <c r="U409" s="273"/>
      <c r="V409" s="273"/>
      <c r="W409" s="273"/>
      <c r="X409" s="274"/>
      <c r="Y409" s="275">
        <v>744430310</v>
      </c>
      <c r="Z409" s="275">
        <v>742978307</v>
      </c>
      <c r="AA409" s="296"/>
      <c r="AB409" s="297">
        <v>1452003</v>
      </c>
      <c r="AC409" s="297">
        <f t="shared" si="145"/>
        <v>0</v>
      </c>
      <c r="AD409" s="297">
        <f t="shared" si="162"/>
        <v>1452003</v>
      </c>
      <c r="AE409" s="297">
        <v>0</v>
      </c>
      <c r="AF409" s="297">
        <v>0</v>
      </c>
      <c r="AG409" s="297">
        <v>0</v>
      </c>
      <c r="AH409" s="297">
        <v>0</v>
      </c>
      <c r="AI409" s="297">
        <v>0</v>
      </c>
      <c r="AJ409" s="297">
        <v>0</v>
      </c>
      <c r="AK409" s="297">
        <v>0</v>
      </c>
      <c r="AL409" s="297">
        <v>0</v>
      </c>
      <c r="AM409" s="297">
        <v>0</v>
      </c>
      <c r="AN409" s="297">
        <v>0</v>
      </c>
      <c r="AO409" s="297">
        <v>0</v>
      </c>
      <c r="AP409" s="297">
        <v>0</v>
      </c>
      <c r="AQ409" s="296"/>
      <c r="AR409" s="297">
        <f t="shared" si="163"/>
        <v>0</v>
      </c>
      <c r="AS409" s="313" t="s">
        <v>137</v>
      </c>
      <c r="AT409" s="313" t="s">
        <v>137</v>
      </c>
      <c r="AU409" s="176" t="s">
        <v>138</v>
      </c>
    </row>
    <row r="410" spans="1:47" s="218" customFormat="1" ht="25.5" customHeight="1" outlineLevel="2">
      <c r="A410" s="215" t="s">
        <v>125</v>
      </c>
      <c r="B410" s="151">
        <v>31</v>
      </c>
      <c r="C410" s="151" t="s">
        <v>128</v>
      </c>
      <c r="D410" s="245" t="s">
        <v>139</v>
      </c>
      <c r="E410" s="151" t="s">
        <v>130</v>
      </c>
      <c r="F410" s="151" t="s">
        <v>140</v>
      </c>
      <c r="G410" s="151" t="s">
        <v>34</v>
      </c>
      <c r="H410" s="151" t="s">
        <v>58</v>
      </c>
      <c r="I410" s="256">
        <v>20</v>
      </c>
      <c r="J410" s="151" t="s">
        <v>80</v>
      </c>
      <c r="K410" s="176" t="s">
        <v>202</v>
      </c>
      <c r="L410" s="245">
        <v>30076949</v>
      </c>
      <c r="M410" s="855"/>
      <c r="N410" s="245" t="s">
        <v>652</v>
      </c>
      <c r="O410" s="245" t="s">
        <v>705</v>
      </c>
      <c r="P410" s="245"/>
      <c r="Q410" s="176" t="s">
        <v>706</v>
      </c>
      <c r="R410" s="273" t="s">
        <v>707</v>
      </c>
      <c r="S410" s="274"/>
      <c r="T410" s="273"/>
      <c r="U410" s="273"/>
      <c r="V410" s="273"/>
      <c r="W410" s="273"/>
      <c r="X410" s="274"/>
      <c r="Y410" s="275">
        <v>336933000</v>
      </c>
      <c r="Z410" s="275">
        <v>4794000</v>
      </c>
      <c r="AA410" s="296"/>
      <c r="AB410" s="297">
        <f>332139000-102168027</f>
        <v>229970973</v>
      </c>
      <c r="AC410" s="297">
        <f t="shared" si="145"/>
        <v>81586005</v>
      </c>
      <c r="AD410" s="297">
        <f t="shared" si="162"/>
        <v>148384968</v>
      </c>
      <c r="AE410" s="297">
        <v>0</v>
      </c>
      <c r="AF410" s="297">
        <v>0</v>
      </c>
      <c r="AG410" s="297">
        <v>0</v>
      </c>
      <c r="AH410" s="297">
        <v>0</v>
      </c>
      <c r="AI410" s="297">
        <v>0</v>
      </c>
      <c r="AJ410" s="297">
        <v>0</v>
      </c>
      <c r="AK410" s="297">
        <v>0</v>
      </c>
      <c r="AL410" s="297">
        <v>46620574</v>
      </c>
      <c r="AM410" s="297">
        <v>0</v>
      </c>
      <c r="AN410" s="297">
        <v>34965431</v>
      </c>
      <c r="AO410" s="297">
        <v>0</v>
      </c>
      <c r="AP410" s="297">
        <v>0</v>
      </c>
      <c r="AQ410" s="296"/>
      <c r="AR410" s="297">
        <f t="shared" si="163"/>
        <v>102168027</v>
      </c>
      <c r="AS410" s="313" t="s">
        <v>137</v>
      </c>
      <c r="AT410" s="313" t="s">
        <v>137</v>
      </c>
      <c r="AU410" s="176" t="s">
        <v>138</v>
      </c>
    </row>
    <row r="411" spans="1:47" s="218" customFormat="1" ht="25.5" customHeight="1" outlineLevel="2">
      <c r="A411" s="215" t="s">
        <v>125</v>
      </c>
      <c r="B411" s="151">
        <v>31</v>
      </c>
      <c r="C411" s="151" t="s">
        <v>128</v>
      </c>
      <c r="D411" s="245" t="s">
        <v>129</v>
      </c>
      <c r="E411" s="151" t="s">
        <v>130</v>
      </c>
      <c r="F411" s="151" t="s">
        <v>131</v>
      </c>
      <c r="G411" s="151" t="s">
        <v>34</v>
      </c>
      <c r="H411" s="151" t="s">
        <v>58</v>
      </c>
      <c r="I411" s="256">
        <v>20</v>
      </c>
      <c r="J411" s="151" t="s">
        <v>81</v>
      </c>
      <c r="K411" s="176" t="s">
        <v>132</v>
      </c>
      <c r="L411" s="390">
        <v>40003369</v>
      </c>
      <c r="M411" s="855"/>
      <c r="N411" s="245" t="s">
        <v>652</v>
      </c>
      <c r="O411" s="245" t="s">
        <v>708</v>
      </c>
      <c r="P411" s="396" t="s">
        <v>709</v>
      </c>
      <c r="Q411" s="176" t="s">
        <v>710</v>
      </c>
      <c r="R411" s="273" t="s">
        <v>711</v>
      </c>
      <c r="S411" s="274"/>
      <c r="T411" s="273"/>
      <c r="U411" s="273"/>
      <c r="V411" s="273"/>
      <c r="W411" s="273"/>
      <c r="X411" s="274"/>
      <c r="Y411" s="275">
        <v>550000000</v>
      </c>
      <c r="Z411" s="275">
        <v>0</v>
      </c>
      <c r="AA411" s="296"/>
      <c r="AB411" s="297">
        <f>250000000+23621900+11936453</f>
        <v>285558353</v>
      </c>
      <c r="AC411" s="297">
        <f t="shared" si="145"/>
        <v>285558353</v>
      </c>
      <c r="AD411" s="297">
        <f t="shared" si="162"/>
        <v>0</v>
      </c>
      <c r="AE411" s="297">
        <v>0</v>
      </c>
      <c r="AF411" s="297">
        <v>0</v>
      </c>
      <c r="AG411" s="297">
        <v>0</v>
      </c>
      <c r="AH411" s="297">
        <v>0</v>
      </c>
      <c r="AI411" s="297">
        <v>0</v>
      </c>
      <c r="AJ411" s="297">
        <v>63772453</v>
      </c>
      <c r="AK411" s="297">
        <v>0</v>
      </c>
      <c r="AL411" s="297">
        <v>77101710</v>
      </c>
      <c r="AM411" s="297">
        <v>63812509</v>
      </c>
      <c r="AN411" s="297">
        <v>80871681</v>
      </c>
      <c r="AO411" s="297">
        <v>0</v>
      </c>
      <c r="AP411" s="297">
        <v>0</v>
      </c>
      <c r="AQ411" s="296"/>
      <c r="AR411" s="297">
        <f t="shared" si="163"/>
        <v>264441647</v>
      </c>
      <c r="AS411" s="313" t="s">
        <v>148</v>
      </c>
      <c r="AT411" s="313" t="s">
        <v>1464</v>
      </c>
      <c r="AU411" s="176" t="s">
        <v>138</v>
      </c>
    </row>
    <row r="412" spans="1:47" s="218" customFormat="1" ht="25.5" customHeight="1" outlineLevel="2">
      <c r="A412" s="215" t="s">
        <v>125</v>
      </c>
      <c r="B412" s="151">
        <v>24</v>
      </c>
      <c r="C412" s="151" t="s">
        <v>196</v>
      </c>
      <c r="D412" s="245" t="s">
        <v>251</v>
      </c>
      <c r="E412" s="151" t="s">
        <v>169</v>
      </c>
      <c r="F412" s="151" t="s">
        <v>251</v>
      </c>
      <c r="G412" s="151" t="s">
        <v>34</v>
      </c>
      <c r="H412" s="151" t="s">
        <v>58</v>
      </c>
      <c r="I412" s="256">
        <v>20</v>
      </c>
      <c r="J412" s="151" t="s">
        <v>84</v>
      </c>
      <c r="K412" s="176" t="s">
        <v>132</v>
      </c>
      <c r="L412" s="245">
        <v>30382027</v>
      </c>
      <c r="M412" s="855"/>
      <c r="N412" s="245"/>
      <c r="O412" s="245" t="s">
        <v>1444</v>
      </c>
      <c r="P412" s="396"/>
      <c r="Q412" s="176" t="s">
        <v>712</v>
      </c>
      <c r="R412" s="273"/>
      <c r="S412" s="274"/>
      <c r="T412" s="273"/>
      <c r="U412" s="273"/>
      <c r="V412" s="273"/>
      <c r="W412" s="273"/>
      <c r="X412" s="274"/>
      <c r="Y412" s="275">
        <v>50892340</v>
      </c>
      <c r="Z412" s="275">
        <v>0</v>
      </c>
      <c r="AA412" s="296"/>
      <c r="AB412" s="297">
        <f>+AC412</f>
        <v>50892340</v>
      </c>
      <c r="AC412" s="297">
        <f t="shared" si="145"/>
        <v>50892340</v>
      </c>
      <c r="AD412" s="297">
        <f t="shared" si="162"/>
        <v>0</v>
      </c>
      <c r="AE412" s="297"/>
      <c r="AF412" s="297"/>
      <c r="AG412" s="297"/>
      <c r="AH412" s="297"/>
      <c r="AI412" s="297"/>
      <c r="AJ412" s="297">
        <v>0</v>
      </c>
      <c r="AK412" s="297">
        <v>0</v>
      </c>
      <c r="AL412" s="297">
        <v>0</v>
      </c>
      <c r="AM412" s="297">
        <v>50892340</v>
      </c>
      <c r="AN412" s="297"/>
      <c r="AO412" s="297"/>
      <c r="AP412" s="297"/>
      <c r="AQ412" s="296"/>
      <c r="AR412" s="297">
        <f t="shared" si="163"/>
        <v>0</v>
      </c>
      <c r="AS412" s="313" t="s">
        <v>415</v>
      </c>
      <c r="AT412" s="313" t="s">
        <v>1480</v>
      </c>
      <c r="AU412" s="176" t="s">
        <v>138</v>
      </c>
    </row>
    <row r="413" spans="1:47" s="218" customFormat="1" ht="25.5" customHeight="1" outlineLevel="2">
      <c r="A413" s="215" t="s">
        <v>125</v>
      </c>
      <c r="B413" s="151">
        <v>31</v>
      </c>
      <c r="C413" s="151" t="s">
        <v>128</v>
      </c>
      <c r="D413" s="245" t="s">
        <v>618</v>
      </c>
      <c r="E413" s="151" t="s">
        <v>130</v>
      </c>
      <c r="F413" s="151" t="s">
        <v>649</v>
      </c>
      <c r="G413" s="151" t="s">
        <v>34</v>
      </c>
      <c r="H413" s="151" t="s">
        <v>58</v>
      </c>
      <c r="I413" s="256">
        <v>20</v>
      </c>
      <c r="J413" s="151" t="s">
        <v>80</v>
      </c>
      <c r="K413" s="176" t="s">
        <v>132</v>
      </c>
      <c r="L413" s="245">
        <v>30076663</v>
      </c>
      <c r="M413" s="855"/>
      <c r="N413" s="245" t="e">
        <v>#N/A</v>
      </c>
      <c r="O413" s="245" t="s">
        <v>713</v>
      </c>
      <c r="P413" s="257" t="s">
        <v>714</v>
      </c>
      <c r="Q413" s="176" t="s">
        <v>715</v>
      </c>
      <c r="R413" s="273"/>
      <c r="S413" s="274"/>
      <c r="T413" s="273"/>
      <c r="U413" s="273"/>
      <c r="V413" s="273"/>
      <c r="W413" s="273"/>
      <c r="X413" s="274"/>
      <c r="Y413" s="275">
        <v>564532000</v>
      </c>
      <c r="Z413" s="275">
        <v>0</v>
      </c>
      <c r="AA413" s="296"/>
      <c r="AB413" s="297">
        <f>264532000+102168027</f>
        <v>366700027</v>
      </c>
      <c r="AC413" s="297">
        <f t="shared" si="145"/>
        <v>122263164</v>
      </c>
      <c r="AD413" s="297">
        <f t="shared" si="162"/>
        <v>244436863</v>
      </c>
      <c r="AE413" s="297">
        <v>0</v>
      </c>
      <c r="AF413" s="297">
        <v>0</v>
      </c>
      <c r="AG413" s="297">
        <v>0</v>
      </c>
      <c r="AH413" s="297">
        <v>0</v>
      </c>
      <c r="AI413" s="297">
        <v>0</v>
      </c>
      <c r="AJ413" s="297">
        <v>115983164</v>
      </c>
      <c r="AK413" s="297">
        <v>1570000</v>
      </c>
      <c r="AL413" s="297">
        <v>1570000</v>
      </c>
      <c r="AM413" s="297">
        <v>3140000</v>
      </c>
      <c r="AN413" s="297">
        <v>0</v>
      </c>
      <c r="AO413" s="297">
        <v>0</v>
      </c>
      <c r="AP413" s="297">
        <v>0</v>
      </c>
      <c r="AQ413" s="296"/>
      <c r="AR413" s="297">
        <f t="shared" si="163"/>
        <v>197831973</v>
      </c>
      <c r="AS413" s="313" t="s">
        <v>148</v>
      </c>
      <c r="AT413" s="313" t="s">
        <v>1464</v>
      </c>
      <c r="AU413" s="176" t="s">
        <v>138</v>
      </c>
    </row>
    <row r="414" spans="1:47" s="218" customFormat="1" ht="25.5" customHeight="1" outlineLevel="2">
      <c r="A414" s="215" t="s">
        <v>125</v>
      </c>
      <c r="B414" s="191">
        <v>33</v>
      </c>
      <c r="C414" s="191" t="s">
        <v>128</v>
      </c>
      <c r="D414" s="246" t="s">
        <v>149</v>
      </c>
      <c r="E414" s="191" t="s">
        <v>130</v>
      </c>
      <c r="F414" s="191" t="s">
        <v>140</v>
      </c>
      <c r="G414" s="191" t="s">
        <v>34</v>
      </c>
      <c r="H414" s="191" t="s">
        <v>58</v>
      </c>
      <c r="I414" s="258">
        <v>20</v>
      </c>
      <c r="J414" s="191" t="s">
        <v>83</v>
      </c>
      <c r="K414" s="192" t="s">
        <v>132</v>
      </c>
      <c r="L414" s="246" t="s">
        <v>83</v>
      </c>
      <c r="M414" s="861" t="s">
        <v>1604</v>
      </c>
      <c r="N414" s="246"/>
      <c r="O414" s="245" t="s">
        <v>183</v>
      </c>
      <c r="P414" s="246"/>
      <c r="Q414" s="192" t="s">
        <v>184</v>
      </c>
      <c r="R414" s="276"/>
      <c r="S414" s="277"/>
      <c r="T414" s="276"/>
      <c r="U414" s="276"/>
      <c r="V414" s="276"/>
      <c r="W414" s="276"/>
      <c r="X414" s="277"/>
      <c r="Y414" s="194">
        <v>100000000</v>
      </c>
      <c r="Z414" s="194">
        <f>+FRIL!J616</f>
        <v>0</v>
      </c>
      <c r="AA414" s="298"/>
      <c r="AB414" s="299">
        <v>100000000</v>
      </c>
      <c r="AC414" s="299">
        <f t="shared" si="145"/>
        <v>0</v>
      </c>
      <c r="AD414" s="299">
        <f t="shared" si="162"/>
        <v>100000000</v>
      </c>
      <c r="AE414" s="299">
        <v>0</v>
      </c>
      <c r="AF414" s="299">
        <v>0</v>
      </c>
      <c r="AG414" s="299">
        <v>0</v>
      </c>
      <c r="AH414" s="299">
        <v>0</v>
      </c>
      <c r="AI414" s="299">
        <v>0</v>
      </c>
      <c r="AJ414" s="297">
        <v>0</v>
      </c>
      <c r="AK414" s="299">
        <v>0</v>
      </c>
      <c r="AL414" s="299">
        <v>0</v>
      </c>
      <c r="AM414" s="299">
        <v>0</v>
      </c>
      <c r="AN414" s="299">
        <v>0</v>
      </c>
      <c r="AO414" s="297">
        <v>0</v>
      </c>
      <c r="AP414" s="299">
        <v>0</v>
      </c>
      <c r="AQ414" s="298"/>
      <c r="AR414" s="299">
        <f t="shared" si="163"/>
        <v>0</v>
      </c>
      <c r="AS414" s="314" t="s">
        <v>185</v>
      </c>
      <c r="AT414" s="314" t="s">
        <v>83</v>
      </c>
      <c r="AU414" s="192" t="s">
        <v>138</v>
      </c>
    </row>
    <row r="415" spans="1:47" s="218" customFormat="1" ht="25.5" customHeight="1" outlineLevel="2">
      <c r="A415" s="215" t="s">
        <v>125</v>
      </c>
      <c r="B415" s="151">
        <v>33</v>
      </c>
      <c r="C415" s="151" t="s">
        <v>128</v>
      </c>
      <c r="D415" s="245" t="s">
        <v>149</v>
      </c>
      <c r="E415" s="151" t="s">
        <v>130</v>
      </c>
      <c r="F415" s="151" t="s">
        <v>140</v>
      </c>
      <c r="G415" s="151" t="s">
        <v>34</v>
      </c>
      <c r="H415" s="151" t="s">
        <v>58</v>
      </c>
      <c r="I415" s="256">
        <v>20</v>
      </c>
      <c r="J415" s="151" t="s">
        <v>83</v>
      </c>
      <c r="K415" s="176" t="s">
        <v>132</v>
      </c>
      <c r="L415" s="245" t="s">
        <v>83</v>
      </c>
      <c r="M415" s="855"/>
      <c r="N415" s="245"/>
      <c r="O415" s="245" t="s">
        <v>183</v>
      </c>
      <c r="P415" s="245"/>
      <c r="Q415" s="176" t="s">
        <v>667</v>
      </c>
      <c r="R415" s="273"/>
      <c r="S415" s="274"/>
      <c r="T415" s="273"/>
      <c r="U415" s="273"/>
      <c r="V415" s="273"/>
      <c r="W415" s="273"/>
      <c r="X415" s="274"/>
      <c r="Y415" s="275">
        <v>200000000</v>
      </c>
      <c r="Z415" s="275">
        <f>+FRIL!J617</f>
        <v>0</v>
      </c>
      <c r="AA415" s="296"/>
      <c r="AB415" s="297">
        <v>200000000</v>
      </c>
      <c r="AC415" s="297">
        <f t="shared" si="145"/>
        <v>49257331</v>
      </c>
      <c r="AD415" s="297">
        <f t="shared" si="162"/>
        <v>150742669</v>
      </c>
      <c r="AE415" s="297">
        <v>0</v>
      </c>
      <c r="AF415" s="297">
        <v>0</v>
      </c>
      <c r="AG415" s="297">
        <v>0</v>
      </c>
      <c r="AH415" s="297">
        <v>0</v>
      </c>
      <c r="AI415" s="297">
        <v>0</v>
      </c>
      <c r="AJ415" s="297">
        <v>0</v>
      </c>
      <c r="AK415" s="297">
        <v>17517562</v>
      </c>
      <c r="AL415" s="297">
        <v>23102764</v>
      </c>
      <c r="AM415" s="297">
        <v>8637005</v>
      </c>
      <c r="AN415" s="297">
        <v>0</v>
      </c>
      <c r="AO415" s="297">
        <f>+FRIL!L208</f>
        <v>0</v>
      </c>
      <c r="AP415" s="297">
        <v>0</v>
      </c>
      <c r="AQ415" s="296"/>
      <c r="AR415" s="297">
        <f t="shared" si="163"/>
        <v>0</v>
      </c>
      <c r="AS415" s="313" t="s">
        <v>185</v>
      </c>
      <c r="AT415" s="313" t="s">
        <v>83</v>
      </c>
      <c r="AU415" s="176" t="s">
        <v>138</v>
      </c>
    </row>
    <row r="416" spans="1:47" s="217" customFormat="1" ht="25.5" customHeight="1" outlineLevel="1">
      <c r="A416" s="215" t="s">
        <v>125</v>
      </c>
      <c r="B416" s="247"/>
      <c r="C416" s="247"/>
      <c r="D416" s="248"/>
      <c r="E416" s="249"/>
      <c r="F416" s="249"/>
      <c r="G416" s="249"/>
      <c r="H416" s="249"/>
      <c r="I416" s="249"/>
      <c r="J416" s="247"/>
      <c r="K416" s="259"/>
      <c r="L416" s="248"/>
      <c r="M416" s="248"/>
      <c r="N416" s="250"/>
      <c r="O416" s="250"/>
      <c r="P416" s="250"/>
      <c r="Q416" s="260" t="s">
        <v>187</v>
      </c>
      <c r="R416" s="278"/>
      <c r="S416" s="279"/>
      <c r="T416" s="279"/>
      <c r="U416" s="279"/>
      <c r="V416" s="279"/>
      <c r="W416" s="279"/>
      <c r="X416" s="281"/>
      <c r="Y416" s="286">
        <f>+Y408+Y409+Y410+Y414+Y415+Y411+Y412+Y413</f>
        <v>3004520650</v>
      </c>
      <c r="Z416" s="286">
        <f>+Z408+Z409+Z410+Z414+Z415+Z411+Z412+Z413</f>
        <v>747772307</v>
      </c>
      <c r="AA416" s="303"/>
      <c r="AB416" s="286">
        <f t="shared" ref="AB416:AP416" si="164">+AB408+AB409+AB410+AB414+AB415+AB411+AB412+AB413</f>
        <v>1679297244</v>
      </c>
      <c r="AC416" s="286">
        <f t="shared" si="145"/>
        <v>1025503246</v>
      </c>
      <c r="AD416" s="286">
        <f t="shared" si="164"/>
        <v>653793998</v>
      </c>
      <c r="AE416" s="286">
        <f t="shared" si="164"/>
        <v>0</v>
      </c>
      <c r="AF416" s="286">
        <f t="shared" si="164"/>
        <v>0</v>
      </c>
      <c r="AG416" s="286">
        <f t="shared" si="164"/>
        <v>0</v>
      </c>
      <c r="AH416" s="286">
        <f t="shared" si="164"/>
        <v>0</v>
      </c>
      <c r="AI416" s="286">
        <f t="shared" si="164"/>
        <v>0</v>
      </c>
      <c r="AJ416" s="286">
        <v>179755617</v>
      </c>
      <c r="AK416" s="286">
        <f t="shared" si="164"/>
        <v>19087562</v>
      </c>
      <c r="AL416" s="286">
        <f t="shared" si="164"/>
        <v>252239289</v>
      </c>
      <c r="AM416" s="286">
        <f t="shared" si="164"/>
        <v>126481854</v>
      </c>
      <c r="AN416" s="286">
        <f t="shared" si="164"/>
        <v>115837112</v>
      </c>
      <c r="AO416" s="286">
        <f t="shared" si="164"/>
        <v>94313272</v>
      </c>
      <c r="AP416" s="286">
        <f t="shared" si="164"/>
        <v>237788540</v>
      </c>
      <c r="AQ416" s="287"/>
      <c r="AR416" s="286">
        <f t="shared" si="163"/>
        <v>577451099</v>
      </c>
      <c r="AS416" s="315"/>
      <c r="AT416" s="315"/>
      <c r="AU416" s="220"/>
    </row>
    <row r="417" spans="1:47" ht="18.75" customHeight="1" outlineLevel="1">
      <c r="A417" s="215" t="s">
        <v>125</v>
      </c>
      <c r="B417" s="249"/>
      <c r="C417" s="249"/>
      <c r="D417" s="250"/>
      <c r="E417" s="249"/>
      <c r="F417" s="249"/>
      <c r="G417" s="249"/>
      <c r="H417" s="249"/>
      <c r="I417" s="249"/>
      <c r="J417" s="249"/>
      <c r="K417" s="261"/>
      <c r="L417" s="250"/>
      <c r="M417" s="250"/>
      <c r="N417" s="250"/>
      <c r="O417" s="250"/>
      <c r="P417" s="250"/>
      <c r="Q417" s="397"/>
      <c r="R417" s="279"/>
      <c r="S417" s="279"/>
      <c r="T417" s="279"/>
      <c r="U417" s="279"/>
      <c r="V417" s="279"/>
      <c r="W417" s="279"/>
      <c r="X417" s="279"/>
      <c r="Y417" s="291"/>
      <c r="Z417" s="291"/>
      <c r="AA417" s="291"/>
      <c r="AB417" s="291"/>
      <c r="AC417" s="291"/>
      <c r="AD417" s="291"/>
      <c r="AE417" s="291"/>
      <c r="AF417" s="291"/>
      <c r="AG417" s="291"/>
      <c r="AH417" s="291"/>
      <c r="AI417" s="291"/>
      <c r="AJ417" s="291"/>
      <c r="AK417" s="291"/>
      <c r="AL417" s="291"/>
      <c r="AM417" s="291"/>
      <c r="AN417" s="291"/>
      <c r="AO417" s="291"/>
      <c r="AP417" s="291"/>
      <c r="AQ417" s="291"/>
      <c r="AR417" s="291"/>
      <c r="AS417" s="316"/>
      <c r="AT417" s="316"/>
      <c r="AU417" s="317"/>
    </row>
    <row r="418" spans="1:47" s="217" customFormat="1" ht="25.5" customHeight="1" outlineLevel="1">
      <c r="A418" s="215" t="s">
        <v>125</v>
      </c>
      <c r="B418" s="247"/>
      <c r="C418" s="247"/>
      <c r="D418" s="248"/>
      <c r="E418" s="249"/>
      <c r="F418" s="249"/>
      <c r="G418" s="249"/>
      <c r="H418" s="249"/>
      <c r="I418" s="249"/>
      <c r="J418" s="247"/>
      <c r="K418" s="259"/>
      <c r="L418" s="248"/>
      <c r="M418" s="248"/>
      <c r="N418" s="250"/>
      <c r="O418" s="250"/>
      <c r="P418" s="250"/>
      <c r="Q418" s="99" t="s">
        <v>188</v>
      </c>
      <c r="R418" s="283"/>
      <c r="S418" s="283"/>
      <c r="T418" s="283"/>
      <c r="U418" s="283"/>
      <c r="V418" s="283"/>
      <c r="W418" s="283"/>
      <c r="X418" s="283"/>
      <c r="Y418" s="285"/>
      <c r="Z418" s="285"/>
      <c r="AA418" s="302"/>
      <c r="AB418" s="302"/>
      <c r="AC418" s="302"/>
      <c r="AD418" s="302"/>
      <c r="AE418" s="302"/>
      <c r="AF418" s="302"/>
      <c r="AG418" s="302"/>
      <c r="AH418" s="301"/>
      <c r="AI418" s="301"/>
      <c r="AJ418" s="301"/>
      <c r="AK418" s="301"/>
      <c r="AL418" s="301"/>
      <c r="AM418" s="301"/>
      <c r="AN418" s="301"/>
      <c r="AO418" s="301"/>
      <c r="AP418" s="301"/>
      <c r="AQ418" s="302"/>
      <c r="AR418" s="302"/>
      <c r="AS418" s="315"/>
      <c r="AT418" s="315"/>
      <c r="AU418" s="220"/>
    </row>
    <row r="419" spans="1:47" s="218" customFormat="1" ht="25.5" customHeight="1" outlineLevel="2">
      <c r="A419" s="215" t="s">
        <v>125</v>
      </c>
      <c r="B419" s="151">
        <v>31</v>
      </c>
      <c r="C419" s="151" t="s">
        <v>128</v>
      </c>
      <c r="D419" s="245" t="s">
        <v>164</v>
      </c>
      <c r="E419" s="151" t="s">
        <v>130</v>
      </c>
      <c r="F419" s="151" t="s">
        <v>140</v>
      </c>
      <c r="G419" s="151" t="s">
        <v>34</v>
      </c>
      <c r="H419" s="151" t="s">
        <v>58</v>
      </c>
      <c r="I419" s="256">
        <v>20</v>
      </c>
      <c r="J419" s="151" t="s">
        <v>80</v>
      </c>
      <c r="K419" s="176" t="s">
        <v>132</v>
      </c>
      <c r="L419" s="245">
        <v>20140221</v>
      </c>
      <c r="M419" s="855"/>
      <c r="N419" s="245" t="e">
        <v>#N/A</v>
      </c>
      <c r="O419" s="245" t="s">
        <v>716</v>
      </c>
      <c r="P419" s="257" t="s">
        <v>717</v>
      </c>
      <c r="Q419" s="176" t="s">
        <v>718</v>
      </c>
      <c r="R419" s="273"/>
      <c r="S419" s="274"/>
      <c r="T419" s="273"/>
      <c r="U419" s="273"/>
      <c r="V419" s="273"/>
      <c r="W419" s="273"/>
      <c r="X419" s="274"/>
      <c r="Y419" s="275">
        <v>600518000</v>
      </c>
      <c r="Z419" s="275">
        <v>0</v>
      </c>
      <c r="AA419" s="296"/>
      <c r="AB419" s="297">
        <v>200518000</v>
      </c>
      <c r="AC419" s="297">
        <f t="shared" ref="AC419:AC463" si="165">SUBTOTAL(9,AE419:AP419)</f>
        <v>0</v>
      </c>
      <c r="AD419" s="297">
        <f>+AB419-AC419</f>
        <v>200518000</v>
      </c>
      <c r="AE419" s="297">
        <v>0</v>
      </c>
      <c r="AF419" s="297">
        <v>0</v>
      </c>
      <c r="AG419" s="297">
        <v>0</v>
      </c>
      <c r="AH419" s="297">
        <v>0</v>
      </c>
      <c r="AI419" s="297">
        <v>0</v>
      </c>
      <c r="AJ419" s="297">
        <v>0</v>
      </c>
      <c r="AK419" s="297">
        <v>0</v>
      </c>
      <c r="AL419" s="297">
        <v>0</v>
      </c>
      <c r="AM419" s="297">
        <v>0</v>
      </c>
      <c r="AN419" s="297">
        <v>0</v>
      </c>
      <c r="AO419" s="297">
        <v>0</v>
      </c>
      <c r="AP419" s="297">
        <v>0</v>
      </c>
      <c r="AQ419" s="296"/>
      <c r="AR419" s="297">
        <f>+Y419-Z419-AC419-AD419</f>
        <v>400000000</v>
      </c>
      <c r="AS419" s="313" t="s">
        <v>137</v>
      </c>
      <c r="AT419" s="313" t="s">
        <v>137</v>
      </c>
      <c r="AU419" s="176" t="s">
        <v>158</v>
      </c>
    </row>
    <row r="420" spans="1:47" s="218" customFormat="1" ht="25.5" customHeight="1" outlineLevel="2">
      <c r="A420" s="215" t="s">
        <v>125</v>
      </c>
      <c r="B420" s="151">
        <v>31</v>
      </c>
      <c r="C420" s="151" t="s">
        <v>128</v>
      </c>
      <c r="D420" s="245" t="s">
        <v>149</v>
      </c>
      <c r="E420" s="151" t="s">
        <v>130</v>
      </c>
      <c r="F420" s="151" t="s">
        <v>131</v>
      </c>
      <c r="G420" s="151" t="s">
        <v>34</v>
      </c>
      <c r="H420" s="151" t="s">
        <v>58</v>
      </c>
      <c r="I420" s="256">
        <v>20</v>
      </c>
      <c r="J420" s="151" t="s">
        <v>81</v>
      </c>
      <c r="K420" s="176" t="s">
        <v>132</v>
      </c>
      <c r="L420" s="245">
        <v>40002877</v>
      </c>
      <c r="M420" s="855"/>
      <c r="N420" s="245" t="s">
        <v>656</v>
      </c>
      <c r="O420" s="245" t="s">
        <v>719</v>
      </c>
      <c r="P420" s="257" t="s">
        <v>1491</v>
      </c>
      <c r="Q420" s="176" t="s">
        <v>720</v>
      </c>
      <c r="R420" s="273"/>
      <c r="S420" s="274"/>
      <c r="T420" s="273"/>
      <c r="U420" s="273" t="s">
        <v>721</v>
      </c>
      <c r="V420" s="273">
        <v>3779356000</v>
      </c>
      <c r="W420" s="273"/>
      <c r="X420" s="274"/>
      <c r="Y420" s="275">
        <v>3779356000</v>
      </c>
      <c r="Z420" s="275">
        <v>0</v>
      </c>
      <c r="AA420" s="296"/>
      <c r="AB420" s="297">
        <f>200000000-78213053-20713948-23621900</f>
        <v>77451099</v>
      </c>
      <c r="AC420" s="297">
        <f t="shared" si="165"/>
        <v>0</v>
      </c>
      <c r="AD420" s="297">
        <f>+AB420-AC420</f>
        <v>77451099</v>
      </c>
      <c r="AE420" s="297">
        <v>0</v>
      </c>
      <c r="AF420" s="297">
        <v>0</v>
      </c>
      <c r="AG420" s="297">
        <v>0</v>
      </c>
      <c r="AH420" s="297">
        <v>0</v>
      </c>
      <c r="AI420" s="297">
        <v>0</v>
      </c>
      <c r="AJ420" s="297">
        <v>0</v>
      </c>
      <c r="AK420" s="297">
        <v>0</v>
      </c>
      <c r="AL420" s="297">
        <v>0</v>
      </c>
      <c r="AM420" s="297">
        <v>0</v>
      </c>
      <c r="AN420" s="297">
        <v>0</v>
      </c>
      <c r="AO420" s="297">
        <v>0</v>
      </c>
      <c r="AP420" s="297">
        <v>0</v>
      </c>
      <c r="AQ420" s="296"/>
      <c r="AR420" s="297">
        <f>+Y420-Z420-AC420-AD420</f>
        <v>3701904901</v>
      </c>
      <c r="AS420" s="313" t="s">
        <v>137</v>
      </c>
      <c r="AT420" s="313" t="s">
        <v>137</v>
      </c>
      <c r="AU420" s="176" t="s">
        <v>1551</v>
      </c>
    </row>
    <row r="421" spans="1:47" s="217" customFormat="1" ht="25.5" customHeight="1" outlineLevel="1">
      <c r="A421" s="215" t="s">
        <v>125</v>
      </c>
      <c r="B421" s="151">
        <v>31</v>
      </c>
      <c r="C421" s="151" t="s">
        <v>196</v>
      </c>
      <c r="D421" s="245" t="s">
        <v>139</v>
      </c>
      <c r="E421" s="151" t="s">
        <v>130</v>
      </c>
      <c r="F421" s="151" t="s">
        <v>140</v>
      </c>
      <c r="G421" s="151" t="s">
        <v>34</v>
      </c>
      <c r="H421" s="151" t="s">
        <v>58</v>
      </c>
      <c r="I421" s="256">
        <v>20</v>
      </c>
      <c r="J421" s="151" t="s">
        <v>80</v>
      </c>
      <c r="K421" s="176" t="s">
        <v>202</v>
      </c>
      <c r="L421" s="245">
        <v>40005957</v>
      </c>
      <c r="M421" s="855"/>
      <c r="N421" s="245"/>
      <c r="O421" s="245" t="s">
        <v>722</v>
      </c>
      <c r="P421" s="245"/>
      <c r="Q421" s="176" t="s">
        <v>723</v>
      </c>
      <c r="R421" s="273"/>
      <c r="S421" s="274"/>
      <c r="T421" s="273"/>
      <c r="U421" s="273"/>
      <c r="V421" s="273"/>
      <c r="W421" s="273"/>
      <c r="X421" s="274"/>
      <c r="Y421" s="326">
        <v>139625000</v>
      </c>
      <c r="Z421" s="275">
        <v>0</v>
      </c>
      <c r="AA421" s="296"/>
      <c r="AB421" s="297">
        <v>5324600</v>
      </c>
      <c r="AC421" s="297">
        <f t="shared" si="165"/>
        <v>0</v>
      </c>
      <c r="AD421" s="297">
        <f>+AB421-AC421</f>
        <v>5324600</v>
      </c>
      <c r="AE421" s="297">
        <v>0</v>
      </c>
      <c r="AF421" s="297">
        <v>0</v>
      </c>
      <c r="AG421" s="297">
        <v>0</v>
      </c>
      <c r="AH421" s="297">
        <v>0</v>
      </c>
      <c r="AI421" s="297">
        <v>0</v>
      </c>
      <c r="AJ421" s="297">
        <v>0</v>
      </c>
      <c r="AK421" s="297">
        <v>0</v>
      </c>
      <c r="AL421" s="297">
        <v>0</v>
      </c>
      <c r="AM421" s="297">
        <v>0</v>
      </c>
      <c r="AN421" s="297">
        <v>0</v>
      </c>
      <c r="AO421" s="297">
        <v>0</v>
      </c>
      <c r="AP421" s="297">
        <v>0</v>
      </c>
      <c r="AQ421" s="296"/>
      <c r="AR421" s="297">
        <f>+Y421-Z421-AC421-AD421</f>
        <v>134300400</v>
      </c>
      <c r="AS421" s="313" t="s">
        <v>137</v>
      </c>
      <c r="AT421" s="313" t="s">
        <v>137</v>
      </c>
      <c r="AU421" s="176" t="s">
        <v>190</v>
      </c>
    </row>
    <row r="422" spans="1:47" s="217" customFormat="1" ht="25.5" customHeight="1" outlineLevel="1">
      <c r="A422" s="215" t="s">
        <v>125</v>
      </c>
      <c r="B422" s="151">
        <v>29</v>
      </c>
      <c r="C422" s="151" t="s">
        <v>196</v>
      </c>
      <c r="D422" s="245" t="s">
        <v>149</v>
      </c>
      <c r="E422" s="151" t="s">
        <v>130</v>
      </c>
      <c r="F422" s="151" t="s">
        <v>140</v>
      </c>
      <c r="G422" s="151" t="s">
        <v>34</v>
      </c>
      <c r="H422" s="151" t="s">
        <v>58</v>
      </c>
      <c r="I422" s="256">
        <v>21</v>
      </c>
      <c r="J422" s="151" t="s">
        <v>80</v>
      </c>
      <c r="K422" s="176" t="s">
        <v>132</v>
      </c>
      <c r="L422" s="245">
        <v>40007844</v>
      </c>
      <c r="M422" s="855"/>
      <c r="N422" s="245"/>
      <c r="O422" s="245" t="s">
        <v>724</v>
      </c>
      <c r="P422" s="245"/>
      <c r="Q422" s="176" t="s">
        <v>725</v>
      </c>
      <c r="R422" s="273" t="s">
        <v>726</v>
      </c>
      <c r="S422" s="274"/>
      <c r="T422" s="273"/>
      <c r="U422" s="273"/>
      <c r="V422" s="273"/>
      <c r="W422" s="273"/>
      <c r="X422" s="274"/>
      <c r="Y422" s="326">
        <v>651525000</v>
      </c>
      <c r="Z422" s="275">
        <v>0</v>
      </c>
      <c r="AA422" s="296"/>
      <c r="AB422" s="297">
        <f>314257000-45815000-34732000</f>
        <v>233710000</v>
      </c>
      <c r="AC422" s="297">
        <f t="shared" si="165"/>
        <v>0</v>
      </c>
      <c r="AD422" s="297">
        <f>+AB422-AC422</f>
        <v>233710000</v>
      </c>
      <c r="AE422" s="297">
        <v>0</v>
      </c>
      <c r="AF422" s="297">
        <v>0</v>
      </c>
      <c r="AG422" s="297">
        <v>0</v>
      </c>
      <c r="AH422" s="297">
        <v>0</v>
      </c>
      <c r="AI422" s="297">
        <v>0</v>
      </c>
      <c r="AJ422" s="297">
        <v>0</v>
      </c>
      <c r="AK422" s="297">
        <v>0</v>
      </c>
      <c r="AL422" s="297">
        <v>0</v>
      </c>
      <c r="AM422" s="297">
        <v>0</v>
      </c>
      <c r="AN422" s="297">
        <v>0</v>
      </c>
      <c r="AO422" s="297">
        <v>0</v>
      </c>
      <c r="AP422" s="297">
        <v>0</v>
      </c>
      <c r="AQ422" s="296"/>
      <c r="AR422" s="297">
        <f>+Y422-Z422-AC422-AD422</f>
        <v>417815000</v>
      </c>
      <c r="AS422" s="313" t="s">
        <v>148</v>
      </c>
      <c r="AT422" s="313" t="s">
        <v>1464</v>
      </c>
      <c r="AU422" s="176" t="s">
        <v>200</v>
      </c>
    </row>
    <row r="423" spans="1:47" s="217" customFormat="1" ht="25.5" customHeight="1" outlineLevel="1">
      <c r="A423" s="215" t="s">
        <v>125</v>
      </c>
      <c r="B423" s="151">
        <v>31</v>
      </c>
      <c r="C423" s="151" t="s">
        <v>196</v>
      </c>
      <c r="D423" s="245" t="s">
        <v>129</v>
      </c>
      <c r="E423" s="151" t="s">
        <v>130</v>
      </c>
      <c r="F423" s="151" t="s">
        <v>131</v>
      </c>
      <c r="G423" s="151" t="s">
        <v>34</v>
      </c>
      <c r="H423" s="151" t="s">
        <v>58</v>
      </c>
      <c r="I423" s="256">
        <v>22</v>
      </c>
      <c r="J423" s="151" t="s">
        <v>81</v>
      </c>
      <c r="K423" s="176" t="s">
        <v>132</v>
      </c>
      <c r="L423" s="245">
        <v>40014732</v>
      </c>
      <c r="M423" s="855"/>
      <c r="N423" s="245"/>
      <c r="O423" s="245" t="s">
        <v>727</v>
      </c>
      <c r="P423" s="245"/>
      <c r="Q423" s="176" t="s">
        <v>728</v>
      </c>
      <c r="R423" s="273"/>
      <c r="S423" s="274"/>
      <c r="T423" s="273"/>
      <c r="U423" s="273"/>
      <c r="V423" s="273"/>
      <c r="W423" s="273"/>
      <c r="X423" s="274"/>
      <c r="Y423" s="275">
        <v>158000000</v>
      </c>
      <c r="Z423" s="275">
        <v>0</v>
      </c>
      <c r="AA423" s="296"/>
      <c r="AB423" s="297">
        <v>7900000</v>
      </c>
      <c r="AC423" s="297">
        <f t="shared" si="165"/>
        <v>0</v>
      </c>
      <c r="AD423" s="297">
        <f>+AB423-AC423</f>
        <v>7900000</v>
      </c>
      <c r="AE423" s="297">
        <v>0</v>
      </c>
      <c r="AF423" s="297">
        <v>0</v>
      </c>
      <c r="AG423" s="297">
        <v>0</v>
      </c>
      <c r="AH423" s="297">
        <v>0</v>
      </c>
      <c r="AI423" s="297">
        <v>0</v>
      </c>
      <c r="AJ423" s="297">
        <v>0</v>
      </c>
      <c r="AK423" s="297">
        <v>0</v>
      </c>
      <c r="AL423" s="297">
        <v>0</v>
      </c>
      <c r="AM423" s="297">
        <v>0</v>
      </c>
      <c r="AN423" s="297">
        <v>0</v>
      </c>
      <c r="AO423" s="297">
        <v>0</v>
      </c>
      <c r="AP423" s="297">
        <v>0</v>
      </c>
      <c r="AQ423" s="296"/>
      <c r="AR423" s="297">
        <f t="shared" ref="AR423:AR424" si="166">+Y423-Z423-AC423-AD423</f>
        <v>150100000</v>
      </c>
      <c r="AS423" s="313" t="s">
        <v>148</v>
      </c>
      <c r="AT423" s="313" t="s">
        <v>1464</v>
      </c>
      <c r="AU423" s="176" t="s">
        <v>200</v>
      </c>
    </row>
    <row r="424" spans="1:47" s="217" customFormat="1" ht="25.5" customHeight="1" outlineLevel="1">
      <c r="A424" s="215" t="s">
        <v>125</v>
      </c>
      <c r="B424" s="247"/>
      <c r="C424" s="247"/>
      <c r="D424" s="248"/>
      <c r="E424" s="249"/>
      <c r="F424" s="249"/>
      <c r="G424" s="249"/>
      <c r="H424" s="249"/>
      <c r="I424" s="249"/>
      <c r="J424" s="247"/>
      <c r="K424" s="259"/>
      <c r="L424" s="248"/>
      <c r="M424" s="248"/>
      <c r="N424" s="250"/>
      <c r="O424" s="250"/>
      <c r="P424" s="250"/>
      <c r="Q424" s="260" t="s">
        <v>201</v>
      </c>
      <c r="R424" s="278"/>
      <c r="S424" s="279"/>
      <c r="T424" s="279"/>
      <c r="U424" s="279"/>
      <c r="V424" s="279"/>
      <c r="W424" s="279"/>
      <c r="X424" s="281"/>
      <c r="Y424" s="286">
        <f>SUBTOTAL(9,Y419:Y423)</f>
        <v>5329024000</v>
      </c>
      <c r="Z424" s="286">
        <f>SUBTOTAL(9,Z419:Z423)</f>
        <v>0</v>
      </c>
      <c r="AA424" s="303"/>
      <c r="AB424" s="286">
        <f t="shared" ref="AB424:AD424" si="167">SUBTOTAL(9,AB419:AB423)</f>
        <v>524903699</v>
      </c>
      <c r="AC424" s="286">
        <f>SUM(AC419:AC423)</f>
        <v>0</v>
      </c>
      <c r="AD424" s="286">
        <f t="shared" si="167"/>
        <v>524903699</v>
      </c>
      <c r="AE424" s="286">
        <f>SUM(AE419:AE423)</f>
        <v>0</v>
      </c>
      <c r="AF424" s="286">
        <f t="shared" ref="AF424:AP424" si="168">SUM(AF419:AF423)</f>
        <v>0</v>
      </c>
      <c r="AG424" s="286">
        <f t="shared" si="168"/>
        <v>0</v>
      </c>
      <c r="AH424" s="286">
        <f t="shared" si="168"/>
        <v>0</v>
      </c>
      <c r="AI424" s="286">
        <f t="shared" si="168"/>
        <v>0</v>
      </c>
      <c r="AJ424" s="286">
        <v>0</v>
      </c>
      <c r="AK424" s="286">
        <f t="shared" si="168"/>
        <v>0</v>
      </c>
      <c r="AL424" s="286">
        <f t="shared" si="168"/>
        <v>0</v>
      </c>
      <c r="AM424" s="286">
        <f t="shared" si="168"/>
        <v>0</v>
      </c>
      <c r="AN424" s="286">
        <f t="shared" si="168"/>
        <v>0</v>
      </c>
      <c r="AO424" s="286">
        <f t="shared" si="168"/>
        <v>0</v>
      </c>
      <c r="AP424" s="286">
        <f t="shared" si="168"/>
        <v>0</v>
      </c>
      <c r="AQ424" s="287"/>
      <c r="AR424" s="286">
        <f t="shared" si="166"/>
        <v>4804120301</v>
      </c>
      <c r="AS424" s="315"/>
      <c r="AT424" s="315"/>
      <c r="AU424" s="220"/>
    </row>
    <row r="425" spans="1:47" ht="18.75" customHeight="1" outlineLevel="1">
      <c r="A425" s="215" t="s">
        <v>125</v>
      </c>
      <c r="B425" s="249"/>
      <c r="C425" s="249"/>
      <c r="D425" s="250"/>
      <c r="E425" s="249"/>
      <c r="F425" s="249"/>
      <c r="G425" s="249"/>
      <c r="H425" s="249"/>
      <c r="I425" s="249"/>
      <c r="J425" s="249"/>
      <c r="K425" s="261"/>
      <c r="L425" s="250"/>
      <c r="M425" s="250"/>
      <c r="N425" s="250"/>
      <c r="O425" s="250"/>
      <c r="P425" s="250"/>
      <c r="Q425" s="261"/>
      <c r="R425" s="283"/>
      <c r="S425" s="283"/>
      <c r="T425" s="283"/>
      <c r="U425" s="283"/>
      <c r="V425" s="283"/>
      <c r="W425" s="283"/>
      <c r="X425" s="283"/>
      <c r="Y425" s="284"/>
      <c r="Z425" s="284"/>
      <c r="AA425" s="301"/>
      <c r="AB425" s="301"/>
      <c r="AC425" s="301"/>
      <c r="AD425" s="301"/>
      <c r="AE425" s="301"/>
      <c r="AF425" s="301"/>
      <c r="AG425" s="301"/>
      <c r="AH425" s="301"/>
      <c r="AI425" s="301"/>
      <c r="AJ425" s="301"/>
      <c r="AK425" s="301"/>
      <c r="AL425" s="301"/>
      <c r="AM425" s="301"/>
      <c r="AN425" s="301"/>
      <c r="AO425" s="301"/>
      <c r="AP425" s="301"/>
      <c r="AQ425" s="301"/>
      <c r="AR425" s="301"/>
      <c r="AS425" s="316"/>
      <c r="AT425" s="316"/>
      <c r="AU425" s="317"/>
    </row>
    <row r="426" spans="1:47" s="219" customFormat="1" ht="24.75" customHeight="1" outlineLevel="1">
      <c r="A426" s="215" t="s">
        <v>125</v>
      </c>
      <c r="B426" s="251"/>
      <c r="C426" s="249"/>
      <c r="D426" s="250"/>
      <c r="E426" s="249"/>
      <c r="F426" s="249"/>
      <c r="G426" s="249"/>
      <c r="H426" s="249"/>
      <c r="I426" s="249"/>
      <c r="J426" s="251"/>
      <c r="K426" s="263"/>
      <c r="L426" s="252"/>
      <c r="M426" s="252"/>
      <c r="N426" s="252"/>
      <c r="O426" s="252"/>
      <c r="P426" s="252"/>
      <c r="Q426" s="117" t="s">
        <v>729</v>
      </c>
      <c r="R426" s="288"/>
      <c r="S426" s="289"/>
      <c r="T426" s="289"/>
      <c r="U426" s="289"/>
      <c r="V426" s="289"/>
      <c r="W426" s="289"/>
      <c r="X426" s="290"/>
      <c r="Y426" s="118">
        <f>+Y416+Y424</f>
        <v>8333544650</v>
      </c>
      <c r="Z426" s="118">
        <f>+Z416+Z424</f>
        <v>747772307</v>
      </c>
      <c r="AA426" s="304"/>
      <c r="AB426" s="118">
        <f t="shared" ref="AB426:AD426" si="169">+AB416+AB424</f>
        <v>2204200943</v>
      </c>
      <c r="AC426" s="118">
        <f t="shared" si="169"/>
        <v>1025503246</v>
      </c>
      <c r="AD426" s="118">
        <f t="shared" si="169"/>
        <v>1178697697</v>
      </c>
      <c r="AE426" s="118">
        <f>+AE416+AE424</f>
        <v>0</v>
      </c>
      <c r="AF426" s="118">
        <f t="shared" ref="AF426:AP426" si="170">+AF416+AF424</f>
        <v>0</v>
      </c>
      <c r="AG426" s="118">
        <f t="shared" si="170"/>
        <v>0</v>
      </c>
      <c r="AH426" s="118">
        <f t="shared" si="170"/>
        <v>0</v>
      </c>
      <c r="AI426" s="118">
        <f t="shared" si="170"/>
        <v>0</v>
      </c>
      <c r="AJ426" s="118">
        <v>179755617</v>
      </c>
      <c r="AK426" s="118">
        <f t="shared" si="170"/>
        <v>19087562</v>
      </c>
      <c r="AL426" s="118">
        <f t="shared" si="170"/>
        <v>252239289</v>
      </c>
      <c r="AM426" s="118">
        <f t="shared" si="170"/>
        <v>126481854</v>
      </c>
      <c r="AN426" s="118">
        <f t="shared" si="170"/>
        <v>115837112</v>
      </c>
      <c r="AO426" s="118">
        <f t="shared" si="170"/>
        <v>94313272</v>
      </c>
      <c r="AP426" s="118">
        <f t="shared" si="170"/>
        <v>237788540</v>
      </c>
      <c r="AQ426" s="318"/>
      <c r="AR426" s="118">
        <f>+Y426-Z426-AC426-AD426</f>
        <v>5381571400</v>
      </c>
      <c r="AS426" s="333"/>
      <c r="AT426" s="333"/>
      <c r="AU426" s="320"/>
    </row>
    <row r="427" spans="1:47" ht="18.75" customHeight="1" outlineLevel="1">
      <c r="A427" s="215" t="s">
        <v>125</v>
      </c>
      <c r="B427" s="249"/>
      <c r="C427" s="249"/>
      <c r="D427" s="250"/>
      <c r="E427" s="249"/>
      <c r="F427" s="249"/>
      <c r="G427" s="249"/>
      <c r="H427" s="249"/>
      <c r="I427" s="249"/>
      <c r="J427" s="249"/>
      <c r="K427" s="261"/>
      <c r="L427" s="250"/>
      <c r="M427" s="250"/>
      <c r="N427" s="250"/>
      <c r="O427" s="250"/>
      <c r="P427" s="250"/>
      <c r="Q427" s="261"/>
      <c r="R427" s="283"/>
      <c r="S427" s="283"/>
      <c r="T427" s="283"/>
      <c r="U427" s="283"/>
      <c r="V427" s="283"/>
      <c r="W427" s="283"/>
      <c r="X427" s="283"/>
      <c r="Y427" s="284"/>
      <c r="Z427" s="284"/>
      <c r="AA427" s="301"/>
      <c r="AB427" s="301"/>
      <c r="AC427" s="301"/>
      <c r="AD427" s="301"/>
      <c r="AE427" s="301"/>
      <c r="AF427" s="301"/>
      <c r="AG427" s="301"/>
      <c r="AH427" s="301"/>
      <c r="AI427" s="301"/>
      <c r="AJ427" s="301"/>
      <c r="AK427" s="301"/>
      <c r="AL427" s="301"/>
      <c r="AM427" s="301"/>
      <c r="AN427" s="301"/>
      <c r="AO427" s="301"/>
      <c r="AP427" s="301"/>
      <c r="AQ427" s="301"/>
      <c r="AR427" s="301"/>
      <c r="AS427" s="316"/>
      <c r="AT427" s="316"/>
      <c r="AU427" s="317"/>
    </row>
    <row r="428" spans="1:47" ht="26.25" customHeight="1" outlineLevel="1">
      <c r="A428" s="215" t="s">
        <v>125</v>
      </c>
      <c r="B428" s="249"/>
      <c r="C428" s="249"/>
      <c r="D428" s="250"/>
      <c r="E428" s="249"/>
      <c r="F428" s="249"/>
      <c r="G428" s="249"/>
      <c r="H428" s="249"/>
      <c r="I428" s="249"/>
      <c r="J428" s="249"/>
      <c r="K428" s="261"/>
      <c r="L428" s="250"/>
      <c r="M428" s="250"/>
      <c r="N428" s="250"/>
      <c r="O428" s="250"/>
      <c r="P428" s="250"/>
      <c r="Q428" s="264" t="s">
        <v>730</v>
      </c>
      <c r="R428" s="283"/>
      <c r="S428" s="283"/>
      <c r="T428" s="283"/>
      <c r="U428" s="283"/>
      <c r="V428" s="283"/>
      <c r="W428" s="283"/>
      <c r="X428" s="283"/>
      <c r="Y428" s="284"/>
      <c r="Z428" s="284"/>
      <c r="AA428" s="301"/>
      <c r="AB428" s="301"/>
      <c r="AC428" s="301"/>
      <c r="AD428" s="301"/>
      <c r="AE428" s="301"/>
      <c r="AF428" s="301"/>
      <c r="AG428" s="301"/>
      <c r="AH428" s="301"/>
      <c r="AI428" s="301"/>
      <c r="AJ428" s="301"/>
      <c r="AK428" s="301"/>
      <c r="AL428" s="301"/>
      <c r="AM428" s="301"/>
      <c r="AN428" s="301"/>
      <c r="AO428" s="301"/>
      <c r="AP428" s="301"/>
      <c r="AQ428" s="301"/>
      <c r="AR428" s="301"/>
      <c r="AS428" s="316"/>
      <c r="AT428" s="316"/>
      <c r="AU428" s="317"/>
    </row>
    <row r="429" spans="1:47" s="216" customFormat="1" ht="15" customHeight="1" outlineLevel="1">
      <c r="A429" s="215" t="s">
        <v>125</v>
      </c>
      <c r="B429" s="249"/>
      <c r="C429" s="249"/>
      <c r="D429" s="250"/>
      <c r="E429" s="249"/>
      <c r="F429" s="249"/>
      <c r="G429" s="249"/>
      <c r="H429" s="249"/>
      <c r="I429" s="249"/>
      <c r="J429" s="249"/>
      <c r="K429" s="261"/>
      <c r="L429" s="250"/>
      <c r="M429" s="250"/>
      <c r="N429" s="250"/>
      <c r="O429" s="250"/>
      <c r="P429" s="250"/>
      <c r="Q429" s="255"/>
      <c r="R429" s="283"/>
      <c r="S429" s="283"/>
      <c r="T429" s="283"/>
      <c r="U429" s="283"/>
      <c r="V429" s="283"/>
      <c r="W429" s="283"/>
      <c r="X429" s="283"/>
      <c r="Y429" s="284"/>
      <c r="Z429" s="284"/>
      <c r="AA429" s="301"/>
      <c r="AB429" s="301"/>
      <c r="AC429" s="301"/>
      <c r="AD429" s="301"/>
      <c r="AE429" s="301"/>
      <c r="AF429" s="301"/>
      <c r="AG429" s="301"/>
      <c r="AH429" s="301"/>
      <c r="AI429" s="301"/>
      <c r="AJ429" s="301"/>
      <c r="AK429" s="301"/>
      <c r="AL429" s="301"/>
      <c r="AM429" s="301"/>
      <c r="AN429" s="301"/>
      <c r="AO429" s="301"/>
      <c r="AP429" s="301"/>
      <c r="AQ429" s="301"/>
      <c r="AR429" s="301"/>
      <c r="AS429" s="316"/>
      <c r="AT429" s="316"/>
      <c r="AU429" s="317"/>
    </row>
    <row r="430" spans="1:47" s="217" customFormat="1" ht="25.5" customHeight="1" outlineLevel="1">
      <c r="A430" s="215" t="s">
        <v>125</v>
      </c>
      <c r="B430" s="247"/>
      <c r="C430" s="247"/>
      <c r="D430" s="248"/>
      <c r="E430" s="249"/>
      <c r="F430" s="249"/>
      <c r="G430" s="249"/>
      <c r="H430" s="249"/>
      <c r="I430" s="249"/>
      <c r="J430" s="247"/>
      <c r="K430" s="259"/>
      <c r="L430" s="248"/>
      <c r="M430" s="248"/>
      <c r="N430" s="250"/>
      <c r="O430" s="250"/>
      <c r="P430" s="250"/>
      <c r="Q430" s="99" t="s">
        <v>127</v>
      </c>
      <c r="R430" s="283"/>
      <c r="S430" s="283"/>
      <c r="T430" s="283"/>
      <c r="U430" s="283"/>
      <c r="V430" s="283"/>
      <c r="W430" s="283"/>
      <c r="X430" s="283"/>
      <c r="Y430" s="285"/>
      <c r="Z430" s="285"/>
      <c r="AA430" s="302"/>
      <c r="AB430" s="302"/>
      <c r="AC430" s="302"/>
      <c r="AD430" s="302"/>
      <c r="AE430" s="302"/>
      <c r="AF430" s="302"/>
      <c r="AG430" s="302"/>
      <c r="AH430" s="301"/>
      <c r="AI430" s="301"/>
      <c r="AJ430" s="301"/>
      <c r="AK430" s="301"/>
      <c r="AL430" s="301"/>
      <c r="AM430" s="301"/>
      <c r="AN430" s="301"/>
      <c r="AO430" s="301"/>
      <c r="AP430" s="301"/>
      <c r="AQ430" s="302"/>
      <c r="AR430" s="302"/>
      <c r="AS430" s="315"/>
      <c r="AT430" s="315"/>
      <c r="AU430" s="220"/>
    </row>
    <row r="431" spans="1:47" s="218" customFormat="1" ht="25.5" customHeight="1" outlineLevel="2">
      <c r="A431" s="215" t="s">
        <v>125</v>
      </c>
      <c r="B431" s="151">
        <v>33</v>
      </c>
      <c r="C431" s="151" t="s">
        <v>128</v>
      </c>
      <c r="D431" s="245" t="s">
        <v>168</v>
      </c>
      <c r="E431" s="151" t="s">
        <v>169</v>
      </c>
      <c r="F431" s="151" t="s">
        <v>207</v>
      </c>
      <c r="G431" s="151" t="s">
        <v>34</v>
      </c>
      <c r="H431" s="151" t="s">
        <v>59</v>
      </c>
      <c r="I431" s="256">
        <v>21</v>
      </c>
      <c r="J431" s="151" t="s">
        <v>1712</v>
      </c>
      <c r="K431" s="176" t="s">
        <v>132</v>
      </c>
      <c r="L431" s="245">
        <v>30091901</v>
      </c>
      <c r="M431" s="855"/>
      <c r="N431" s="245" t="s">
        <v>656</v>
      </c>
      <c r="O431" s="245" t="s">
        <v>731</v>
      </c>
      <c r="P431" s="245"/>
      <c r="Q431" s="176" t="s">
        <v>732</v>
      </c>
      <c r="R431" s="273" t="s">
        <v>733</v>
      </c>
      <c r="S431" s="274"/>
      <c r="T431" s="273"/>
      <c r="U431" s="273"/>
      <c r="V431" s="273"/>
      <c r="W431" s="273"/>
      <c r="X431" s="274"/>
      <c r="Y431" s="326">
        <v>597480684</v>
      </c>
      <c r="Z431" s="275">
        <v>421356397</v>
      </c>
      <c r="AA431" s="296"/>
      <c r="AB431" s="297">
        <f>34012603+15226198+84204802</f>
        <v>133443603</v>
      </c>
      <c r="AC431" s="297">
        <f t="shared" si="165"/>
        <v>78611350</v>
      </c>
      <c r="AD431" s="297">
        <f t="shared" ref="AD431:AD442" si="171">+AB431-AC431</f>
        <v>54832253</v>
      </c>
      <c r="AE431" s="297">
        <v>0</v>
      </c>
      <c r="AF431" s="297">
        <v>0</v>
      </c>
      <c r="AG431" s="297">
        <v>0</v>
      </c>
      <c r="AH431" s="297">
        <v>0</v>
      </c>
      <c r="AI431" s="297">
        <v>0</v>
      </c>
      <c r="AJ431" s="297">
        <v>0</v>
      </c>
      <c r="AK431" s="297">
        <v>29372549</v>
      </c>
      <c r="AL431" s="297">
        <v>0</v>
      </c>
      <c r="AM431" s="297">
        <v>0</v>
      </c>
      <c r="AN431" s="297">
        <v>0</v>
      </c>
      <c r="AO431" s="297">
        <v>0</v>
      </c>
      <c r="AP431" s="297">
        <v>49238801</v>
      </c>
      <c r="AQ431" s="296"/>
      <c r="AR431" s="297">
        <f t="shared" ref="AR431:AR443" si="172">+Y431-Z431-AC431-AD431</f>
        <v>42680684</v>
      </c>
      <c r="AS431" s="313" t="s">
        <v>137</v>
      </c>
      <c r="AT431" s="313" t="s">
        <v>137</v>
      </c>
      <c r="AU431" s="176" t="s">
        <v>138</v>
      </c>
    </row>
    <row r="432" spans="1:47" s="218" customFormat="1" ht="25.5" customHeight="1" outlineLevel="2">
      <c r="A432" s="215" t="s">
        <v>125</v>
      </c>
      <c r="B432" s="151">
        <v>31</v>
      </c>
      <c r="C432" s="151" t="s">
        <v>128</v>
      </c>
      <c r="D432" s="245" t="s">
        <v>144</v>
      </c>
      <c r="E432" s="151" t="s">
        <v>169</v>
      </c>
      <c r="F432" s="151" t="s">
        <v>140</v>
      </c>
      <c r="G432" s="151" t="s">
        <v>34</v>
      </c>
      <c r="H432" s="151" t="s">
        <v>59</v>
      </c>
      <c r="I432" s="256">
        <v>21</v>
      </c>
      <c r="J432" s="151" t="s">
        <v>80</v>
      </c>
      <c r="K432" s="176" t="s">
        <v>132</v>
      </c>
      <c r="L432" s="245">
        <v>30126506</v>
      </c>
      <c r="M432" s="855"/>
      <c r="N432" s="245" t="s">
        <v>656</v>
      </c>
      <c r="O432" s="245" t="s">
        <v>734</v>
      </c>
      <c r="P432" s="245"/>
      <c r="Q432" s="176" t="s">
        <v>735</v>
      </c>
      <c r="R432" s="273"/>
      <c r="S432" s="274"/>
      <c r="T432" s="273"/>
      <c r="U432" s="273"/>
      <c r="V432" s="273"/>
      <c r="W432" s="273"/>
      <c r="X432" s="274"/>
      <c r="Y432" s="275">
        <v>644396000</v>
      </c>
      <c r="Z432" s="275">
        <v>126246486</v>
      </c>
      <c r="AA432" s="296"/>
      <c r="AB432" s="297">
        <f>391832800-78000000</f>
        <v>313832800</v>
      </c>
      <c r="AC432" s="297">
        <f t="shared" si="165"/>
        <v>131269737</v>
      </c>
      <c r="AD432" s="297">
        <f t="shared" si="171"/>
        <v>182563063</v>
      </c>
      <c r="AE432" s="297">
        <v>0</v>
      </c>
      <c r="AF432" s="297">
        <v>0</v>
      </c>
      <c r="AG432" s="297">
        <v>0</v>
      </c>
      <c r="AH432" s="297">
        <v>0</v>
      </c>
      <c r="AI432" s="297">
        <v>0</v>
      </c>
      <c r="AJ432" s="297">
        <v>0</v>
      </c>
      <c r="AK432" s="297">
        <v>0</v>
      </c>
      <c r="AL432" s="297">
        <v>1800000</v>
      </c>
      <c r="AM432" s="297">
        <v>3600000</v>
      </c>
      <c r="AN432" s="297">
        <v>1800000</v>
      </c>
      <c r="AO432" s="297">
        <v>86045461</v>
      </c>
      <c r="AP432" s="297">
        <v>38024276</v>
      </c>
      <c r="AQ432" s="296"/>
      <c r="AR432" s="297">
        <f t="shared" si="172"/>
        <v>204316714</v>
      </c>
      <c r="AS432" s="313" t="s">
        <v>137</v>
      </c>
      <c r="AT432" s="313" t="s">
        <v>137</v>
      </c>
      <c r="AU432" s="176" t="s">
        <v>138</v>
      </c>
    </row>
    <row r="433" spans="1:47" s="218" customFormat="1" ht="25.5" customHeight="1" outlineLevel="2">
      <c r="A433" s="215" t="s">
        <v>125</v>
      </c>
      <c r="B433" s="151">
        <v>29</v>
      </c>
      <c r="C433" s="151" t="s">
        <v>128</v>
      </c>
      <c r="D433" s="245" t="s">
        <v>149</v>
      </c>
      <c r="E433" s="151" t="s">
        <v>169</v>
      </c>
      <c r="F433" s="151" t="s">
        <v>140</v>
      </c>
      <c r="G433" s="151" t="s">
        <v>34</v>
      </c>
      <c r="H433" s="151" t="s">
        <v>59</v>
      </c>
      <c r="I433" s="256">
        <v>21</v>
      </c>
      <c r="J433" s="151" t="s">
        <v>80</v>
      </c>
      <c r="K433" s="176" t="s">
        <v>132</v>
      </c>
      <c r="L433" s="245">
        <v>30208122</v>
      </c>
      <c r="M433" s="855"/>
      <c r="N433" s="245" t="s">
        <v>652</v>
      </c>
      <c r="O433" s="245" t="s">
        <v>736</v>
      </c>
      <c r="P433" s="245"/>
      <c r="Q433" s="176" t="s">
        <v>737</v>
      </c>
      <c r="R433" s="273" t="s">
        <v>738</v>
      </c>
      <c r="S433" s="274"/>
      <c r="T433" s="273"/>
      <c r="U433" s="273"/>
      <c r="V433" s="273"/>
      <c r="W433" s="273"/>
      <c r="X433" s="274"/>
      <c r="Y433" s="275">
        <v>45815000</v>
      </c>
      <c r="Z433" s="275">
        <v>0</v>
      </c>
      <c r="AA433" s="296"/>
      <c r="AB433" s="297">
        <v>45815000</v>
      </c>
      <c r="AC433" s="297">
        <f t="shared" si="165"/>
        <v>45815000</v>
      </c>
      <c r="AD433" s="297">
        <f t="shared" si="171"/>
        <v>0</v>
      </c>
      <c r="AE433" s="297">
        <v>0</v>
      </c>
      <c r="AF433" s="297">
        <v>0</v>
      </c>
      <c r="AG433" s="297">
        <v>0</v>
      </c>
      <c r="AH433" s="297">
        <v>0</v>
      </c>
      <c r="AI433" s="297">
        <v>0</v>
      </c>
      <c r="AJ433" s="297">
        <v>0</v>
      </c>
      <c r="AK433" s="297">
        <v>0</v>
      </c>
      <c r="AL433" s="297">
        <v>0</v>
      </c>
      <c r="AM433" s="297">
        <v>0</v>
      </c>
      <c r="AN433" s="297">
        <v>0</v>
      </c>
      <c r="AO433" s="297">
        <v>0</v>
      </c>
      <c r="AP433" s="297">
        <v>45815000</v>
      </c>
      <c r="AQ433" s="296"/>
      <c r="AR433" s="297">
        <f t="shared" si="172"/>
        <v>0</v>
      </c>
      <c r="AS433" s="313" t="s">
        <v>148</v>
      </c>
      <c r="AT433" s="313" t="s">
        <v>1464</v>
      </c>
      <c r="AU433" s="176" t="s">
        <v>138</v>
      </c>
    </row>
    <row r="434" spans="1:47" s="218" customFormat="1" ht="25.5" customHeight="1" outlineLevel="2">
      <c r="A434" s="215" t="s">
        <v>125</v>
      </c>
      <c r="B434" s="151">
        <v>22</v>
      </c>
      <c r="C434" s="151" t="s">
        <v>128</v>
      </c>
      <c r="D434" s="245" t="s">
        <v>129</v>
      </c>
      <c r="E434" s="151" t="s">
        <v>169</v>
      </c>
      <c r="F434" s="151" t="s">
        <v>140</v>
      </c>
      <c r="G434" s="151" t="s">
        <v>34</v>
      </c>
      <c r="H434" s="151" t="s">
        <v>59</v>
      </c>
      <c r="I434" s="256">
        <v>21</v>
      </c>
      <c r="J434" s="151" t="s">
        <v>80</v>
      </c>
      <c r="K434" s="176" t="s">
        <v>132</v>
      </c>
      <c r="L434" s="245">
        <v>30126522</v>
      </c>
      <c r="M434" s="855"/>
      <c r="N434" s="245" t="s">
        <v>652</v>
      </c>
      <c r="O434" s="245" t="s">
        <v>739</v>
      </c>
      <c r="P434" s="245"/>
      <c r="Q434" s="176" t="s">
        <v>740</v>
      </c>
      <c r="R434" s="273"/>
      <c r="S434" s="274"/>
      <c r="T434" s="273"/>
      <c r="U434" s="273"/>
      <c r="V434" s="273"/>
      <c r="W434" s="273"/>
      <c r="X434" s="274"/>
      <c r="Y434" s="275">
        <v>120000000</v>
      </c>
      <c r="Z434" s="275">
        <v>60000000</v>
      </c>
      <c r="AA434" s="296"/>
      <c r="AB434" s="297">
        <v>60000000</v>
      </c>
      <c r="AC434" s="297">
        <f t="shared" si="165"/>
        <v>50000000</v>
      </c>
      <c r="AD434" s="297">
        <f t="shared" si="171"/>
        <v>10000000</v>
      </c>
      <c r="AE434" s="297">
        <v>0</v>
      </c>
      <c r="AF434" s="297">
        <v>0</v>
      </c>
      <c r="AG434" s="297">
        <v>0</v>
      </c>
      <c r="AH434" s="297">
        <v>0</v>
      </c>
      <c r="AI434" s="297">
        <v>0</v>
      </c>
      <c r="AJ434" s="297">
        <v>25000000</v>
      </c>
      <c r="AK434" s="297">
        <v>0</v>
      </c>
      <c r="AL434" s="297">
        <v>0</v>
      </c>
      <c r="AM434" s="297">
        <v>0</v>
      </c>
      <c r="AN434" s="297">
        <v>0</v>
      </c>
      <c r="AO434" s="297">
        <v>25000000</v>
      </c>
      <c r="AP434" s="297">
        <v>0</v>
      </c>
      <c r="AQ434" s="296"/>
      <c r="AR434" s="297">
        <f t="shared" si="172"/>
        <v>0</v>
      </c>
      <c r="AS434" s="313" t="s">
        <v>148</v>
      </c>
      <c r="AT434" s="313" t="s">
        <v>1464</v>
      </c>
      <c r="AU434" s="176" t="s">
        <v>138</v>
      </c>
    </row>
    <row r="435" spans="1:47" s="218" customFormat="1" ht="25.5" customHeight="1" outlineLevel="2">
      <c r="A435" s="215" t="s">
        <v>125</v>
      </c>
      <c r="B435" s="151">
        <v>31</v>
      </c>
      <c r="C435" s="151" t="s">
        <v>128</v>
      </c>
      <c r="D435" s="245" t="s">
        <v>139</v>
      </c>
      <c r="E435" s="151" t="s">
        <v>169</v>
      </c>
      <c r="F435" s="151" t="s">
        <v>140</v>
      </c>
      <c r="G435" s="151" t="s">
        <v>34</v>
      </c>
      <c r="H435" s="151" t="s">
        <v>59</v>
      </c>
      <c r="I435" s="256">
        <v>21</v>
      </c>
      <c r="J435" s="151" t="s">
        <v>80</v>
      </c>
      <c r="K435" s="176" t="s">
        <v>202</v>
      </c>
      <c r="L435" s="245">
        <v>20157700</v>
      </c>
      <c r="M435" s="855"/>
      <c r="N435" s="245" t="s">
        <v>656</v>
      </c>
      <c r="O435" s="245" t="s">
        <v>741</v>
      </c>
      <c r="P435" s="245"/>
      <c r="Q435" s="176" t="s">
        <v>742</v>
      </c>
      <c r="R435" s="273"/>
      <c r="S435" s="274"/>
      <c r="T435" s="273"/>
      <c r="U435" s="273"/>
      <c r="V435" s="273"/>
      <c r="W435" s="273"/>
      <c r="X435" s="274"/>
      <c r="Y435" s="275">
        <v>62758000</v>
      </c>
      <c r="Z435" s="275">
        <v>38544070</v>
      </c>
      <c r="AA435" s="296"/>
      <c r="AB435" s="297">
        <v>24213930</v>
      </c>
      <c r="AC435" s="297">
        <f t="shared" si="165"/>
        <v>23855381</v>
      </c>
      <c r="AD435" s="297">
        <f t="shared" si="171"/>
        <v>358549</v>
      </c>
      <c r="AE435" s="297">
        <v>0</v>
      </c>
      <c r="AF435" s="297">
        <v>0</v>
      </c>
      <c r="AG435" s="297">
        <v>0</v>
      </c>
      <c r="AH435" s="297">
        <v>0</v>
      </c>
      <c r="AI435" s="297">
        <v>0</v>
      </c>
      <c r="AJ435" s="297">
        <v>0</v>
      </c>
      <c r="AK435" s="297">
        <v>0</v>
      </c>
      <c r="AL435" s="297">
        <v>0</v>
      </c>
      <c r="AM435" s="297">
        <v>0</v>
      </c>
      <c r="AN435" s="297">
        <v>0</v>
      </c>
      <c r="AO435" s="297">
        <v>0</v>
      </c>
      <c r="AP435" s="297">
        <v>23855381</v>
      </c>
      <c r="AQ435" s="296"/>
      <c r="AR435" s="297">
        <f t="shared" si="172"/>
        <v>0</v>
      </c>
      <c r="AS435" s="313" t="s">
        <v>137</v>
      </c>
      <c r="AT435" s="313" t="s">
        <v>137</v>
      </c>
      <c r="AU435" s="176" t="s">
        <v>138</v>
      </c>
    </row>
    <row r="436" spans="1:47" s="218" customFormat="1" ht="25.5" customHeight="1" outlineLevel="2">
      <c r="A436" s="215" t="s">
        <v>125</v>
      </c>
      <c r="B436" s="151">
        <v>31</v>
      </c>
      <c r="C436" s="151" t="s">
        <v>128</v>
      </c>
      <c r="D436" s="245" t="s">
        <v>168</v>
      </c>
      <c r="E436" s="151" t="s">
        <v>169</v>
      </c>
      <c r="F436" s="151" t="s">
        <v>207</v>
      </c>
      <c r="G436" s="151" t="s">
        <v>34</v>
      </c>
      <c r="H436" s="151" t="s">
        <v>59</v>
      </c>
      <c r="I436" s="256">
        <v>21</v>
      </c>
      <c r="J436" s="151" t="s">
        <v>80</v>
      </c>
      <c r="K436" s="176" t="s">
        <v>132</v>
      </c>
      <c r="L436" s="390">
        <v>30466394</v>
      </c>
      <c r="M436" s="855"/>
      <c r="N436" s="245" t="s">
        <v>652</v>
      </c>
      <c r="O436" s="245" t="s">
        <v>743</v>
      </c>
      <c r="P436" s="245"/>
      <c r="Q436" s="176" t="s">
        <v>744</v>
      </c>
      <c r="R436" s="273"/>
      <c r="S436" s="274"/>
      <c r="T436" s="273"/>
      <c r="U436" s="273"/>
      <c r="V436" s="273"/>
      <c r="W436" s="273"/>
      <c r="X436" s="274"/>
      <c r="Y436" s="275">
        <v>483702000</v>
      </c>
      <c r="Z436" s="275">
        <v>233771289</v>
      </c>
      <c r="AA436" s="296"/>
      <c r="AB436" s="297">
        <f>54499334+195431377</f>
        <v>249930711</v>
      </c>
      <c r="AC436" s="297">
        <f t="shared" si="165"/>
        <v>125751201</v>
      </c>
      <c r="AD436" s="297">
        <f t="shared" si="171"/>
        <v>124179510</v>
      </c>
      <c r="AE436" s="297">
        <v>0</v>
      </c>
      <c r="AF436" s="297">
        <v>0</v>
      </c>
      <c r="AG436" s="297">
        <v>0</v>
      </c>
      <c r="AH436" s="297">
        <v>0</v>
      </c>
      <c r="AI436" s="297">
        <v>0</v>
      </c>
      <c r="AJ436" s="297">
        <v>23775593</v>
      </c>
      <c r="AK436" s="297">
        <v>0</v>
      </c>
      <c r="AL436" s="297">
        <v>15423454</v>
      </c>
      <c r="AM436" s="297">
        <v>18147894</v>
      </c>
      <c r="AN436" s="297">
        <v>36791677</v>
      </c>
      <c r="AO436" s="297">
        <v>14320197</v>
      </c>
      <c r="AP436" s="297">
        <v>17292386</v>
      </c>
      <c r="AQ436" s="296"/>
      <c r="AR436" s="297">
        <f t="shared" si="172"/>
        <v>0</v>
      </c>
      <c r="AS436" s="313" t="s">
        <v>137</v>
      </c>
      <c r="AT436" s="313" t="s">
        <v>137</v>
      </c>
      <c r="AU436" s="176" t="s">
        <v>138</v>
      </c>
    </row>
    <row r="437" spans="1:47" s="218" customFormat="1" ht="25.5" customHeight="1" outlineLevel="2">
      <c r="A437" s="215" t="s">
        <v>125</v>
      </c>
      <c r="B437" s="151">
        <v>31</v>
      </c>
      <c r="C437" s="151" t="s">
        <v>128</v>
      </c>
      <c r="D437" s="245" t="s">
        <v>139</v>
      </c>
      <c r="E437" s="151" t="s">
        <v>169</v>
      </c>
      <c r="F437" s="151" t="s">
        <v>140</v>
      </c>
      <c r="G437" s="151" t="s">
        <v>34</v>
      </c>
      <c r="H437" s="151" t="s">
        <v>59</v>
      </c>
      <c r="I437" s="256">
        <v>21</v>
      </c>
      <c r="J437" s="151" t="s">
        <v>80</v>
      </c>
      <c r="K437" s="176" t="s">
        <v>202</v>
      </c>
      <c r="L437" s="245">
        <v>30126487</v>
      </c>
      <c r="M437" s="855"/>
      <c r="N437" s="245" t="e">
        <v>#N/A</v>
      </c>
      <c r="O437" s="245" t="s">
        <v>745</v>
      </c>
      <c r="P437" s="257" t="s">
        <v>746</v>
      </c>
      <c r="Q437" s="176" t="s">
        <v>747</v>
      </c>
      <c r="R437" s="273"/>
      <c r="S437" s="274"/>
      <c r="T437" s="273"/>
      <c r="U437" s="273"/>
      <c r="V437" s="273"/>
      <c r="W437" s="273"/>
      <c r="X437" s="274"/>
      <c r="Y437" s="275">
        <v>62039000</v>
      </c>
      <c r="Z437" s="275">
        <v>0</v>
      </c>
      <c r="AA437" s="296"/>
      <c r="AB437" s="297">
        <v>62039000</v>
      </c>
      <c r="AC437" s="297">
        <f t="shared" si="165"/>
        <v>35568000</v>
      </c>
      <c r="AD437" s="297">
        <f t="shared" si="171"/>
        <v>26471000</v>
      </c>
      <c r="AE437" s="297">
        <v>0</v>
      </c>
      <c r="AF437" s="297">
        <v>0</v>
      </c>
      <c r="AG437" s="297">
        <v>0</v>
      </c>
      <c r="AH437" s="297">
        <v>0</v>
      </c>
      <c r="AI437" s="297">
        <v>0</v>
      </c>
      <c r="AJ437" s="297">
        <v>0</v>
      </c>
      <c r="AK437" s="297">
        <v>0</v>
      </c>
      <c r="AL437" s="297">
        <v>0</v>
      </c>
      <c r="AM437" s="297">
        <v>23712000</v>
      </c>
      <c r="AN437" s="297">
        <v>11856000</v>
      </c>
      <c r="AO437" s="297">
        <v>0</v>
      </c>
      <c r="AP437" s="297">
        <v>0</v>
      </c>
      <c r="AQ437" s="296"/>
      <c r="AR437" s="297">
        <f t="shared" si="172"/>
        <v>0</v>
      </c>
      <c r="AS437" s="313" t="s">
        <v>137</v>
      </c>
      <c r="AT437" s="313" t="s">
        <v>137</v>
      </c>
      <c r="AU437" s="176" t="s">
        <v>138</v>
      </c>
    </row>
    <row r="438" spans="1:47" s="218" customFormat="1" ht="25.5" customHeight="1" outlineLevel="2">
      <c r="A438" s="215" t="s">
        <v>125</v>
      </c>
      <c r="B438" s="151">
        <v>31</v>
      </c>
      <c r="C438" s="151" t="s">
        <v>128</v>
      </c>
      <c r="D438" s="245" t="s">
        <v>164</v>
      </c>
      <c r="E438" s="151" t="s">
        <v>169</v>
      </c>
      <c r="F438" s="151" t="s">
        <v>140</v>
      </c>
      <c r="G438" s="151" t="s">
        <v>34</v>
      </c>
      <c r="H438" s="151" t="s">
        <v>59</v>
      </c>
      <c r="I438" s="256">
        <v>21</v>
      </c>
      <c r="J438" s="151" t="s">
        <v>80</v>
      </c>
      <c r="K438" s="176" t="s">
        <v>132</v>
      </c>
      <c r="L438" s="245">
        <v>30476688</v>
      </c>
      <c r="M438" s="855" t="s">
        <v>164</v>
      </c>
      <c r="N438" s="245" t="s">
        <v>656</v>
      </c>
      <c r="O438" s="245" t="s">
        <v>748</v>
      </c>
      <c r="P438" s="257" t="s">
        <v>749</v>
      </c>
      <c r="Q438" s="176" t="s">
        <v>750</v>
      </c>
      <c r="R438" s="273"/>
      <c r="S438" s="274"/>
      <c r="T438" s="273"/>
      <c r="U438" s="273"/>
      <c r="V438" s="273"/>
      <c r="W438" s="273"/>
      <c r="X438" s="274"/>
      <c r="Y438" s="275">
        <v>543264000</v>
      </c>
      <c r="Z438" s="275">
        <v>0</v>
      </c>
      <c r="AA438" s="296"/>
      <c r="AB438" s="297">
        <v>243264000</v>
      </c>
      <c r="AC438" s="297">
        <f t="shared" si="165"/>
        <v>45952294</v>
      </c>
      <c r="AD438" s="297">
        <f t="shared" si="171"/>
        <v>197311706</v>
      </c>
      <c r="AE438" s="297">
        <v>0</v>
      </c>
      <c r="AF438" s="297">
        <v>0</v>
      </c>
      <c r="AG438" s="297">
        <v>0</v>
      </c>
      <c r="AH438" s="297">
        <v>0</v>
      </c>
      <c r="AI438" s="297">
        <v>0</v>
      </c>
      <c r="AJ438" s="297">
        <v>0</v>
      </c>
      <c r="AK438" s="297">
        <v>0</v>
      </c>
      <c r="AL438" s="297">
        <v>1944444</v>
      </c>
      <c r="AM438" s="297">
        <v>23894501</v>
      </c>
      <c r="AN438" s="297">
        <v>16224461</v>
      </c>
      <c r="AO438" s="297">
        <v>3888888</v>
      </c>
      <c r="AP438" s="297">
        <v>0</v>
      </c>
      <c r="AQ438" s="296"/>
      <c r="AR438" s="297">
        <f t="shared" si="172"/>
        <v>300000000</v>
      </c>
      <c r="AS438" s="313" t="s">
        <v>137</v>
      </c>
      <c r="AT438" s="313" t="s">
        <v>137</v>
      </c>
      <c r="AU438" s="176" t="s">
        <v>138</v>
      </c>
    </row>
    <row r="439" spans="1:47" s="218" customFormat="1" ht="25.5" customHeight="1" outlineLevel="2">
      <c r="A439" s="215" t="s">
        <v>125</v>
      </c>
      <c r="B439" s="151">
        <v>31</v>
      </c>
      <c r="C439" s="151" t="s">
        <v>128</v>
      </c>
      <c r="D439" s="245" t="s">
        <v>159</v>
      </c>
      <c r="E439" s="151" t="s">
        <v>169</v>
      </c>
      <c r="F439" s="151" t="s">
        <v>140</v>
      </c>
      <c r="G439" s="151" t="s">
        <v>34</v>
      </c>
      <c r="H439" s="151" t="s">
        <v>59</v>
      </c>
      <c r="I439" s="256">
        <v>21</v>
      </c>
      <c r="J439" s="151" t="s">
        <v>80</v>
      </c>
      <c r="K439" s="176" t="s">
        <v>202</v>
      </c>
      <c r="L439" s="245">
        <v>30484959</v>
      </c>
      <c r="M439" s="855"/>
      <c r="N439" s="245" t="e">
        <v>#N/A</v>
      </c>
      <c r="O439" s="245" t="s">
        <v>751</v>
      </c>
      <c r="P439" s="257" t="s">
        <v>752</v>
      </c>
      <c r="Q439" s="176" t="s">
        <v>753</v>
      </c>
      <c r="R439" s="273"/>
      <c r="S439" s="274"/>
      <c r="T439" s="273"/>
      <c r="U439" s="273"/>
      <c r="V439" s="273"/>
      <c r="W439" s="273"/>
      <c r="X439" s="274"/>
      <c r="Y439" s="275">
        <v>75000000</v>
      </c>
      <c r="Z439" s="275">
        <v>0</v>
      </c>
      <c r="AA439" s="296"/>
      <c r="AB439" s="297">
        <v>75000000</v>
      </c>
      <c r="AC439" s="297">
        <f t="shared" si="165"/>
        <v>30600000</v>
      </c>
      <c r="AD439" s="297">
        <f t="shared" si="171"/>
        <v>44400000</v>
      </c>
      <c r="AE439" s="297">
        <v>0</v>
      </c>
      <c r="AF439" s="297">
        <v>0</v>
      </c>
      <c r="AG439" s="297">
        <v>0</v>
      </c>
      <c r="AH439" s="297">
        <v>0</v>
      </c>
      <c r="AI439" s="297">
        <v>0</v>
      </c>
      <c r="AJ439" s="297">
        <v>0</v>
      </c>
      <c r="AK439" s="297">
        <v>0</v>
      </c>
      <c r="AL439" s="297">
        <v>20400000</v>
      </c>
      <c r="AM439" s="297">
        <v>0</v>
      </c>
      <c r="AN439" s="297">
        <v>10200000</v>
      </c>
      <c r="AO439" s="297">
        <v>0</v>
      </c>
      <c r="AP439" s="297">
        <v>0</v>
      </c>
      <c r="AQ439" s="296"/>
      <c r="AR439" s="297">
        <f t="shared" si="172"/>
        <v>0</v>
      </c>
      <c r="AS439" s="313" t="s">
        <v>137</v>
      </c>
      <c r="AT439" s="313" t="s">
        <v>137</v>
      </c>
      <c r="AU439" s="176" t="s">
        <v>138</v>
      </c>
    </row>
    <row r="440" spans="1:47" s="218" customFormat="1" ht="25.5" customHeight="1" outlineLevel="2">
      <c r="A440" s="215" t="s">
        <v>125</v>
      </c>
      <c r="B440" s="151">
        <v>31</v>
      </c>
      <c r="C440" s="151" t="s">
        <v>128</v>
      </c>
      <c r="D440" s="245" t="s">
        <v>129</v>
      </c>
      <c r="E440" s="151" t="s">
        <v>169</v>
      </c>
      <c r="F440" s="151" t="s">
        <v>131</v>
      </c>
      <c r="G440" s="151" t="s">
        <v>34</v>
      </c>
      <c r="H440" s="151" t="s">
        <v>59</v>
      </c>
      <c r="I440" s="256">
        <v>21</v>
      </c>
      <c r="J440" s="151" t="s">
        <v>81</v>
      </c>
      <c r="K440" s="176" t="s">
        <v>132</v>
      </c>
      <c r="L440" s="245">
        <v>40006762</v>
      </c>
      <c r="M440" s="855"/>
      <c r="N440" s="245" t="e">
        <v>#N/A</v>
      </c>
      <c r="O440" s="245" t="s">
        <v>754</v>
      </c>
      <c r="P440" s="257" t="s">
        <v>755</v>
      </c>
      <c r="Q440" s="176" t="s">
        <v>756</v>
      </c>
      <c r="R440" s="273"/>
      <c r="S440" s="274"/>
      <c r="T440" s="273"/>
      <c r="U440" s="273"/>
      <c r="V440" s="273"/>
      <c r="W440" s="273"/>
      <c r="X440" s="274"/>
      <c r="Y440" s="275">
        <v>588576000</v>
      </c>
      <c r="Z440" s="275">
        <v>0</v>
      </c>
      <c r="AA440" s="296"/>
      <c r="AB440" s="297">
        <f>388576000-100000000+17678856+78000000+5980522</f>
        <v>390235378</v>
      </c>
      <c r="AC440" s="297">
        <f t="shared" si="165"/>
        <v>390235378</v>
      </c>
      <c r="AD440" s="297">
        <f t="shared" si="171"/>
        <v>0</v>
      </c>
      <c r="AE440" s="297">
        <v>0</v>
      </c>
      <c r="AF440" s="297">
        <v>0</v>
      </c>
      <c r="AG440" s="297">
        <v>0</v>
      </c>
      <c r="AH440" s="297">
        <v>0</v>
      </c>
      <c r="AI440" s="297">
        <v>0</v>
      </c>
      <c r="AJ440" s="297">
        <v>83980522</v>
      </c>
      <c r="AK440" s="297">
        <v>103983204</v>
      </c>
      <c r="AL440" s="297">
        <v>143762495</v>
      </c>
      <c r="AM440" s="297">
        <v>4000000</v>
      </c>
      <c r="AN440" s="297">
        <v>54509157</v>
      </c>
      <c r="AO440" s="297">
        <v>0</v>
      </c>
      <c r="AP440" s="297">
        <v>0</v>
      </c>
      <c r="AQ440" s="296"/>
      <c r="AR440" s="297">
        <f t="shared" si="172"/>
        <v>198340622</v>
      </c>
      <c r="AS440" s="313" t="s">
        <v>148</v>
      </c>
      <c r="AT440" s="313" t="s">
        <v>1464</v>
      </c>
      <c r="AU440" s="176" t="s">
        <v>138</v>
      </c>
    </row>
    <row r="441" spans="1:47" s="218" customFormat="1" ht="25.5" customHeight="1" outlineLevel="2">
      <c r="A441" s="215" t="s">
        <v>125</v>
      </c>
      <c r="B441" s="191">
        <v>33</v>
      </c>
      <c r="C441" s="191" t="s">
        <v>128</v>
      </c>
      <c r="D441" s="246" t="s">
        <v>149</v>
      </c>
      <c r="E441" s="191" t="s">
        <v>130</v>
      </c>
      <c r="F441" s="191" t="s">
        <v>140</v>
      </c>
      <c r="G441" s="191" t="s">
        <v>34</v>
      </c>
      <c r="H441" s="191" t="s">
        <v>59</v>
      </c>
      <c r="I441" s="258">
        <v>21</v>
      </c>
      <c r="J441" s="191" t="s">
        <v>83</v>
      </c>
      <c r="K441" s="192" t="s">
        <v>132</v>
      </c>
      <c r="L441" s="246" t="s">
        <v>83</v>
      </c>
      <c r="M441" s="861" t="s">
        <v>1604</v>
      </c>
      <c r="N441" s="246"/>
      <c r="O441" s="245" t="s">
        <v>183</v>
      </c>
      <c r="P441" s="246"/>
      <c r="Q441" s="192" t="s">
        <v>184</v>
      </c>
      <c r="R441" s="276"/>
      <c r="S441" s="277"/>
      <c r="T441" s="276"/>
      <c r="U441" s="276"/>
      <c r="V441" s="276"/>
      <c r="W441" s="276"/>
      <c r="X441" s="277"/>
      <c r="Y441" s="194">
        <v>100000000</v>
      </c>
      <c r="Z441" s="194">
        <f>+FRIL!J646</f>
        <v>0</v>
      </c>
      <c r="AA441" s="298"/>
      <c r="AB441" s="299">
        <v>100000000</v>
      </c>
      <c r="AC441" s="299">
        <f t="shared" si="165"/>
        <v>0</v>
      </c>
      <c r="AD441" s="299">
        <f t="shared" si="171"/>
        <v>100000000</v>
      </c>
      <c r="AE441" s="299">
        <v>0</v>
      </c>
      <c r="AF441" s="299">
        <v>0</v>
      </c>
      <c r="AG441" s="299">
        <v>0</v>
      </c>
      <c r="AH441" s="299">
        <v>0</v>
      </c>
      <c r="AI441" s="299">
        <v>0</v>
      </c>
      <c r="AJ441" s="297">
        <v>0</v>
      </c>
      <c r="AK441" s="299">
        <v>0</v>
      </c>
      <c r="AL441" s="299">
        <v>0</v>
      </c>
      <c r="AM441" s="299">
        <v>0</v>
      </c>
      <c r="AN441" s="299">
        <v>0</v>
      </c>
      <c r="AO441" s="297">
        <v>0</v>
      </c>
      <c r="AP441" s="299">
        <v>0</v>
      </c>
      <c r="AQ441" s="298"/>
      <c r="AR441" s="299">
        <f t="shared" si="172"/>
        <v>0</v>
      </c>
      <c r="AS441" s="314" t="s">
        <v>185</v>
      </c>
      <c r="AT441" s="314" t="s">
        <v>83</v>
      </c>
      <c r="AU441" s="192" t="s">
        <v>138</v>
      </c>
    </row>
    <row r="442" spans="1:47" s="218" customFormat="1" ht="25.5" customHeight="1" outlineLevel="2">
      <c r="A442" s="215" t="s">
        <v>125</v>
      </c>
      <c r="B442" s="151">
        <v>33</v>
      </c>
      <c r="C442" s="151" t="s">
        <v>128</v>
      </c>
      <c r="D442" s="245" t="s">
        <v>149</v>
      </c>
      <c r="E442" s="151" t="s">
        <v>130</v>
      </c>
      <c r="F442" s="151" t="s">
        <v>140</v>
      </c>
      <c r="G442" s="151" t="s">
        <v>34</v>
      </c>
      <c r="H442" s="151" t="s">
        <v>59</v>
      </c>
      <c r="I442" s="256">
        <v>21</v>
      </c>
      <c r="J442" s="151" t="s">
        <v>83</v>
      </c>
      <c r="K442" s="176" t="s">
        <v>132</v>
      </c>
      <c r="L442" s="245" t="s">
        <v>83</v>
      </c>
      <c r="M442" s="855"/>
      <c r="N442" s="245"/>
      <c r="O442" s="245" t="s">
        <v>183</v>
      </c>
      <c r="P442" s="245"/>
      <c r="Q442" s="176" t="s">
        <v>667</v>
      </c>
      <c r="R442" s="273"/>
      <c r="S442" s="274"/>
      <c r="T442" s="273"/>
      <c r="U442" s="273"/>
      <c r="V442" s="273"/>
      <c r="W442" s="273"/>
      <c r="X442" s="274"/>
      <c r="Y442" s="275">
        <v>200000000</v>
      </c>
      <c r="Z442" s="275">
        <f>+FRIL!J647</f>
        <v>0</v>
      </c>
      <c r="AA442" s="296"/>
      <c r="AB442" s="297">
        <v>200000000</v>
      </c>
      <c r="AC442" s="297">
        <f t="shared" si="165"/>
        <v>146804052</v>
      </c>
      <c r="AD442" s="297">
        <f t="shared" si="171"/>
        <v>53195948</v>
      </c>
      <c r="AE442" s="297">
        <v>0</v>
      </c>
      <c r="AF442" s="297">
        <v>0</v>
      </c>
      <c r="AG442" s="297">
        <v>0</v>
      </c>
      <c r="AH442" s="297">
        <v>0</v>
      </c>
      <c r="AI442" s="297">
        <v>0</v>
      </c>
      <c r="AJ442" s="297">
        <v>9323445</v>
      </c>
      <c r="AK442" s="297">
        <v>27148180</v>
      </c>
      <c r="AL442" s="297">
        <v>0</v>
      </c>
      <c r="AM442" s="297">
        <v>25999195</v>
      </c>
      <c r="AN442" s="297">
        <v>0</v>
      </c>
      <c r="AO442" s="297">
        <f>+FRIL!L221</f>
        <v>84333232</v>
      </c>
      <c r="AP442" s="297">
        <v>0</v>
      </c>
      <c r="AQ442" s="296"/>
      <c r="AR442" s="297">
        <f t="shared" si="172"/>
        <v>0</v>
      </c>
      <c r="AS442" s="313" t="s">
        <v>185</v>
      </c>
      <c r="AT442" s="313" t="s">
        <v>83</v>
      </c>
      <c r="AU442" s="176" t="s">
        <v>138</v>
      </c>
    </row>
    <row r="443" spans="1:47" s="217" customFormat="1" ht="25.5" customHeight="1" outlineLevel="1">
      <c r="A443" s="215" t="s">
        <v>125</v>
      </c>
      <c r="B443" s="247"/>
      <c r="C443" s="247"/>
      <c r="D443" s="248"/>
      <c r="E443" s="249"/>
      <c r="F443" s="249"/>
      <c r="G443" s="249"/>
      <c r="H443" s="249"/>
      <c r="I443" s="249"/>
      <c r="J443" s="247"/>
      <c r="K443" s="259"/>
      <c r="L443" s="248"/>
      <c r="M443" s="248"/>
      <c r="N443" s="250"/>
      <c r="O443" s="250"/>
      <c r="P443" s="250"/>
      <c r="Q443" s="260" t="s">
        <v>187</v>
      </c>
      <c r="R443" s="278"/>
      <c r="S443" s="279"/>
      <c r="T443" s="279"/>
      <c r="U443" s="279"/>
      <c r="V443" s="279"/>
      <c r="W443" s="279"/>
      <c r="X443" s="281"/>
      <c r="Y443" s="286">
        <f>+Y431+Y432+Y433+Y434+Y435+Y436+Y441+Y442+Y437+Y438+Y439+Y440</f>
        <v>3523030684</v>
      </c>
      <c r="Z443" s="286">
        <f t="shared" ref="Z443:AD443" si="173">+Z431+Z432+Z433+Z434+Z435+Z436+Z441+Z442+Z437+Z438+Z439+Z440</f>
        <v>879918242</v>
      </c>
      <c r="AA443" s="303"/>
      <c r="AB443" s="286">
        <f t="shared" si="173"/>
        <v>1897774422</v>
      </c>
      <c r="AC443" s="286">
        <f t="shared" si="165"/>
        <v>1104462393</v>
      </c>
      <c r="AD443" s="286">
        <f t="shared" si="173"/>
        <v>793312029</v>
      </c>
      <c r="AE443" s="286">
        <f>+AE431+AE432+AE433+AE434+AE435+AE436+AE441+AE442+AE437+AE438+AE439+AE440</f>
        <v>0</v>
      </c>
      <c r="AF443" s="286">
        <f t="shared" ref="AF443:AP443" si="174">+AF431+AF432+AF433+AF434+AF435+AF436+AF441+AF442+AF437+AF438+AF439+AF440</f>
        <v>0</v>
      </c>
      <c r="AG443" s="286">
        <f t="shared" si="174"/>
        <v>0</v>
      </c>
      <c r="AH443" s="286">
        <f t="shared" si="174"/>
        <v>0</v>
      </c>
      <c r="AI443" s="286">
        <f t="shared" si="174"/>
        <v>0</v>
      </c>
      <c r="AJ443" s="286">
        <v>142079560</v>
      </c>
      <c r="AK443" s="286">
        <f t="shared" si="174"/>
        <v>160503933</v>
      </c>
      <c r="AL443" s="286">
        <f t="shared" si="174"/>
        <v>183330393</v>
      </c>
      <c r="AM443" s="286">
        <f t="shared" si="174"/>
        <v>99353590</v>
      </c>
      <c r="AN443" s="286">
        <f t="shared" si="174"/>
        <v>131381295</v>
      </c>
      <c r="AO443" s="286">
        <f t="shared" si="174"/>
        <v>213587778</v>
      </c>
      <c r="AP443" s="286">
        <f t="shared" si="174"/>
        <v>174225844</v>
      </c>
      <c r="AQ443" s="287"/>
      <c r="AR443" s="286">
        <f t="shared" si="172"/>
        <v>745338020</v>
      </c>
      <c r="AS443" s="315"/>
      <c r="AT443" s="315"/>
      <c r="AU443" s="220"/>
    </row>
    <row r="444" spans="1:47" ht="18.75" customHeight="1" outlineLevel="1">
      <c r="A444" s="215" t="s">
        <v>125</v>
      </c>
      <c r="B444" s="249"/>
      <c r="C444" s="249"/>
      <c r="D444" s="250"/>
      <c r="E444" s="249"/>
      <c r="F444" s="249"/>
      <c r="G444" s="249"/>
      <c r="H444" s="249"/>
      <c r="I444" s="249"/>
      <c r="J444" s="249"/>
      <c r="K444" s="261"/>
      <c r="L444" s="250"/>
      <c r="M444" s="250"/>
      <c r="N444" s="250"/>
      <c r="O444" s="250"/>
      <c r="P444" s="250"/>
      <c r="Q444" s="261"/>
      <c r="R444" s="283"/>
      <c r="S444" s="283"/>
      <c r="T444" s="283"/>
      <c r="U444" s="283"/>
      <c r="V444" s="283"/>
      <c r="W444" s="283"/>
      <c r="X444" s="283"/>
      <c r="Y444" s="284"/>
      <c r="Z444" s="284"/>
      <c r="AA444" s="301"/>
      <c r="AB444" s="301"/>
      <c r="AC444" s="301"/>
      <c r="AD444" s="301"/>
      <c r="AE444" s="301"/>
      <c r="AF444" s="301"/>
      <c r="AG444" s="301"/>
      <c r="AH444" s="301"/>
      <c r="AI444" s="301"/>
      <c r="AJ444" s="301"/>
      <c r="AK444" s="301"/>
      <c r="AL444" s="301"/>
      <c r="AM444" s="301"/>
      <c r="AN444" s="301"/>
      <c r="AO444" s="301"/>
      <c r="AP444" s="301"/>
      <c r="AQ444" s="301"/>
      <c r="AR444" s="301"/>
      <c r="AS444" s="316"/>
      <c r="AT444" s="316"/>
      <c r="AU444" s="317"/>
    </row>
    <row r="445" spans="1:47" s="217" customFormat="1" ht="25.5" customHeight="1" outlineLevel="1">
      <c r="A445" s="215" t="s">
        <v>125</v>
      </c>
      <c r="B445" s="247"/>
      <c r="C445" s="247"/>
      <c r="D445" s="248"/>
      <c r="E445" s="249"/>
      <c r="F445" s="249"/>
      <c r="G445" s="249"/>
      <c r="H445" s="249"/>
      <c r="I445" s="249"/>
      <c r="J445" s="247"/>
      <c r="K445" s="259"/>
      <c r="L445" s="248"/>
      <c r="M445" s="248"/>
      <c r="N445" s="250"/>
      <c r="O445" s="250"/>
      <c r="P445" s="250"/>
      <c r="Q445" s="99" t="s">
        <v>188</v>
      </c>
      <c r="R445" s="283"/>
      <c r="S445" s="283"/>
      <c r="T445" s="283"/>
      <c r="U445" s="283"/>
      <c r="V445" s="283"/>
      <c r="W445" s="283"/>
      <c r="X445" s="283"/>
      <c r="Y445" s="285"/>
      <c r="Z445" s="285"/>
      <c r="AA445" s="302"/>
      <c r="AB445" s="302"/>
      <c r="AC445" s="302"/>
      <c r="AD445" s="302"/>
      <c r="AE445" s="302"/>
      <c r="AF445" s="302"/>
      <c r="AG445" s="302"/>
      <c r="AH445" s="301"/>
      <c r="AI445" s="301"/>
      <c r="AJ445" s="301"/>
      <c r="AK445" s="301"/>
      <c r="AL445" s="301"/>
      <c r="AM445" s="301"/>
      <c r="AN445" s="301"/>
      <c r="AO445" s="301"/>
      <c r="AP445" s="301"/>
      <c r="AQ445" s="302"/>
      <c r="AR445" s="302"/>
      <c r="AS445" s="315"/>
      <c r="AT445" s="315"/>
      <c r="AU445" s="220"/>
    </row>
    <row r="446" spans="1:47" s="217" customFormat="1" ht="25.5" customHeight="1" outlineLevel="1">
      <c r="A446" s="215" t="s">
        <v>125</v>
      </c>
      <c r="B446" s="151">
        <v>29</v>
      </c>
      <c r="C446" s="151" t="s">
        <v>196</v>
      </c>
      <c r="D446" s="245" t="s">
        <v>149</v>
      </c>
      <c r="E446" s="151" t="s">
        <v>130</v>
      </c>
      <c r="F446" s="151" t="s">
        <v>140</v>
      </c>
      <c r="G446" s="151" t="s">
        <v>34</v>
      </c>
      <c r="H446" s="151" t="s">
        <v>59</v>
      </c>
      <c r="I446" s="256">
        <v>21</v>
      </c>
      <c r="J446" s="151" t="s">
        <v>80</v>
      </c>
      <c r="K446" s="176" t="s">
        <v>132</v>
      </c>
      <c r="L446" s="245">
        <v>40014051</v>
      </c>
      <c r="M446" s="855"/>
      <c r="N446" s="245"/>
      <c r="O446" s="245" t="s">
        <v>760</v>
      </c>
      <c r="P446" s="398"/>
      <c r="Q446" s="176" t="s">
        <v>761</v>
      </c>
      <c r="R446" s="273"/>
      <c r="S446" s="274"/>
      <c r="T446" s="273"/>
      <c r="U446" s="273"/>
      <c r="V446" s="273"/>
      <c r="W446" s="273"/>
      <c r="X446" s="274"/>
      <c r="Y446" s="275">
        <v>250000000</v>
      </c>
      <c r="Z446" s="275">
        <v>0</v>
      </c>
      <c r="AA446" s="296"/>
      <c r="AB446" s="297">
        <f>250000000-17007052-6378765</f>
        <v>226614183</v>
      </c>
      <c r="AC446" s="297">
        <f t="shared" si="165"/>
        <v>0</v>
      </c>
      <c r="AD446" s="297">
        <f t="shared" ref="AD446" si="175">+AB446-AC446</f>
        <v>226614183</v>
      </c>
      <c r="AE446" s="297">
        <v>0</v>
      </c>
      <c r="AF446" s="297">
        <v>0</v>
      </c>
      <c r="AG446" s="297">
        <v>0</v>
      </c>
      <c r="AH446" s="297">
        <v>0</v>
      </c>
      <c r="AI446" s="297">
        <v>0</v>
      </c>
      <c r="AJ446" s="297">
        <v>0</v>
      </c>
      <c r="AK446" s="297">
        <v>0</v>
      </c>
      <c r="AL446" s="297">
        <v>0</v>
      </c>
      <c r="AM446" s="297">
        <v>0</v>
      </c>
      <c r="AN446" s="297">
        <v>0</v>
      </c>
      <c r="AO446" s="297">
        <v>0</v>
      </c>
      <c r="AP446" s="297">
        <v>0</v>
      </c>
      <c r="AQ446" s="296"/>
      <c r="AR446" s="297">
        <f t="shared" ref="AR446:AR447" si="176">+Y446-Z446-AC446-AD446</f>
        <v>23385817</v>
      </c>
      <c r="AS446" s="313" t="s">
        <v>148</v>
      </c>
      <c r="AT446" s="313" t="s">
        <v>1464</v>
      </c>
      <c r="AU446" s="176" t="s">
        <v>200</v>
      </c>
    </row>
    <row r="447" spans="1:47" s="217" customFormat="1" ht="25.5" customHeight="1" outlineLevel="1">
      <c r="A447" s="215" t="s">
        <v>125</v>
      </c>
      <c r="B447" s="247"/>
      <c r="C447" s="247"/>
      <c r="D447" s="248"/>
      <c r="E447" s="249"/>
      <c r="F447" s="249"/>
      <c r="G447" s="249"/>
      <c r="H447" s="249"/>
      <c r="I447" s="249"/>
      <c r="J447" s="247"/>
      <c r="K447" s="259"/>
      <c r="L447" s="248"/>
      <c r="M447" s="248"/>
      <c r="N447" s="250"/>
      <c r="O447" s="250"/>
      <c r="P447" s="250"/>
      <c r="Q447" s="260" t="s">
        <v>201</v>
      </c>
      <c r="R447" s="278"/>
      <c r="S447" s="279"/>
      <c r="T447" s="279"/>
      <c r="U447" s="279"/>
      <c r="V447" s="279"/>
      <c r="W447" s="279"/>
      <c r="X447" s="281"/>
      <c r="Y447" s="286">
        <f>SUM(Y446:Y446)</f>
        <v>250000000</v>
      </c>
      <c r="Z447" s="286">
        <f>SUM(Z446:Z446)</f>
        <v>0</v>
      </c>
      <c r="AA447" s="303"/>
      <c r="AB447" s="286">
        <f>SUM(AB446:AB446)</f>
        <v>226614183</v>
      </c>
      <c r="AC447" s="286">
        <f t="shared" si="165"/>
        <v>0</v>
      </c>
      <c r="AD447" s="286">
        <f t="shared" ref="AD447:AI447" si="177">SUM(AD446:AD446)</f>
        <v>226614183</v>
      </c>
      <c r="AE447" s="286">
        <f t="shared" si="177"/>
        <v>0</v>
      </c>
      <c r="AF447" s="286">
        <f t="shared" si="177"/>
        <v>0</v>
      </c>
      <c r="AG447" s="286">
        <f t="shared" si="177"/>
        <v>0</v>
      </c>
      <c r="AH447" s="286">
        <f t="shared" si="177"/>
        <v>0</v>
      </c>
      <c r="AI447" s="286">
        <f t="shared" si="177"/>
        <v>0</v>
      </c>
      <c r="AJ447" s="286">
        <v>0</v>
      </c>
      <c r="AK447" s="286">
        <v>0</v>
      </c>
      <c r="AL447" s="286">
        <v>0</v>
      </c>
      <c r="AM447" s="286">
        <f>SUM(AM446:AM446)</f>
        <v>0</v>
      </c>
      <c r="AN447" s="286">
        <f>SUM(AN446:AN446)</f>
        <v>0</v>
      </c>
      <c r="AO447" s="286">
        <f>SUM(AO446:AO446)</f>
        <v>0</v>
      </c>
      <c r="AP447" s="286">
        <f>SUM(AP446:AP446)</f>
        <v>0</v>
      </c>
      <c r="AQ447" s="287"/>
      <c r="AR447" s="286">
        <f t="shared" si="176"/>
        <v>23385817</v>
      </c>
      <c r="AS447" s="315"/>
      <c r="AT447" s="315"/>
      <c r="AU447" s="220"/>
    </row>
    <row r="448" spans="1:47" ht="18.75" customHeight="1" outlineLevel="1">
      <c r="A448" s="215" t="s">
        <v>125</v>
      </c>
      <c r="B448" s="249"/>
      <c r="C448" s="249"/>
      <c r="D448" s="250"/>
      <c r="E448" s="249"/>
      <c r="F448" s="249"/>
      <c r="G448" s="249"/>
      <c r="H448" s="249"/>
      <c r="I448" s="249"/>
      <c r="J448" s="249"/>
      <c r="K448" s="261"/>
      <c r="L448" s="250"/>
      <c r="M448" s="250"/>
      <c r="N448" s="250"/>
      <c r="O448" s="250"/>
      <c r="P448" s="250"/>
      <c r="Q448" s="261"/>
      <c r="R448" s="283"/>
      <c r="S448" s="283"/>
      <c r="T448" s="283"/>
      <c r="U448" s="283"/>
      <c r="V448" s="283"/>
      <c r="W448" s="283"/>
      <c r="X448" s="283"/>
      <c r="Y448" s="284"/>
      <c r="Z448" s="284"/>
      <c r="AA448" s="301"/>
      <c r="AB448" s="301"/>
      <c r="AC448" s="301"/>
      <c r="AD448" s="301"/>
      <c r="AE448" s="301"/>
      <c r="AF448" s="301"/>
      <c r="AG448" s="301"/>
      <c r="AH448" s="301"/>
      <c r="AI448" s="301"/>
      <c r="AJ448" s="301"/>
      <c r="AK448" s="301"/>
      <c r="AL448" s="301"/>
      <c r="AM448" s="301"/>
      <c r="AN448" s="301"/>
      <c r="AO448" s="301"/>
      <c r="AP448" s="301"/>
      <c r="AQ448" s="301"/>
      <c r="AR448" s="301"/>
      <c r="AS448" s="316"/>
      <c r="AT448" s="316"/>
      <c r="AU448" s="317"/>
    </row>
    <row r="449" spans="1:49" s="219" customFormat="1" ht="24.75" customHeight="1" outlineLevel="1">
      <c r="A449" s="215" t="s">
        <v>125</v>
      </c>
      <c r="B449" s="251"/>
      <c r="C449" s="249"/>
      <c r="D449" s="250"/>
      <c r="E449" s="249"/>
      <c r="F449" s="249"/>
      <c r="G449" s="249"/>
      <c r="H449" s="249"/>
      <c r="I449" s="249"/>
      <c r="J449" s="251"/>
      <c r="K449" s="263"/>
      <c r="L449" s="252"/>
      <c r="M449" s="252"/>
      <c r="N449" s="252"/>
      <c r="O449" s="252"/>
      <c r="P449" s="252"/>
      <c r="Q449" s="117" t="s">
        <v>762</v>
      </c>
      <c r="R449" s="288"/>
      <c r="S449" s="289"/>
      <c r="T449" s="289"/>
      <c r="U449" s="289"/>
      <c r="V449" s="289"/>
      <c r="W449" s="289"/>
      <c r="X449" s="290"/>
      <c r="Y449" s="118">
        <f>+Y443+Y447</f>
        <v>3773030684</v>
      </c>
      <c r="Z449" s="118">
        <f>+Z443+Z447</f>
        <v>879918242</v>
      </c>
      <c r="AA449" s="304"/>
      <c r="AB449" s="118">
        <f>+AB443+AB447</f>
        <v>2124388605</v>
      </c>
      <c r="AC449" s="118">
        <f t="shared" ref="AC449:AD449" si="178">+AC443+AC447</f>
        <v>1104462393</v>
      </c>
      <c r="AD449" s="118">
        <f t="shared" si="178"/>
        <v>1019926212</v>
      </c>
      <c r="AE449" s="118">
        <f t="shared" ref="AE449:AP449" si="179">+AE443+AE447</f>
        <v>0</v>
      </c>
      <c r="AF449" s="118">
        <f t="shared" si="179"/>
        <v>0</v>
      </c>
      <c r="AG449" s="118">
        <f t="shared" si="179"/>
        <v>0</v>
      </c>
      <c r="AH449" s="118">
        <f t="shared" si="179"/>
        <v>0</v>
      </c>
      <c r="AI449" s="118">
        <f t="shared" si="179"/>
        <v>0</v>
      </c>
      <c r="AJ449" s="118">
        <v>142079560</v>
      </c>
      <c r="AK449" s="118">
        <f t="shared" si="179"/>
        <v>160503933</v>
      </c>
      <c r="AL449" s="118">
        <f t="shared" si="179"/>
        <v>183330393</v>
      </c>
      <c r="AM449" s="118">
        <f t="shared" si="179"/>
        <v>99353590</v>
      </c>
      <c r="AN449" s="118">
        <f t="shared" si="179"/>
        <v>131381295</v>
      </c>
      <c r="AO449" s="118">
        <f t="shared" si="179"/>
        <v>213587778</v>
      </c>
      <c r="AP449" s="118">
        <f t="shared" si="179"/>
        <v>174225844</v>
      </c>
      <c r="AQ449" s="318"/>
      <c r="AR449" s="118">
        <f>+Y449-Z449-AC449-AD449</f>
        <v>768723837</v>
      </c>
      <c r="AS449" s="333"/>
      <c r="AT449" s="333"/>
      <c r="AU449" s="320"/>
    </row>
    <row r="450" spans="1:49" ht="18.75" customHeight="1" outlineLevel="1">
      <c r="A450" s="215" t="s">
        <v>125</v>
      </c>
      <c r="B450" s="249"/>
      <c r="C450" s="249"/>
      <c r="D450" s="250"/>
      <c r="E450" s="249"/>
      <c r="F450" s="249"/>
      <c r="G450" s="249"/>
      <c r="H450" s="249"/>
      <c r="I450" s="249"/>
      <c r="J450" s="249"/>
      <c r="K450" s="261"/>
      <c r="L450" s="250"/>
      <c r="M450" s="250"/>
      <c r="N450" s="250"/>
      <c r="O450" s="250"/>
      <c r="P450" s="250"/>
      <c r="Q450" s="261"/>
      <c r="R450" s="283"/>
      <c r="S450" s="283"/>
      <c r="T450" s="283"/>
      <c r="U450" s="283"/>
      <c r="V450" s="283"/>
      <c r="W450" s="283"/>
      <c r="X450" s="283"/>
      <c r="Y450" s="284"/>
      <c r="Z450" s="284"/>
      <c r="AA450" s="301"/>
      <c r="AB450" s="301"/>
      <c r="AC450" s="301"/>
      <c r="AD450" s="301"/>
      <c r="AE450" s="301"/>
      <c r="AF450" s="301"/>
      <c r="AG450" s="301"/>
      <c r="AH450" s="301"/>
      <c r="AI450" s="301"/>
      <c r="AJ450" s="301"/>
      <c r="AK450" s="301"/>
      <c r="AL450" s="301"/>
      <c r="AM450" s="301"/>
      <c r="AN450" s="301"/>
      <c r="AO450" s="301"/>
      <c r="AP450" s="301"/>
      <c r="AQ450" s="301"/>
      <c r="AR450" s="301"/>
      <c r="AS450" s="316"/>
      <c r="AT450" s="316"/>
      <c r="AU450" s="317"/>
    </row>
    <row r="451" spans="1:49" ht="26.25" customHeight="1" outlineLevel="1">
      <c r="A451" s="215" t="s">
        <v>125</v>
      </c>
      <c r="B451" s="249"/>
      <c r="C451" s="249"/>
      <c r="D451" s="250"/>
      <c r="E451" s="249"/>
      <c r="F451" s="249"/>
      <c r="G451" s="249"/>
      <c r="H451" s="249"/>
      <c r="I451" s="249"/>
      <c r="J451" s="249"/>
      <c r="K451" s="261"/>
      <c r="L451" s="250"/>
      <c r="M451" s="250"/>
      <c r="N451" s="250"/>
      <c r="O451" s="250"/>
      <c r="P451" s="250"/>
      <c r="Q451" s="264" t="s">
        <v>763</v>
      </c>
      <c r="R451" s="283"/>
      <c r="S451" s="283"/>
      <c r="T451" s="283"/>
      <c r="U451" s="283"/>
      <c r="V451" s="283"/>
      <c r="W451" s="283"/>
      <c r="X451" s="283"/>
      <c r="Y451" s="284"/>
      <c r="Z451" s="284"/>
      <c r="AA451" s="301"/>
      <c r="AB451" s="301"/>
      <c r="AC451" s="301"/>
      <c r="AD451" s="301"/>
      <c r="AE451" s="301"/>
      <c r="AF451" s="301"/>
      <c r="AG451" s="301"/>
      <c r="AH451" s="301"/>
      <c r="AI451" s="301"/>
      <c r="AJ451" s="301"/>
      <c r="AK451" s="301"/>
      <c r="AL451" s="301"/>
      <c r="AM451" s="301"/>
      <c r="AN451" s="301"/>
      <c r="AO451" s="301"/>
      <c r="AP451" s="301"/>
      <c r="AQ451" s="301"/>
      <c r="AR451" s="301"/>
      <c r="AS451" s="316"/>
      <c r="AT451" s="316"/>
      <c r="AU451" s="317"/>
    </row>
    <row r="452" spans="1:49" s="216" customFormat="1" ht="15" customHeight="1" outlineLevel="1">
      <c r="A452" s="215" t="s">
        <v>125</v>
      </c>
      <c r="B452" s="249"/>
      <c r="C452" s="249"/>
      <c r="D452" s="250"/>
      <c r="E452" s="249"/>
      <c r="F452" s="249"/>
      <c r="G452" s="249"/>
      <c r="H452" s="249"/>
      <c r="I452" s="249"/>
      <c r="J452" s="249"/>
      <c r="K452" s="261"/>
      <c r="L452" s="250"/>
      <c r="M452" s="250"/>
      <c r="N452" s="250"/>
      <c r="O452" s="250"/>
      <c r="P452" s="250"/>
      <c r="Q452" s="255"/>
      <c r="R452" s="283"/>
      <c r="S452" s="283"/>
      <c r="T452" s="283"/>
      <c r="U452" s="283"/>
      <c r="V452" s="283"/>
      <c r="W452" s="283"/>
      <c r="X452" s="283"/>
      <c r="Y452" s="284"/>
      <c r="Z452" s="284"/>
      <c r="AA452" s="301"/>
      <c r="AB452" s="301"/>
      <c r="AC452" s="301"/>
      <c r="AD452" s="301"/>
      <c r="AE452" s="301"/>
      <c r="AF452" s="301"/>
      <c r="AG452" s="301"/>
      <c r="AH452" s="301"/>
      <c r="AI452" s="301"/>
      <c r="AJ452" s="301"/>
      <c r="AK452" s="301"/>
      <c r="AL452" s="301"/>
      <c r="AM452" s="301"/>
      <c r="AN452" s="301"/>
      <c r="AO452" s="301"/>
      <c r="AP452" s="301"/>
      <c r="AQ452" s="301"/>
      <c r="AR452" s="301"/>
      <c r="AS452" s="316"/>
      <c r="AT452" s="316"/>
      <c r="AU452" s="317"/>
    </row>
    <row r="453" spans="1:49" s="217" customFormat="1" ht="25.5" customHeight="1" outlineLevel="1">
      <c r="A453" s="215" t="s">
        <v>125</v>
      </c>
      <c r="B453" s="247"/>
      <c r="C453" s="247"/>
      <c r="D453" s="248"/>
      <c r="E453" s="249"/>
      <c r="F453" s="249"/>
      <c r="G453" s="249"/>
      <c r="H453" s="249"/>
      <c r="I453" s="249"/>
      <c r="J453" s="247"/>
      <c r="K453" s="259"/>
      <c r="L453" s="248"/>
      <c r="M453" s="248"/>
      <c r="N453" s="250"/>
      <c r="O453" s="250"/>
      <c r="P453" s="250"/>
      <c r="Q453" s="99" t="s">
        <v>127</v>
      </c>
      <c r="R453" s="283"/>
      <c r="S453" s="283"/>
      <c r="T453" s="283"/>
      <c r="U453" s="283"/>
      <c r="V453" s="283"/>
      <c r="W453" s="283"/>
      <c r="X453" s="283"/>
      <c r="Y453" s="285"/>
      <c r="Z453" s="285"/>
      <c r="AA453" s="302"/>
      <c r="AB453" s="302"/>
      <c r="AC453" s="302"/>
      <c r="AD453" s="302"/>
      <c r="AE453" s="302"/>
      <c r="AF453" s="302"/>
      <c r="AG453" s="302"/>
      <c r="AH453" s="301"/>
      <c r="AI453" s="301"/>
      <c r="AJ453" s="301"/>
      <c r="AK453" s="301"/>
      <c r="AL453" s="301"/>
      <c r="AM453" s="301"/>
      <c r="AN453" s="301"/>
      <c r="AO453" s="301"/>
      <c r="AP453" s="301"/>
      <c r="AQ453" s="302"/>
      <c r="AR453" s="302"/>
      <c r="AS453" s="315"/>
      <c r="AT453" s="315"/>
      <c r="AU453" s="220"/>
    </row>
    <row r="454" spans="1:49" s="218" customFormat="1" ht="25.5" customHeight="1" outlineLevel="2">
      <c r="A454" s="215" t="s">
        <v>125</v>
      </c>
      <c r="B454" s="151">
        <v>31</v>
      </c>
      <c r="C454" s="151" t="s">
        <v>128</v>
      </c>
      <c r="D454" s="245" t="s">
        <v>159</v>
      </c>
      <c r="E454" s="151" t="s">
        <v>169</v>
      </c>
      <c r="F454" s="151" t="s">
        <v>140</v>
      </c>
      <c r="G454" s="151" t="s">
        <v>34</v>
      </c>
      <c r="H454" s="151" t="s">
        <v>60</v>
      </c>
      <c r="I454" s="256">
        <v>22</v>
      </c>
      <c r="J454" s="151" t="s">
        <v>80</v>
      </c>
      <c r="K454" s="176" t="s">
        <v>202</v>
      </c>
      <c r="L454" s="245">
        <v>30095333</v>
      </c>
      <c r="M454" s="855"/>
      <c r="N454" s="245" t="s">
        <v>652</v>
      </c>
      <c r="O454" s="245" t="s">
        <v>764</v>
      </c>
      <c r="P454" s="245"/>
      <c r="Q454" s="176" t="s">
        <v>765</v>
      </c>
      <c r="R454" s="273"/>
      <c r="S454" s="274"/>
      <c r="T454" s="273"/>
      <c r="U454" s="273"/>
      <c r="V454" s="273"/>
      <c r="W454" s="273"/>
      <c r="X454" s="274"/>
      <c r="Y454" s="275">
        <v>178850000</v>
      </c>
      <c r="Z454" s="275">
        <v>155316500</v>
      </c>
      <c r="AA454" s="296"/>
      <c r="AB454" s="297">
        <v>21658500</v>
      </c>
      <c r="AC454" s="297">
        <f t="shared" si="165"/>
        <v>0</v>
      </c>
      <c r="AD454" s="297">
        <f>+AB454-AC454</f>
        <v>21658500</v>
      </c>
      <c r="AE454" s="297">
        <v>0</v>
      </c>
      <c r="AF454" s="297">
        <v>0</v>
      </c>
      <c r="AG454" s="297">
        <v>0</v>
      </c>
      <c r="AH454" s="297">
        <v>0</v>
      </c>
      <c r="AI454" s="297">
        <v>0</v>
      </c>
      <c r="AJ454" s="297">
        <v>0</v>
      </c>
      <c r="AK454" s="297">
        <v>0</v>
      </c>
      <c r="AL454" s="297">
        <v>0</v>
      </c>
      <c r="AM454" s="297">
        <v>0</v>
      </c>
      <c r="AN454" s="297">
        <v>0</v>
      </c>
      <c r="AO454" s="297">
        <v>0</v>
      </c>
      <c r="AP454" s="297">
        <v>0</v>
      </c>
      <c r="AQ454" s="296"/>
      <c r="AR454" s="297">
        <f t="shared" ref="AR454:AR459" si="180">+Y454-Z454-AC454-AD454</f>
        <v>1875000</v>
      </c>
      <c r="AS454" s="313" t="s">
        <v>137</v>
      </c>
      <c r="AT454" s="313" t="s">
        <v>137</v>
      </c>
      <c r="AU454" s="176" t="s">
        <v>138</v>
      </c>
    </row>
    <row r="455" spans="1:49" s="218" customFormat="1" ht="25.5" customHeight="1" outlineLevel="2">
      <c r="A455" s="215" t="s">
        <v>125</v>
      </c>
      <c r="B455" s="151">
        <v>31</v>
      </c>
      <c r="C455" s="151" t="s">
        <v>128</v>
      </c>
      <c r="D455" s="245" t="s">
        <v>164</v>
      </c>
      <c r="E455" s="151" t="s">
        <v>169</v>
      </c>
      <c r="F455" s="151" t="s">
        <v>140</v>
      </c>
      <c r="G455" s="151" t="s">
        <v>34</v>
      </c>
      <c r="H455" s="151" t="s">
        <v>60</v>
      </c>
      <c r="I455" s="256">
        <v>22</v>
      </c>
      <c r="J455" s="151" t="s">
        <v>80</v>
      </c>
      <c r="K455" s="176" t="s">
        <v>132</v>
      </c>
      <c r="L455" s="245">
        <v>30135738</v>
      </c>
      <c r="M455" s="855" t="s">
        <v>164</v>
      </c>
      <c r="N455" s="245" t="s">
        <v>656</v>
      </c>
      <c r="O455" s="245" t="s">
        <v>766</v>
      </c>
      <c r="P455" s="245"/>
      <c r="Q455" s="176" t="s">
        <v>767</v>
      </c>
      <c r="R455" s="273"/>
      <c r="S455" s="274"/>
      <c r="T455" s="273"/>
      <c r="U455" s="273"/>
      <c r="V455" s="273"/>
      <c r="W455" s="273"/>
      <c r="X455" s="274"/>
      <c r="Y455" s="275">
        <v>575525000</v>
      </c>
      <c r="Z455" s="275">
        <v>537497538</v>
      </c>
      <c r="AA455" s="296"/>
      <c r="AB455" s="297">
        <f>+Y455-Z455</f>
        <v>38027462</v>
      </c>
      <c r="AC455" s="297">
        <f t="shared" si="165"/>
        <v>23471430</v>
      </c>
      <c r="AD455" s="297">
        <f>+AB455-AC455</f>
        <v>14556032</v>
      </c>
      <c r="AE455" s="297">
        <v>0</v>
      </c>
      <c r="AF455" s="297">
        <v>0</v>
      </c>
      <c r="AG455" s="297">
        <v>0</v>
      </c>
      <c r="AH455" s="297">
        <v>0</v>
      </c>
      <c r="AI455" s="297">
        <v>0</v>
      </c>
      <c r="AJ455" s="297">
        <v>0</v>
      </c>
      <c r="AK455" s="297">
        <v>23471430</v>
      </c>
      <c r="AL455" s="297">
        <v>0</v>
      </c>
      <c r="AM455" s="297">
        <v>0</v>
      </c>
      <c r="AN455" s="297">
        <v>0</v>
      </c>
      <c r="AO455" s="297">
        <v>0</v>
      </c>
      <c r="AP455" s="297">
        <v>0</v>
      </c>
      <c r="AQ455" s="296"/>
      <c r="AR455" s="297">
        <f t="shared" si="180"/>
        <v>0</v>
      </c>
      <c r="AS455" s="313" t="s">
        <v>137</v>
      </c>
      <c r="AT455" s="313" t="s">
        <v>137</v>
      </c>
      <c r="AU455" s="176" t="s">
        <v>138</v>
      </c>
    </row>
    <row r="456" spans="1:49" s="218" customFormat="1" ht="25.5" customHeight="1" outlineLevel="2">
      <c r="A456" s="215" t="s">
        <v>125</v>
      </c>
      <c r="B456" s="151">
        <v>31</v>
      </c>
      <c r="C456" s="151" t="s">
        <v>128</v>
      </c>
      <c r="D456" s="245" t="s">
        <v>164</v>
      </c>
      <c r="E456" s="151" t="s">
        <v>169</v>
      </c>
      <c r="F456" s="151" t="s">
        <v>140</v>
      </c>
      <c r="G456" s="151" t="s">
        <v>34</v>
      </c>
      <c r="H456" s="151" t="s">
        <v>60</v>
      </c>
      <c r="I456" s="256">
        <v>22</v>
      </c>
      <c r="J456" s="151" t="s">
        <v>80</v>
      </c>
      <c r="K456" s="176" t="s">
        <v>132</v>
      </c>
      <c r="L456" s="245">
        <v>30135739</v>
      </c>
      <c r="M456" s="855" t="s">
        <v>164</v>
      </c>
      <c r="N456" s="245" t="e">
        <v>#N/A</v>
      </c>
      <c r="O456" s="245" t="s">
        <v>768</v>
      </c>
      <c r="P456" s="245"/>
      <c r="Q456" s="176" t="s">
        <v>769</v>
      </c>
      <c r="R456" s="273"/>
      <c r="S456" s="274"/>
      <c r="T456" s="273"/>
      <c r="U456" s="273"/>
      <c r="V456" s="273"/>
      <c r="W456" s="273"/>
      <c r="X456" s="274"/>
      <c r="Y456" s="275">
        <v>571440000</v>
      </c>
      <c r="Z456" s="275">
        <v>42821820</v>
      </c>
      <c r="AA456" s="296"/>
      <c r="AB456" s="297">
        <v>371440000</v>
      </c>
      <c r="AC456" s="297">
        <f t="shared" si="165"/>
        <v>351263065</v>
      </c>
      <c r="AD456" s="297">
        <f>+AB456-AC456</f>
        <v>20176935</v>
      </c>
      <c r="AE456" s="297">
        <v>0</v>
      </c>
      <c r="AF456" s="297">
        <v>0</v>
      </c>
      <c r="AG456" s="297">
        <v>0</v>
      </c>
      <c r="AH456" s="297">
        <v>0</v>
      </c>
      <c r="AI456" s="297">
        <v>0</v>
      </c>
      <c r="AJ456" s="297">
        <v>64602977</v>
      </c>
      <c r="AK456" s="297">
        <v>40186025</v>
      </c>
      <c r="AL456" s="297">
        <v>110687671</v>
      </c>
      <c r="AM456" s="297">
        <v>1903000</v>
      </c>
      <c r="AN456" s="297">
        <v>49224958</v>
      </c>
      <c r="AO456" s="297">
        <v>84658434</v>
      </c>
      <c r="AP456" s="297">
        <v>0</v>
      </c>
      <c r="AQ456" s="296"/>
      <c r="AR456" s="297">
        <f t="shared" si="180"/>
        <v>157178180</v>
      </c>
      <c r="AS456" s="313" t="s">
        <v>137</v>
      </c>
      <c r="AT456" s="313" t="s">
        <v>137</v>
      </c>
      <c r="AU456" s="176" t="s">
        <v>138</v>
      </c>
    </row>
    <row r="457" spans="1:49" s="218" customFormat="1" ht="25.5" customHeight="1" outlineLevel="2">
      <c r="A457" s="215" t="s">
        <v>125</v>
      </c>
      <c r="B457" s="191">
        <v>33</v>
      </c>
      <c r="C457" s="191" t="s">
        <v>128</v>
      </c>
      <c r="D457" s="246" t="s">
        <v>149</v>
      </c>
      <c r="E457" s="191" t="s">
        <v>130</v>
      </c>
      <c r="F457" s="191" t="s">
        <v>140</v>
      </c>
      <c r="G457" s="191" t="s">
        <v>34</v>
      </c>
      <c r="H457" s="191" t="s">
        <v>60</v>
      </c>
      <c r="I457" s="258">
        <v>22</v>
      </c>
      <c r="J457" s="191" t="s">
        <v>83</v>
      </c>
      <c r="K457" s="192" t="s">
        <v>132</v>
      </c>
      <c r="L457" s="246" t="s">
        <v>83</v>
      </c>
      <c r="M457" s="861" t="s">
        <v>1604</v>
      </c>
      <c r="N457" s="246"/>
      <c r="O457" s="245" t="s">
        <v>183</v>
      </c>
      <c r="P457" s="246"/>
      <c r="Q457" s="192" t="s">
        <v>184</v>
      </c>
      <c r="R457" s="276"/>
      <c r="S457" s="277"/>
      <c r="T457" s="276"/>
      <c r="U457" s="276"/>
      <c r="V457" s="276"/>
      <c r="W457" s="276"/>
      <c r="X457" s="277"/>
      <c r="Y457" s="194">
        <v>100000000</v>
      </c>
      <c r="Z457" s="194">
        <f>+FRIL!J673</f>
        <v>0</v>
      </c>
      <c r="AA457" s="298"/>
      <c r="AB457" s="299">
        <v>100000000</v>
      </c>
      <c r="AC457" s="299">
        <f t="shared" si="165"/>
        <v>0</v>
      </c>
      <c r="AD457" s="299">
        <f>+AB457-AC457</f>
        <v>100000000</v>
      </c>
      <c r="AE457" s="299">
        <v>0</v>
      </c>
      <c r="AF457" s="299">
        <v>0</v>
      </c>
      <c r="AG457" s="299">
        <v>0</v>
      </c>
      <c r="AH457" s="299">
        <v>0</v>
      </c>
      <c r="AI457" s="299">
        <v>0</v>
      </c>
      <c r="AJ457" s="297">
        <v>0</v>
      </c>
      <c r="AK457" s="299">
        <v>0</v>
      </c>
      <c r="AL457" s="299">
        <v>0</v>
      </c>
      <c r="AM457" s="299">
        <v>0</v>
      </c>
      <c r="AN457" s="299">
        <v>0</v>
      </c>
      <c r="AO457" s="297">
        <v>0</v>
      </c>
      <c r="AP457" s="299">
        <v>0</v>
      </c>
      <c r="AQ457" s="298"/>
      <c r="AR457" s="299">
        <f t="shared" si="180"/>
        <v>0</v>
      </c>
      <c r="AS457" s="314" t="s">
        <v>185</v>
      </c>
      <c r="AT457" s="314" t="s">
        <v>83</v>
      </c>
      <c r="AU457" s="192" t="s">
        <v>138</v>
      </c>
    </row>
    <row r="458" spans="1:49" s="218" customFormat="1" ht="25.5" customHeight="1" outlineLevel="2">
      <c r="A458" s="215" t="s">
        <v>125</v>
      </c>
      <c r="B458" s="151">
        <v>33</v>
      </c>
      <c r="C458" s="151" t="s">
        <v>128</v>
      </c>
      <c r="D458" s="245" t="s">
        <v>149</v>
      </c>
      <c r="E458" s="151" t="s">
        <v>130</v>
      </c>
      <c r="F458" s="151" t="s">
        <v>140</v>
      </c>
      <c r="G458" s="151" t="s">
        <v>34</v>
      </c>
      <c r="H458" s="151" t="s">
        <v>60</v>
      </c>
      <c r="I458" s="256">
        <v>22</v>
      </c>
      <c r="J458" s="151" t="s">
        <v>83</v>
      </c>
      <c r="K458" s="176" t="s">
        <v>132</v>
      </c>
      <c r="L458" s="245" t="s">
        <v>83</v>
      </c>
      <c r="M458" s="855"/>
      <c r="N458" s="245"/>
      <c r="O458" s="245" t="s">
        <v>183</v>
      </c>
      <c r="P458" s="245"/>
      <c r="Q458" s="176" t="s">
        <v>770</v>
      </c>
      <c r="R458" s="273"/>
      <c r="S458" s="274"/>
      <c r="T458" s="273"/>
      <c r="U458" s="273"/>
      <c r="V458" s="273"/>
      <c r="W458" s="273"/>
      <c r="X458" s="274"/>
      <c r="Y458" s="275">
        <v>200000000</v>
      </c>
      <c r="Z458" s="275">
        <f>+FRIL!J674</f>
        <v>0</v>
      </c>
      <c r="AA458" s="296"/>
      <c r="AB458" s="297">
        <v>200000000</v>
      </c>
      <c r="AC458" s="297">
        <f t="shared" si="165"/>
        <v>107103667</v>
      </c>
      <c r="AD458" s="297">
        <f>+AB458-AC458</f>
        <v>92896333</v>
      </c>
      <c r="AE458" s="297">
        <v>0</v>
      </c>
      <c r="AF458" s="297">
        <v>0</v>
      </c>
      <c r="AG458" s="297">
        <v>0</v>
      </c>
      <c r="AH458" s="297">
        <v>0</v>
      </c>
      <c r="AI458" s="297">
        <v>0</v>
      </c>
      <c r="AJ458" s="297">
        <v>8476830</v>
      </c>
      <c r="AK458" s="297">
        <v>24420645</v>
      </c>
      <c r="AL458" s="297">
        <v>2115172</v>
      </c>
      <c r="AM458" s="297">
        <v>24308361</v>
      </c>
      <c r="AN458" s="297">
        <v>47782659</v>
      </c>
      <c r="AO458" s="297">
        <f>+FRIL!L235</f>
        <v>0</v>
      </c>
      <c r="AP458" s="297">
        <v>0</v>
      </c>
      <c r="AQ458" s="296"/>
      <c r="AR458" s="297">
        <f t="shared" si="180"/>
        <v>0</v>
      </c>
      <c r="AS458" s="313" t="s">
        <v>185</v>
      </c>
      <c r="AT458" s="313" t="s">
        <v>83</v>
      </c>
      <c r="AU458" s="176" t="s">
        <v>138</v>
      </c>
    </row>
    <row r="459" spans="1:49" s="217" customFormat="1" ht="25.5" customHeight="1" outlineLevel="1">
      <c r="A459" s="215" t="s">
        <v>125</v>
      </c>
      <c r="B459" s="247"/>
      <c r="C459" s="247"/>
      <c r="D459" s="248"/>
      <c r="E459" s="249"/>
      <c r="F459" s="249"/>
      <c r="G459" s="249"/>
      <c r="H459" s="249"/>
      <c r="I459" s="249"/>
      <c r="J459" s="247"/>
      <c r="K459" s="259"/>
      <c r="L459" s="248"/>
      <c r="M459" s="248"/>
      <c r="N459" s="250"/>
      <c r="O459" s="250"/>
      <c r="P459" s="250"/>
      <c r="Q459" s="260" t="s">
        <v>187</v>
      </c>
      <c r="R459" s="278"/>
      <c r="S459" s="279"/>
      <c r="T459" s="279"/>
      <c r="U459" s="279"/>
      <c r="V459" s="279"/>
      <c r="W459" s="279"/>
      <c r="X459" s="281"/>
      <c r="Y459" s="286">
        <f>+Y454+Y455+Y456+Y457+Y458</f>
        <v>1625815000</v>
      </c>
      <c r="Z459" s="286">
        <f t="shared" ref="Z459:AP459" si="181">+Z454+Z455+Z456+Z457+Z458</f>
        <v>735635858</v>
      </c>
      <c r="AA459" s="303"/>
      <c r="AB459" s="286">
        <f t="shared" si="181"/>
        <v>731125962</v>
      </c>
      <c r="AC459" s="286">
        <f t="shared" si="165"/>
        <v>481838162</v>
      </c>
      <c r="AD459" s="286">
        <f t="shared" si="181"/>
        <v>249287800</v>
      </c>
      <c r="AE459" s="286">
        <f t="shared" si="181"/>
        <v>0</v>
      </c>
      <c r="AF459" s="286">
        <f t="shared" si="181"/>
        <v>0</v>
      </c>
      <c r="AG459" s="286">
        <f t="shared" si="181"/>
        <v>0</v>
      </c>
      <c r="AH459" s="286">
        <f t="shared" si="181"/>
        <v>0</v>
      </c>
      <c r="AI459" s="286">
        <f t="shared" si="181"/>
        <v>0</v>
      </c>
      <c r="AJ459" s="286">
        <v>73079807</v>
      </c>
      <c r="AK459" s="286">
        <v>88078100</v>
      </c>
      <c r="AL459" s="286">
        <v>112802843</v>
      </c>
      <c r="AM459" s="286">
        <f t="shared" si="181"/>
        <v>26211361</v>
      </c>
      <c r="AN459" s="286">
        <f t="shared" si="181"/>
        <v>97007617</v>
      </c>
      <c r="AO459" s="286">
        <f t="shared" si="181"/>
        <v>84658434</v>
      </c>
      <c r="AP459" s="286">
        <f t="shared" si="181"/>
        <v>0</v>
      </c>
      <c r="AQ459" s="287"/>
      <c r="AR459" s="286">
        <f t="shared" si="180"/>
        <v>159053180</v>
      </c>
      <c r="AS459" s="315"/>
      <c r="AT459" s="315"/>
      <c r="AU459" s="220"/>
    </row>
    <row r="460" spans="1:49" ht="18.75" customHeight="1" outlineLevel="1">
      <c r="A460" s="215" t="s">
        <v>125</v>
      </c>
      <c r="B460" s="249"/>
      <c r="C460" s="249"/>
      <c r="D460" s="250"/>
      <c r="E460" s="249"/>
      <c r="F460" s="249"/>
      <c r="G460" s="249"/>
      <c r="H460" s="249"/>
      <c r="I460" s="249"/>
      <c r="J460" s="249"/>
      <c r="K460" s="261"/>
      <c r="L460" s="250"/>
      <c r="M460" s="250"/>
      <c r="N460" s="250"/>
      <c r="O460" s="250"/>
      <c r="P460" s="250"/>
      <c r="Q460" s="261"/>
      <c r="R460" s="283"/>
      <c r="S460" s="283"/>
      <c r="T460" s="283"/>
      <c r="U460" s="283"/>
      <c r="V460" s="283"/>
      <c r="W460" s="283"/>
      <c r="X460" s="283"/>
      <c r="Y460" s="284"/>
      <c r="Z460" s="284"/>
      <c r="AA460" s="301"/>
      <c r="AB460" s="301"/>
      <c r="AC460" s="301"/>
      <c r="AD460" s="301"/>
      <c r="AE460" s="301"/>
      <c r="AF460" s="301"/>
      <c r="AG460" s="301"/>
      <c r="AH460" s="301"/>
      <c r="AI460" s="301"/>
      <c r="AJ460" s="301"/>
      <c r="AK460" s="301"/>
      <c r="AL460" s="301"/>
      <c r="AM460" s="301"/>
      <c r="AN460" s="301"/>
      <c r="AO460" s="301"/>
      <c r="AP460" s="301"/>
      <c r="AQ460" s="301"/>
      <c r="AR460" s="301"/>
      <c r="AS460" s="316"/>
      <c r="AT460" s="316"/>
      <c r="AU460" s="317"/>
    </row>
    <row r="461" spans="1:49" s="217" customFormat="1" ht="25.5" customHeight="1" outlineLevel="1">
      <c r="A461" s="215" t="s">
        <v>125</v>
      </c>
      <c r="B461" s="247"/>
      <c r="C461" s="247"/>
      <c r="D461" s="248"/>
      <c r="E461" s="249"/>
      <c r="F461" s="249"/>
      <c r="G461" s="249"/>
      <c r="H461" s="249"/>
      <c r="I461" s="249"/>
      <c r="J461" s="247"/>
      <c r="K461" s="259"/>
      <c r="L461" s="248"/>
      <c r="M461" s="248"/>
      <c r="N461" s="250"/>
      <c r="O461" s="250"/>
      <c r="P461" s="250"/>
      <c r="Q461" s="99" t="s">
        <v>188</v>
      </c>
      <c r="R461" s="283"/>
      <c r="S461" s="283"/>
      <c r="T461" s="283"/>
      <c r="U461" s="283"/>
      <c r="V461" s="283"/>
      <c r="W461" s="283"/>
      <c r="X461" s="283"/>
      <c r="Y461" s="285"/>
      <c r="Z461" s="285"/>
      <c r="AA461" s="302"/>
      <c r="AB461" s="302"/>
      <c r="AC461" s="302"/>
      <c r="AD461" s="302"/>
      <c r="AE461" s="302"/>
      <c r="AF461" s="302"/>
      <c r="AG461" s="302"/>
      <c r="AH461" s="301"/>
      <c r="AI461" s="301"/>
      <c r="AJ461" s="301"/>
      <c r="AK461" s="301"/>
      <c r="AL461" s="301"/>
      <c r="AM461" s="301"/>
      <c r="AN461" s="301"/>
      <c r="AO461" s="301"/>
      <c r="AP461" s="301"/>
      <c r="AQ461" s="302"/>
      <c r="AR461" s="302"/>
      <c r="AS461" s="315"/>
      <c r="AT461" s="315"/>
      <c r="AU461" s="220"/>
    </row>
    <row r="462" spans="1:49" s="217" customFormat="1" ht="25.5" customHeight="1" outlineLevel="1">
      <c r="A462" s="215" t="s">
        <v>125</v>
      </c>
      <c r="B462" s="151">
        <v>29</v>
      </c>
      <c r="C462" s="151" t="s">
        <v>196</v>
      </c>
      <c r="D462" s="245" t="s">
        <v>129</v>
      </c>
      <c r="E462" s="151" t="s">
        <v>169</v>
      </c>
      <c r="F462" s="151" t="s">
        <v>131</v>
      </c>
      <c r="G462" s="151" t="s">
        <v>34</v>
      </c>
      <c r="H462" s="151" t="s">
        <v>60</v>
      </c>
      <c r="I462" s="256">
        <v>22</v>
      </c>
      <c r="J462" s="151" t="s">
        <v>81</v>
      </c>
      <c r="K462" s="176" t="s">
        <v>132</v>
      </c>
      <c r="L462" s="245">
        <v>40018060</v>
      </c>
      <c r="M462" s="855"/>
      <c r="N462" s="245"/>
      <c r="O462" s="245" t="s">
        <v>771</v>
      </c>
      <c r="P462" s="245"/>
      <c r="Q462" s="176" t="s">
        <v>772</v>
      </c>
      <c r="R462" s="273" t="s">
        <v>773</v>
      </c>
      <c r="S462" s="274"/>
      <c r="T462" s="273"/>
      <c r="U462" s="273" t="s">
        <v>1503</v>
      </c>
      <c r="V462" s="273">
        <v>86500000</v>
      </c>
      <c r="W462" s="273"/>
      <c r="X462" s="274"/>
      <c r="Y462" s="275">
        <v>86500000</v>
      </c>
      <c r="Z462" s="275">
        <v>0</v>
      </c>
      <c r="AA462" s="296"/>
      <c r="AB462" s="297">
        <v>86500000</v>
      </c>
      <c r="AC462" s="297">
        <f t="shared" si="165"/>
        <v>0</v>
      </c>
      <c r="AD462" s="297">
        <f>+AB462-AC462</f>
        <v>86500000</v>
      </c>
      <c r="AE462" s="297">
        <v>0</v>
      </c>
      <c r="AF462" s="297">
        <v>0</v>
      </c>
      <c r="AG462" s="297">
        <v>0</v>
      </c>
      <c r="AH462" s="297">
        <v>0</v>
      </c>
      <c r="AI462" s="297">
        <v>0</v>
      </c>
      <c r="AJ462" s="297">
        <v>0</v>
      </c>
      <c r="AK462" s="297">
        <v>0</v>
      </c>
      <c r="AL462" s="297">
        <v>0</v>
      </c>
      <c r="AM462" s="297">
        <v>0</v>
      </c>
      <c r="AN462" s="297">
        <v>0</v>
      </c>
      <c r="AO462" s="297">
        <v>0</v>
      </c>
      <c r="AP462" s="297">
        <v>0</v>
      </c>
      <c r="AQ462" s="296"/>
      <c r="AR462" s="297">
        <f>+Y462-Z462-AC462-AD462</f>
        <v>0</v>
      </c>
      <c r="AS462" s="313" t="s">
        <v>148</v>
      </c>
      <c r="AT462" s="313" t="s">
        <v>1464</v>
      </c>
      <c r="AU462" s="176" t="s">
        <v>195</v>
      </c>
      <c r="AW462" s="817" t="s">
        <v>1552</v>
      </c>
    </row>
    <row r="463" spans="1:49" s="217" customFormat="1" ht="25.5" customHeight="1" outlineLevel="1">
      <c r="A463" s="215" t="s">
        <v>125</v>
      </c>
      <c r="B463" s="247"/>
      <c r="C463" s="247"/>
      <c r="D463" s="248"/>
      <c r="E463" s="249"/>
      <c r="F463" s="249"/>
      <c r="G463" s="249"/>
      <c r="H463" s="249"/>
      <c r="I463" s="249"/>
      <c r="J463" s="247"/>
      <c r="K463" s="259"/>
      <c r="L463" s="248"/>
      <c r="M463" s="248"/>
      <c r="N463" s="250"/>
      <c r="O463" s="250"/>
      <c r="P463" s="250"/>
      <c r="Q463" s="260" t="s">
        <v>201</v>
      </c>
      <c r="R463" s="278"/>
      <c r="S463" s="279"/>
      <c r="T463" s="279"/>
      <c r="U463" s="279"/>
      <c r="V463" s="279"/>
      <c r="W463" s="279"/>
      <c r="X463" s="281"/>
      <c r="Y463" s="286">
        <f>+Y462</f>
        <v>86500000</v>
      </c>
      <c r="Z463" s="286">
        <f t="shared" ref="Z463:AP463" si="182">+Z462</f>
        <v>0</v>
      </c>
      <c r="AA463" s="303"/>
      <c r="AB463" s="286">
        <f t="shared" si="182"/>
        <v>86500000</v>
      </c>
      <c r="AC463" s="286">
        <f t="shared" si="165"/>
        <v>0</v>
      </c>
      <c r="AD463" s="286">
        <f t="shared" si="182"/>
        <v>86500000</v>
      </c>
      <c r="AE463" s="286">
        <f t="shared" si="182"/>
        <v>0</v>
      </c>
      <c r="AF463" s="286">
        <f t="shared" si="182"/>
        <v>0</v>
      </c>
      <c r="AG463" s="286">
        <f t="shared" si="182"/>
        <v>0</v>
      </c>
      <c r="AH463" s="286">
        <f t="shared" si="182"/>
        <v>0</v>
      </c>
      <c r="AI463" s="286">
        <f t="shared" si="182"/>
        <v>0</v>
      </c>
      <c r="AJ463" s="286">
        <v>0</v>
      </c>
      <c r="AK463" s="286">
        <v>0</v>
      </c>
      <c r="AL463" s="286">
        <v>0</v>
      </c>
      <c r="AM463" s="286">
        <f t="shared" si="182"/>
        <v>0</v>
      </c>
      <c r="AN463" s="286">
        <f t="shared" si="182"/>
        <v>0</v>
      </c>
      <c r="AO463" s="286">
        <f t="shared" si="182"/>
        <v>0</v>
      </c>
      <c r="AP463" s="286">
        <f t="shared" si="182"/>
        <v>0</v>
      </c>
      <c r="AQ463" s="287"/>
      <c r="AR463" s="286">
        <f>+Y463-Z463-AC463-AD463</f>
        <v>0</v>
      </c>
      <c r="AS463" s="315"/>
      <c r="AT463" s="315"/>
      <c r="AU463" s="220"/>
    </row>
    <row r="464" spans="1:49" ht="18.75" customHeight="1" outlineLevel="1">
      <c r="A464" s="215" t="s">
        <v>125</v>
      </c>
      <c r="B464" s="249"/>
      <c r="C464" s="249"/>
      <c r="D464" s="250"/>
      <c r="E464" s="249"/>
      <c r="F464" s="249"/>
      <c r="G464" s="249"/>
      <c r="H464" s="249"/>
      <c r="I464" s="249"/>
      <c r="J464" s="249"/>
      <c r="K464" s="261"/>
      <c r="L464" s="250"/>
      <c r="M464" s="250"/>
      <c r="N464" s="250"/>
      <c r="O464" s="250"/>
      <c r="P464" s="250"/>
      <c r="Q464" s="261"/>
      <c r="R464" s="283"/>
      <c r="S464" s="283"/>
      <c r="T464" s="283"/>
      <c r="U464" s="283"/>
      <c r="V464" s="283"/>
      <c r="W464" s="283"/>
      <c r="X464" s="283"/>
      <c r="Y464" s="284"/>
      <c r="Z464" s="284"/>
      <c r="AA464" s="301"/>
      <c r="AB464" s="301"/>
      <c r="AC464" s="301"/>
      <c r="AD464" s="301"/>
      <c r="AE464" s="301"/>
      <c r="AF464" s="301"/>
      <c r="AG464" s="301"/>
      <c r="AH464" s="301"/>
      <c r="AI464" s="301"/>
      <c r="AJ464" s="301"/>
      <c r="AK464" s="301"/>
      <c r="AL464" s="301"/>
      <c r="AM464" s="301"/>
      <c r="AN464" s="301"/>
      <c r="AO464" s="301"/>
      <c r="AP464" s="301"/>
      <c r="AQ464" s="301"/>
      <c r="AR464" s="301"/>
      <c r="AS464" s="316"/>
      <c r="AT464" s="316"/>
      <c r="AU464" s="317"/>
    </row>
    <row r="465" spans="1:47" s="219" customFormat="1" ht="24.75" customHeight="1" outlineLevel="1">
      <c r="A465" s="215" t="s">
        <v>125</v>
      </c>
      <c r="B465" s="251"/>
      <c r="C465" s="249"/>
      <c r="D465" s="250"/>
      <c r="E465" s="249"/>
      <c r="F465" s="249"/>
      <c r="G465" s="249"/>
      <c r="H465" s="249"/>
      <c r="I465" s="249"/>
      <c r="J465" s="251"/>
      <c r="K465" s="263"/>
      <c r="L465" s="252"/>
      <c r="M465" s="252"/>
      <c r="N465" s="252"/>
      <c r="O465" s="252"/>
      <c r="P465" s="252"/>
      <c r="Q465" s="117" t="s">
        <v>774</v>
      </c>
      <c r="R465" s="288"/>
      <c r="S465" s="289"/>
      <c r="T465" s="289"/>
      <c r="U465" s="289"/>
      <c r="V465" s="289"/>
      <c r="W465" s="289"/>
      <c r="X465" s="290"/>
      <c r="Y465" s="118">
        <f>+Y459+Y463</f>
        <v>1712315000</v>
      </c>
      <c r="Z465" s="118">
        <f>+Z459+Z463</f>
        <v>735635858</v>
      </c>
      <c r="AA465" s="304"/>
      <c r="AB465" s="118">
        <f t="shared" ref="AB465:AD465" si="183">+AB459+AB463</f>
        <v>817625962</v>
      </c>
      <c r="AC465" s="118">
        <f t="shared" si="183"/>
        <v>481838162</v>
      </c>
      <c r="AD465" s="118">
        <f t="shared" si="183"/>
        <v>335787800</v>
      </c>
      <c r="AE465" s="118">
        <f>+AE459+AE463</f>
        <v>0</v>
      </c>
      <c r="AF465" s="118">
        <f t="shared" ref="AF465:AP465" si="184">+AF459+AF463</f>
        <v>0</v>
      </c>
      <c r="AG465" s="118">
        <f t="shared" si="184"/>
        <v>0</v>
      </c>
      <c r="AH465" s="118">
        <f t="shared" si="184"/>
        <v>0</v>
      </c>
      <c r="AI465" s="118">
        <f t="shared" si="184"/>
        <v>0</v>
      </c>
      <c r="AJ465" s="118">
        <v>73079807</v>
      </c>
      <c r="AK465" s="118">
        <f t="shared" si="184"/>
        <v>88078100</v>
      </c>
      <c r="AL465" s="118">
        <f t="shared" si="184"/>
        <v>112802843</v>
      </c>
      <c r="AM465" s="118">
        <f t="shared" si="184"/>
        <v>26211361</v>
      </c>
      <c r="AN465" s="118">
        <f t="shared" si="184"/>
        <v>97007617</v>
      </c>
      <c r="AO465" s="118">
        <f t="shared" si="184"/>
        <v>84658434</v>
      </c>
      <c r="AP465" s="118">
        <f t="shared" si="184"/>
        <v>0</v>
      </c>
      <c r="AQ465" s="318"/>
      <c r="AR465" s="118">
        <f>+Y465-Z465-AC465-AD465</f>
        <v>159053180</v>
      </c>
      <c r="AS465" s="333"/>
      <c r="AT465" s="333"/>
      <c r="AU465" s="320"/>
    </row>
    <row r="466" spans="1:47" ht="18.75" customHeight="1" outlineLevel="1">
      <c r="A466" s="215" t="s">
        <v>125</v>
      </c>
      <c r="B466" s="249"/>
      <c r="C466" s="249"/>
      <c r="D466" s="250"/>
      <c r="E466" s="249"/>
      <c r="F466" s="249"/>
      <c r="G466" s="249"/>
      <c r="H466" s="249"/>
      <c r="I466" s="249"/>
      <c r="J466" s="249"/>
      <c r="K466" s="261"/>
      <c r="L466" s="250"/>
      <c r="M466" s="250"/>
      <c r="N466" s="250"/>
      <c r="O466" s="250"/>
      <c r="P466" s="250"/>
      <c r="Q466" s="261"/>
      <c r="R466" s="283"/>
      <c r="S466" s="283"/>
      <c r="T466" s="283"/>
      <c r="U466" s="283"/>
      <c r="V466" s="283"/>
      <c r="W466" s="283"/>
      <c r="X466" s="283"/>
      <c r="Y466" s="284"/>
      <c r="Z466" s="284"/>
      <c r="AA466" s="301"/>
      <c r="AB466" s="301"/>
      <c r="AC466" s="301"/>
      <c r="AD466" s="301"/>
      <c r="AE466" s="301"/>
      <c r="AF466" s="301"/>
      <c r="AG466" s="301"/>
      <c r="AH466" s="301"/>
      <c r="AI466" s="301"/>
      <c r="AJ466" s="301"/>
      <c r="AK466" s="301"/>
      <c r="AL466" s="301"/>
      <c r="AM466" s="301"/>
      <c r="AN466" s="301"/>
      <c r="AO466" s="301"/>
      <c r="AP466" s="301"/>
      <c r="AQ466" s="301"/>
      <c r="AR466" s="301"/>
      <c r="AS466" s="316"/>
      <c r="AT466" s="316"/>
      <c r="AU466" s="317"/>
    </row>
    <row r="467" spans="1:47" ht="26.25" customHeight="1" outlineLevel="1">
      <c r="A467" s="215" t="s">
        <v>125</v>
      </c>
      <c r="B467" s="249"/>
      <c r="C467" s="249"/>
      <c r="D467" s="250"/>
      <c r="E467" s="249"/>
      <c r="F467" s="249"/>
      <c r="G467" s="249"/>
      <c r="H467" s="249"/>
      <c r="I467" s="249"/>
      <c r="J467" s="249"/>
      <c r="K467" s="261"/>
      <c r="L467" s="250"/>
      <c r="M467" s="250"/>
      <c r="N467" s="250"/>
      <c r="O467" s="250"/>
      <c r="P467" s="250"/>
      <c r="Q467" s="264" t="s">
        <v>775</v>
      </c>
      <c r="R467" s="283"/>
      <c r="S467" s="283"/>
      <c r="T467" s="283"/>
      <c r="U467" s="283"/>
      <c r="V467" s="283"/>
      <c r="W467" s="283"/>
      <c r="X467" s="283"/>
      <c r="Y467" s="284"/>
      <c r="Z467" s="284"/>
      <c r="AA467" s="301"/>
      <c r="AB467" s="301"/>
      <c r="AC467" s="301"/>
      <c r="AD467" s="301"/>
      <c r="AE467" s="301"/>
      <c r="AF467" s="301"/>
      <c r="AG467" s="301"/>
      <c r="AH467" s="301"/>
      <c r="AI467" s="301"/>
      <c r="AJ467" s="301"/>
      <c r="AK467" s="301"/>
      <c r="AL467" s="301"/>
      <c r="AM467" s="301"/>
      <c r="AN467" s="301"/>
      <c r="AO467" s="301"/>
      <c r="AP467" s="301"/>
      <c r="AQ467" s="301"/>
      <c r="AR467" s="301"/>
      <c r="AS467" s="316"/>
      <c r="AT467" s="316"/>
      <c r="AU467" s="317"/>
    </row>
    <row r="468" spans="1:47" s="216" customFormat="1" ht="15" customHeight="1" outlineLevel="1">
      <c r="A468" s="215" t="s">
        <v>125</v>
      </c>
      <c r="B468" s="249"/>
      <c r="C468" s="249"/>
      <c r="D468" s="250"/>
      <c r="E468" s="249"/>
      <c r="F468" s="249"/>
      <c r="G468" s="249"/>
      <c r="H468" s="249"/>
      <c r="I468" s="249"/>
      <c r="J468" s="249"/>
      <c r="K468" s="261"/>
      <c r="L468" s="250"/>
      <c r="M468" s="250"/>
      <c r="N468" s="250"/>
      <c r="O468" s="250"/>
      <c r="P468" s="250"/>
      <c r="Q468" s="255"/>
      <c r="R468" s="283"/>
      <c r="S468" s="283"/>
      <c r="T468" s="283"/>
      <c r="U468" s="283"/>
      <c r="V468" s="283"/>
      <c r="W468" s="283"/>
      <c r="X468" s="283"/>
      <c r="Y468" s="284"/>
      <c r="Z468" s="284"/>
      <c r="AA468" s="301"/>
      <c r="AB468" s="301"/>
      <c r="AC468" s="301"/>
      <c r="AD468" s="301"/>
      <c r="AE468" s="301"/>
      <c r="AF468" s="301"/>
      <c r="AG468" s="301"/>
      <c r="AH468" s="301"/>
      <c r="AI468" s="301"/>
      <c r="AJ468" s="301"/>
      <c r="AK468" s="301"/>
      <c r="AL468" s="301"/>
      <c r="AM468" s="301"/>
      <c r="AN468" s="301"/>
      <c r="AO468" s="301"/>
      <c r="AP468" s="301"/>
      <c r="AQ468" s="301"/>
      <c r="AR468" s="301"/>
      <c r="AS468" s="316"/>
      <c r="AT468" s="316"/>
      <c r="AU468" s="317"/>
    </row>
    <row r="469" spans="1:47" s="217" customFormat="1" ht="25.5" customHeight="1" outlineLevel="1">
      <c r="A469" s="215" t="s">
        <v>125</v>
      </c>
      <c r="B469" s="247"/>
      <c r="C469" s="247"/>
      <c r="D469" s="248"/>
      <c r="E469" s="249"/>
      <c r="F469" s="249"/>
      <c r="G469" s="249"/>
      <c r="H469" s="249"/>
      <c r="I469" s="249"/>
      <c r="J469" s="247"/>
      <c r="K469" s="259"/>
      <c r="L469" s="248"/>
      <c r="M469" s="248"/>
      <c r="N469" s="250"/>
      <c r="O469" s="250"/>
      <c r="P469" s="250"/>
      <c r="Q469" s="99" t="s">
        <v>127</v>
      </c>
      <c r="R469" s="283"/>
      <c r="S469" s="283"/>
      <c r="T469" s="283"/>
      <c r="U469" s="283"/>
      <c r="V469" s="283"/>
      <c r="W469" s="283"/>
      <c r="X469" s="283"/>
      <c r="Y469" s="285"/>
      <c r="Z469" s="285"/>
      <c r="AA469" s="302"/>
      <c r="AB469" s="302"/>
      <c r="AC469" s="302"/>
      <c r="AD469" s="302"/>
      <c r="AE469" s="302"/>
      <c r="AF469" s="302"/>
      <c r="AG469" s="302"/>
      <c r="AH469" s="301"/>
      <c r="AI469" s="301"/>
      <c r="AJ469" s="301"/>
      <c r="AK469" s="301"/>
      <c r="AL469" s="301"/>
      <c r="AM469" s="301"/>
      <c r="AN469" s="301"/>
      <c r="AO469" s="301"/>
      <c r="AP469" s="301"/>
      <c r="AQ469" s="302"/>
      <c r="AR469" s="302"/>
      <c r="AS469" s="315"/>
      <c r="AT469" s="315"/>
      <c r="AU469" s="220"/>
    </row>
    <row r="470" spans="1:47" s="218" customFormat="1" ht="25.5" customHeight="1" outlineLevel="2">
      <c r="A470" s="215" t="s">
        <v>125</v>
      </c>
      <c r="B470" s="151">
        <v>31</v>
      </c>
      <c r="C470" s="151" t="s">
        <v>128</v>
      </c>
      <c r="D470" s="245" t="s">
        <v>168</v>
      </c>
      <c r="E470" s="151" t="s">
        <v>169</v>
      </c>
      <c r="F470" s="151" t="s">
        <v>397</v>
      </c>
      <c r="G470" s="151" t="s">
        <v>34</v>
      </c>
      <c r="H470" s="151" t="s">
        <v>61</v>
      </c>
      <c r="I470" s="256">
        <v>23</v>
      </c>
      <c r="J470" s="400" t="s">
        <v>80</v>
      </c>
      <c r="K470" s="176" t="s">
        <v>132</v>
      </c>
      <c r="L470" s="245">
        <v>30395727</v>
      </c>
      <c r="M470" s="855"/>
      <c r="N470" s="245" t="s">
        <v>652</v>
      </c>
      <c r="O470" s="245" t="s">
        <v>776</v>
      </c>
      <c r="P470" s="245"/>
      <c r="Q470" s="176" t="s">
        <v>777</v>
      </c>
      <c r="R470" s="273"/>
      <c r="S470" s="274"/>
      <c r="T470" s="273"/>
      <c r="U470" s="273"/>
      <c r="V470" s="273"/>
      <c r="W470" s="273"/>
      <c r="X470" s="274"/>
      <c r="Y470" s="275">
        <v>566452000</v>
      </c>
      <c r="Z470" s="275">
        <v>480021119</v>
      </c>
      <c r="AA470" s="296"/>
      <c r="AB470" s="297">
        <f>5530648+38076257+42823976</f>
        <v>86430881</v>
      </c>
      <c r="AC470" s="297">
        <f t="shared" ref="AC470:AC509" si="185">SUBTOTAL(9,AE470:AP470)</f>
        <v>78062710</v>
      </c>
      <c r="AD470" s="297">
        <f t="shared" ref="AD470:AD475" si="186">+AB470-AC470</f>
        <v>8368171</v>
      </c>
      <c r="AE470" s="297">
        <v>0</v>
      </c>
      <c r="AF470" s="297">
        <v>0</v>
      </c>
      <c r="AG470" s="297">
        <v>0</v>
      </c>
      <c r="AH470" s="297">
        <v>0</v>
      </c>
      <c r="AI470" s="297">
        <v>0</v>
      </c>
      <c r="AJ470" s="297">
        <v>0</v>
      </c>
      <c r="AK470" s="297">
        <v>0</v>
      </c>
      <c r="AL470" s="297">
        <v>0</v>
      </c>
      <c r="AM470" s="297">
        <v>13565802</v>
      </c>
      <c r="AN470" s="297">
        <v>0</v>
      </c>
      <c r="AO470" s="297">
        <v>20890003</v>
      </c>
      <c r="AP470" s="297">
        <v>43606905</v>
      </c>
      <c r="AQ470" s="296"/>
      <c r="AR470" s="297">
        <f t="shared" ref="AR470:AR476" si="187">+Y470-Z470-AC470-AD470</f>
        <v>0</v>
      </c>
      <c r="AS470" s="313" t="s">
        <v>137</v>
      </c>
      <c r="AT470" s="313" t="s">
        <v>137</v>
      </c>
      <c r="AU470" s="176" t="s">
        <v>138</v>
      </c>
    </row>
    <row r="471" spans="1:47" s="218" customFormat="1" ht="25.5" customHeight="1" outlineLevel="2">
      <c r="A471" s="215" t="s">
        <v>125</v>
      </c>
      <c r="B471" s="151">
        <v>31</v>
      </c>
      <c r="C471" s="151" t="s">
        <v>128</v>
      </c>
      <c r="D471" s="245" t="s">
        <v>159</v>
      </c>
      <c r="E471" s="151" t="s">
        <v>169</v>
      </c>
      <c r="F471" s="151" t="s">
        <v>140</v>
      </c>
      <c r="G471" s="151" t="s">
        <v>34</v>
      </c>
      <c r="H471" s="151" t="s">
        <v>61</v>
      </c>
      <c r="I471" s="256">
        <v>23</v>
      </c>
      <c r="J471" s="151" t="s">
        <v>80</v>
      </c>
      <c r="K471" s="176" t="s">
        <v>132</v>
      </c>
      <c r="L471" s="245">
        <v>30134014</v>
      </c>
      <c r="M471" s="855"/>
      <c r="N471" s="245" t="s">
        <v>656</v>
      </c>
      <c r="O471" s="245" t="s">
        <v>778</v>
      </c>
      <c r="P471" s="245"/>
      <c r="Q471" s="176" t="s">
        <v>779</v>
      </c>
      <c r="R471" s="273"/>
      <c r="S471" s="274"/>
      <c r="T471" s="273"/>
      <c r="U471" s="273"/>
      <c r="V471" s="273"/>
      <c r="W471" s="273"/>
      <c r="X471" s="274"/>
      <c r="Y471" s="275">
        <v>368365000</v>
      </c>
      <c r="Z471" s="275">
        <v>63846643</v>
      </c>
      <c r="AA471" s="296"/>
      <c r="AB471" s="297">
        <f>35938720-12199264</f>
        <v>23739456</v>
      </c>
      <c r="AC471" s="297">
        <f t="shared" si="185"/>
        <v>0</v>
      </c>
      <c r="AD471" s="297">
        <f t="shared" si="186"/>
        <v>23739456</v>
      </c>
      <c r="AE471" s="297">
        <v>0</v>
      </c>
      <c r="AF471" s="297">
        <v>0</v>
      </c>
      <c r="AG471" s="297">
        <v>0</v>
      </c>
      <c r="AH471" s="297">
        <v>0</v>
      </c>
      <c r="AI471" s="297">
        <v>0</v>
      </c>
      <c r="AJ471" s="297">
        <v>0</v>
      </c>
      <c r="AK471" s="297">
        <v>0</v>
      </c>
      <c r="AL471" s="297">
        <v>0</v>
      </c>
      <c r="AM471" s="297">
        <v>0</v>
      </c>
      <c r="AN471" s="297">
        <v>0</v>
      </c>
      <c r="AO471" s="297">
        <v>0</v>
      </c>
      <c r="AP471" s="297">
        <v>0</v>
      </c>
      <c r="AQ471" s="296"/>
      <c r="AR471" s="297">
        <f t="shared" si="187"/>
        <v>280778901</v>
      </c>
      <c r="AS471" s="313" t="s">
        <v>137</v>
      </c>
      <c r="AT471" s="313" t="s">
        <v>137</v>
      </c>
      <c r="AU471" s="176" t="s">
        <v>138</v>
      </c>
    </row>
    <row r="472" spans="1:47" s="218" customFormat="1" ht="25.5" customHeight="1" outlineLevel="2">
      <c r="A472" s="215" t="s">
        <v>125</v>
      </c>
      <c r="B472" s="151">
        <v>31</v>
      </c>
      <c r="C472" s="151" t="s">
        <v>128</v>
      </c>
      <c r="D472" s="245" t="s">
        <v>149</v>
      </c>
      <c r="E472" s="151" t="s">
        <v>130</v>
      </c>
      <c r="F472" s="151" t="s">
        <v>140</v>
      </c>
      <c r="G472" s="151" t="s">
        <v>34</v>
      </c>
      <c r="H472" s="151" t="s">
        <v>61</v>
      </c>
      <c r="I472" s="256">
        <v>23</v>
      </c>
      <c r="J472" s="151" t="s">
        <v>80</v>
      </c>
      <c r="K472" s="176" t="s">
        <v>202</v>
      </c>
      <c r="L472" s="245">
        <v>30129912</v>
      </c>
      <c r="M472" s="855"/>
      <c r="N472" s="245" t="s">
        <v>656</v>
      </c>
      <c r="O472" s="245" t="s">
        <v>780</v>
      </c>
      <c r="P472" s="245"/>
      <c r="Q472" s="176" t="s">
        <v>781</v>
      </c>
      <c r="R472" s="273"/>
      <c r="S472" s="274"/>
      <c r="T472" s="273"/>
      <c r="U472" s="273"/>
      <c r="V472" s="273"/>
      <c r="W472" s="273"/>
      <c r="X472" s="274"/>
      <c r="Y472" s="275">
        <v>96890200</v>
      </c>
      <c r="Z472" s="275">
        <v>58512850</v>
      </c>
      <c r="AA472" s="296"/>
      <c r="AB472" s="297">
        <v>38377350</v>
      </c>
      <c r="AC472" s="297">
        <f t="shared" si="185"/>
        <v>0</v>
      </c>
      <c r="AD472" s="297">
        <f t="shared" si="186"/>
        <v>38377350</v>
      </c>
      <c r="AE472" s="297">
        <v>0</v>
      </c>
      <c r="AF472" s="297">
        <v>0</v>
      </c>
      <c r="AG472" s="297">
        <v>0</v>
      </c>
      <c r="AH472" s="297">
        <v>0</v>
      </c>
      <c r="AI472" s="297">
        <v>0</v>
      </c>
      <c r="AJ472" s="297">
        <v>0</v>
      </c>
      <c r="AK472" s="297">
        <v>0</v>
      </c>
      <c r="AL472" s="297">
        <v>0</v>
      </c>
      <c r="AM472" s="297">
        <v>0</v>
      </c>
      <c r="AN472" s="297">
        <v>0</v>
      </c>
      <c r="AO472" s="297">
        <v>0</v>
      </c>
      <c r="AP472" s="297">
        <v>0</v>
      </c>
      <c r="AQ472" s="296"/>
      <c r="AR472" s="297">
        <f t="shared" si="187"/>
        <v>0</v>
      </c>
      <c r="AS472" s="313" t="s">
        <v>137</v>
      </c>
      <c r="AT472" s="313" t="s">
        <v>137</v>
      </c>
      <c r="AU472" s="176" t="s">
        <v>138</v>
      </c>
    </row>
    <row r="473" spans="1:47" s="218" customFormat="1" ht="25.5" customHeight="1" outlineLevel="2">
      <c r="A473" s="215" t="s">
        <v>125</v>
      </c>
      <c r="B473" s="151">
        <v>31</v>
      </c>
      <c r="C473" s="151" t="s">
        <v>128</v>
      </c>
      <c r="D473" s="245" t="s">
        <v>168</v>
      </c>
      <c r="E473" s="151" t="s">
        <v>169</v>
      </c>
      <c r="F473" s="151" t="s">
        <v>397</v>
      </c>
      <c r="G473" s="151" t="s">
        <v>34</v>
      </c>
      <c r="H473" s="151" t="s">
        <v>61</v>
      </c>
      <c r="I473" s="256">
        <v>23</v>
      </c>
      <c r="J473" s="151" t="s">
        <v>80</v>
      </c>
      <c r="K473" s="176" t="s">
        <v>132</v>
      </c>
      <c r="L473" s="245">
        <v>30485152</v>
      </c>
      <c r="M473" s="855"/>
      <c r="N473" s="245" t="s">
        <v>656</v>
      </c>
      <c r="O473" s="245" t="s">
        <v>782</v>
      </c>
      <c r="P473" s="245"/>
      <c r="Q473" s="176" t="s">
        <v>783</v>
      </c>
      <c r="R473" s="273" t="s">
        <v>784</v>
      </c>
      <c r="S473" s="274"/>
      <c r="T473" s="273"/>
      <c r="U473" s="273"/>
      <c r="V473" s="273"/>
      <c r="W473" s="273"/>
      <c r="X473" s="274"/>
      <c r="Y473" s="326">
        <v>357488184</v>
      </c>
      <c r="Z473" s="275">
        <v>119946751</v>
      </c>
      <c r="AA473" s="296"/>
      <c r="AB473" s="297">
        <f>38336980+154617442+25918692</f>
        <v>218873114</v>
      </c>
      <c r="AC473" s="297">
        <f t="shared" si="185"/>
        <v>170940708</v>
      </c>
      <c r="AD473" s="297">
        <f t="shared" si="186"/>
        <v>47932406</v>
      </c>
      <c r="AE473" s="297">
        <v>0</v>
      </c>
      <c r="AF473" s="297">
        <v>0</v>
      </c>
      <c r="AG473" s="297">
        <v>0</v>
      </c>
      <c r="AH473" s="297">
        <v>0</v>
      </c>
      <c r="AI473" s="297">
        <v>0</v>
      </c>
      <c r="AJ473" s="297">
        <v>22019054</v>
      </c>
      <c r="AK473" s="297">
        <v>1550000</v>
      </c>
      <c r="AL473" s="297">
        <v>33840093</v>
      </c>
      <c r="AM473" s="297">
        <v>48788029</v>
      </c>
      <c r="AN473" s="297">
        <v>1550000</v>
      </c>
      <c r="AO473" s="297">
        <v>25843859</v>
      </c>
      <c r="AP473" s="297">
        <v>37349673</v>
      </c>
      <c r="AQ473" s="296"/>
      <c r="AR473" s="297">
        <f t="shared" si="187"/>
        <v>18668319</v>
      </c>
      <c r="AS473" s="313" t="s">
        <v>137</v>
      </c>
      <c r="AT473" s="313" t="s">
        <v>137</v>
      </c>
      <c r="AU473" s="176" t="s">
        <v>138</v>
      </c>
    </row>
    <row r="474" spans="1:47" s="218" customFormat="1" ht="25.5" customHeight="1" outlineLevel="2">
      <c r="A474" s="215" t="s">
        <v>125</v>
      </c>
      <c r="B474" s="191">
        <v>33</v>
      </c>
      <c r="C474" s="191" t="s">
        <v>128</v>
      </c>
      <c r="D474" s="246" t="s">
        <v>149</v>
      </c>
      <c r="E474" s="191" t="s">
        <v>130</v>
      </c>
      <c r="F474" s="191" t="s">
        <v>140</v>
      </c>
      <c r="G474" s="191" t="s">
        <v>34</v>
      </c>
      <c r="H474" s="191" t="s">
        <v>61</v>
      </c>
      <c r="I474" s="258">
        <v>23</v>
      </c>
      <c r="J474" s="191" t="s">
        <v>83</v>
      </c>
      <c r="K474" s="192" t="s">
        <v>132</v>
      </c>
      <c r="L474" s="246" t="s">
        <v>83</v>
      </c>
      <c r="M474" s="861" t="s">
        <v>1604</v>
      </c>
      <c r="N474" s="246"/>
      <c r="O474" s="245" t="s">
        <v>183</v>
      </c>
      <c r="P474" s="246"/>
      <c r="Q474" s="192" t="s">
        <v>184</v>
      </c>
      <c r="R474" s="276"/>
      <c r="S474" s="277"/>
      <c r="T474" s="276"/>
      <c r="U474" s="276"/>
      <c r="V474" s="276"/>
      <c r="W474" s="276"/>
      <c r="X474" s="277"/>
      <c r="Y474" s="194">
        <v>100000000</v>
      </c>
      <c r="Z474" s="194">
        <f>+FRIL!J697</f>
        <v>0</v>
      </c>
      <c r="AA474" s="298"/>
      <c r="AB474" s="299">
        <v>100000000</v>
      </c>
      <c r="AC474" s="299">
        <f t="shared" si="185"/>
        <v>0</v>
      </c>
      <c r="AD474" s="299">
        <f t="shared" si="186"/>
        <v>100000000</v>
      </c>
      <c r="AE474" s="299">
        <v>0</v>
      </c>
      <c r="AF474" s="299">
        <v>0</v>
      </c>
      <c r="AG474" s="299">
        <v>0</v>
      </c>
      <c r="AH474" s="299">
        <v>0</v>
      </c>
      <c r="AI474" s="299">
        <v>0</v>
      </c>
      <c r="AJ474" s="297">
        <v>0</v>
      </c>
      <c r="AK474" s="299">
        <v>0</v>
      </c>
      <c r="AL474" s="299">
        <v>0</v>
      </c>
      <c r="AM474" s="299">
        <v>0</v>
      </c>
      <c r="AN474" s="299">
        <v>0</v>
      </c>
      <c r="AO474" s="297">
        <v>0</v>
      </c>
      <c r="AP474" s="299">
        <v>0</v>
      </c>
      <c r="AQ474" s="298"/>
      <c r="AR474" s="299">
        <f t="shared" si="187"/>
        <v>0</v>
      </c>
      <c r="AS474" s="314" t="s">
        <v>185</v>
      </c>
      <c r="AT474" s="314" t="s">
        <v>83</v>
      </c>
      <c r="AU474" s="192" t="s">
        <v>138</v>
      </c>
    </row>
    <row r="475" spans="1:47" s="218" customFormat="1" ht="25.5" customHeight="1" outlineLevel="2">
      <c r="A475" s="215" t="s">
        <v>125</v>
      </c>
      <c r="B475" s="151">
        <v>33</v>
      </c>
      <c r="C475" s="151" t="s">
        <v>128</v>
      </c>
      <c r="D475" s="245" t="s">
        <v>149</v>
      </c>
      <c r="E475" s="151" t="s">
        <v>130</v>
      </c>
      <c r="F475" s="151" t="s">
        <v>140</v>
      </c>
      <c r="G475" s="151" t="s">
        <v>34</v>
      </c>
      <c r="H475" s="151" t="s">
        <v>61</v>
      </c>
      <c r="I475" s="256">
        <v>23</v>
      </c>
      <c r="J475" s="151" t="s">
        <v>83</v>
      </c>
      <c r="K475" s="176" t="s">
        <v>132</v>
      </c>
      <c r="L475" s="245" t="s">
        <v>83</v>
      </c>
      <c r="M475" s="855"/>
      <c r="N475" s="245"/>
      <c r="O475" s="245" t="s">
        <v>183</v>
      </c>
      <c r="P475" s="245"/>
      <c r="Q475" s="176" t="s">
        <v>770</v>
      </c>
      <c r="R475" s="273"/>
      <c r="S475" s="274"/>
      <c r="T475" s="273"/>
      <c r="U475" s="273"/>
      <c r="V475" s="273"/>
      <c r="W475" s="273"/>
      <c r="X475" s="274"/>
      <c r="Y475" s="275">
        <v>200000000</v>
      </c>
      <c r="Z475" s="275">
        <f>+FRIL!J698</f>
        <v>0</v>
      </c>
      <c r="AA475" s="296"/>
      <c r="AB475" s="297">
        <v>200000000</v>
      </c>
      <c r="AC475" s="297">
        <f t="shared" si="185"/>
        <v>156931211</v>
      </c>
      <c r="AD475" s="297">
        <f t="shared" si="186"/>
        <v>43068789</v>
      </c>
      <c r="AE475" s="297">
        <v>0</v>
      </c>
      <c r="AF475" s="297">
        <v>0</v>
      </c>
      <c r="AG475" s="297">
        <v>0</v>
      </c>
      <c r="AH475" s="297">
        <v>0</v>
      </c>
      <c r="AI475" s="297">
        <v>0</v>
      </c>
      <c r="AJ475" s="297">
        <v>0</v>
      </c>
      <c r="AK475" s="297">
        <v>156931211</v>
      </c>
      <c r="AL475" s="297">
        <v>0</v>
      </c>
      <c r="AM475" s="297">
        <v>0</v>
      </c>
      <c r="AN475" s="297">
        <v>0</v>
      </c>
      <c r="AO475" s="297">
        <f>+FRIL!L246</f>
        <v>0</v>
      </c>
      <c r="AP475" s="297">
        <v>0</v>
      </c>
      <c r="AQ475" s="296"/>
      <c r="AR475" s="297">
        <f t="shared" si="187"/>
        <v>0</v>
      </c>
      <c r="AS475" s="313" t="s">
        <v>185</v>
      </c>
      <c r="AT475" s="313" t="s">
        <v>83</v>
      </c>
      <c r="AU475" s="176" t="s">
        <v>138</v>
      </c>
    </row>
    <row r="476" spans="1:47" s="217" customFormat="1" ht="25.5" customHeight="1" outlineLevel="1">
      <c r="A476" s="215" t="s">
        <v>125</v>
      </c>
      <c r="B476" s="247"/>
      <c r="C476" s="247"/>
      <c r="D476" s="248"/>
      <c r="E476" s="249"/>
      <c r="F476" s="249"/>
      <c r="G476" s="249"/>
      <c r="H476" s="249"/>
      <c r="I476" s="249"/>
      <c r="J476" s="247"/>
      <c r="K476" s="259"/>
      <c r="L476" s="248"/>
      <c r="M476" s="248"/>
      <c r="N476" s="250"/>
      <c r="O476" s="250"/>
      <c r="P476" s="250"/>
      <c r="Q476" s="260" t="s">
        <v>187</v>
      </c>
      <c r="R476" s="278"/>
      <c r="S476" s="279"/>
      <c r="T476" s="279"/>
      <c r="U476" s="279"/>
      <c r="V476" s="279"/>
      <c r="W476" s="279"/>
      <c r="X476" s="281"/>
      <c r="Y476" s="286">
        <f>+Y470+Y471+Y472+Y473+Y474+Y475</f>
        <v>1689195384</v>
      </c>
      <c r="Z476" s="286">
        <f t="shared" ref="Z476:AP476" si="188">+Z470+Z471+Z472+Z473+Z474+Z475</f>
        <v>722327363</v>
      </c>
      <c r="AA476" s="303"/>
      <c r="AB476" s="286">
        <f t="shared" si="188"/>
        <v>667420801</v>
      </c>
      <c r="AC476" s="286">
        <f t="shared" si="185"/>
        <v>405934629</v>
      </c>
      <c r="AD476" s="286">
        <f t="shared" si="188"/>
        <v>261486172</v>
      </c>
      <c r="AE476" s="286">
        <f>+AE470+AE471+AE472+AE473+AE474+AE475</f>
        <v>0</v>
      </c>
      <c r="AF476" s="286">
        <f t="shared" si="188"/>
        <v>0</v>
      </c>
      <c r="AG476" s="286">
        <f t="shared" si="188"/>
        <v>0</v>
      </c>
      <c r="AH476" s="286">
        <f t="shared" si="188"/>
        <v>0</v>
      </c>
      <c r="AI476" s="286">
        <f t="shared" si="188"/>
        <v>0</v>
      </c>
      <c r="AJ476" s="286">
        <v>22019054</v>
      </c>
      <c r="AK476" s="286">
        <v>158481211</v>
      </c>
      <c r="AL476" s="286">
        <v>33840093</v>
      </c>
      <c r="AM476" s="286">
        <f t="shared" si="188"/>
        <v>62353831</v>
      </c>
      <c r="AN476" s="286">
        <f t="shared" si="188"/>
        <v>1550000</v>
      </c>
      <c r="AO476" s="286">
        <f t="shared" si="188"/>
        <v>46733862</v>
      </c>
      <c r="AP476" s="286">
        <f t="shared" si="188"/>
        <v>80956578</v>
      </c>
      <c r="AQ476" s="287"/>
      <c r="AR476" s="286">
        <f t="shared" si="187"/>
        <v>299447220</v>
      </c>
      <c r="AS476" s="315"/>
      <c r="AT476" s="315"/>
      <c r="AU476" s="220"/>
    </row>
    <row r="477" spans="1:47" ht="18.75" customHeight="1" outlineLevel="1">
      <c r="A477" s="215" t="s">
        <v>125</v>
      </c>
      <c r="B477" s="249"/>
      <c r="C477" s="249"/>
      <c r="D477" s="250"/>
      <c r="E477" s="249"/>
      <c r="F477" s="249"/>
      <c r="G477" s="249"/>
      <c r="H477" s="249"/>
      <c r="I477" s="249"/>
      <c r="J477" s="249"/>
      <c r="K477" s="261"/>
      <c r="L477" s="250"/>
      <c r="M477" s="250"/>
      <c r="N477" s="250"/>
      <c r="O477" s="250"/>
      <c r="P477" s="250"/>
      <c r="Q477" s="261"/>
      <c r="R477" s="283"/>
      <c r="S477" s="283"/>
      <c r="T477" s="283"/>
      <c r="U477" s="283"/>
      <c r="V477" s="283"/>
      <c r="W477" s="283"/>
      <c r="X477" s="283"/>
      <c r="Y477" s="284"/>
      <c r="Z477" s="284"/>
      <c r="AA477" s="301"/>
      <c r="AB477" s="301"/>
      <c r="AC477" s="301"/>
      <c r="AD477" s="301"/>
      <c r="AE477" s="301"/>
      <c r="AF477" s="301"/>
      <c r="AG477" s="301"/>
      <c r="AH477" s="301"/>
      <c r="AI477" s="301"/>
      <c r="AJ477" s="301"/>
      <c r="AK477" s="301"/>
      <c r="AL477" s="301"/>
      <c r="AM477" s="301"/>
      <c r="AN477" s="301"/>
      <c r="AO477" s="301"/>
      <c r="AP477" s="301"/>
      <c r="AQ477" s="301"/>
      <c r="AR477" s="301"/>
      <c r="AS477" s="316"/>
      <c r="AT477" s="316"/>
      <c r="AU477" s="317"/>
    </row>
    <row r="478" spans="1:47" s="217" customFormat="1" ht="25.5" customHeight="1" outlineLevel="1">
      <c r="A478" s="215" t="s">
        <v>125</v>
      </c>
      <c r="B478" s="247"/>
      <c r="C478" s="247"/>
      <c r="D478" s="248"/>
      <c r="E478" s="249"/>
      <c r="F478" s="249"/>
      <c r="G478" s="249"/>
      <c r="H478" s="249"/>
      <c r="I478" s="249"/>
      <c r="J478" s="247"/>
      <c r="K478" s="259"/>
      <c r="L478" s="248"/>
      <c r="M478" s="248"/>
      <c r="N478" s="250"/>
      <c r="O478" s="250"/>
      <c r="P478" s="250"/>
      <c r="Q478" s="99" t="s">
        <v>188</v>
      </c>
      <c r="R478" s="283"/>
      <c r="S478" s="283"/>
      <c r="T478" s="283"/>
      <c r="U478" s="283"/>
      <c r="V478" s="283"/>
      <c r="W478" s="283"/>
      <c r="X478" s="283"/>
      <c r="Y478" s="285"/>
      <c r="Z478" s="285"/>
      <c r="AA478" s="302"/>
      <c r="AB478" s="302"/>
      <c r="AC478" s="302"/>
      <c r="AD478" s="302"/>
      <c r="AE478" s="302"/>
      <c r="AF478" s="302"/>
      <c r="AG478" s="302"/>
      <c r="AH478" s="301"/>
      <c r="AI478" s="301"/>
      <c r="AJ478" s="301"/>
      <c r="AK478" s="301"/>
      <c r="AL478" s="301"/>
      <c r="AM478" s="301"/>
      <c r="AN478" s="301"/>
      <c r="AO478" s="301"/>
      <c r="AP478" s="301"/>
      <c r="AQ478" s="302"/>
      <c r="AR478" s="302"/>
      <c r="AS478" s="315"/>
      <c r="AT478" s="315"/>
      <c r="AU478" s="220"/>
    </row>
    <row r="479" spans="1:47" s="218" customFormat="1" ht="25.5" customHeight="1" outlineLevel="2">
      <c r="A479" s="215" t="s">
        <v>125</v>
      </c>
      <c r="B479" s="151">
        <v>31</v>
      </c>
      <c r="C479" s="151" t="s">
        <v>128</v>
      </c>
      <c r="D479" s="245" t="s">
        <v>168</v>
      </c>
      <c r="E479" s="151" t="s">
        <v>169</v>
      </c>
      <c r="F479" s="151" t="s">
        <v>207</v>
      </c>
      <c r="G479" s="151" t="s">
        <v>34</v>
      </c>
      <c r="H479" s="151" t="s">
        <v>61</v>
      </c>
      <c r="I479" s="256">
        <v>23</v>
      </c>
      <c r="J479" s="151" t="s">
        <v>88</v>
      </c>
      <c r="K479" s="176" t="s">
        <v>132</v>
      </c>
      <c r="L479" s="390">
        <v>40004659</v>
      </c>
      <c r="M479" s="855"/>
      <c r="N479" s="245" t="s">
        <v>652</v>
      </c>
      <c r="O479" s="245" t="s">
        <v>785</v>
      </c>
      <c r="P479" s="257" t="s">
        <v>786</v>
      </c>
      <c r="Q479" s="176" t="s">
        <v>787</v>
      </c>
      <c r="R479" s="273"/>
      <c r="S479" s="274"/>
      <c r="T479" s="273"/>
      <c r="U479" s="273" t="s">
        <v>1504</v>
      </c>
      <c r="V479" s="273">
        <v>317511000</v>
      </c>
      <c r="W479" s="273"/>
      <c r="X479" s="274"/>
      <c r="Y479" s="275">
        <v>320000000</v>
      </c>
      <c r="Z479" s="275">
        <v>0</v>
      </c>
      <c r="AA479" s="296"/>
      <c r="AB479" s="297">
        <f>320000000-38076257-120000000-13719428</f>
        <v>148204315</v>
      </c>
      <c r="AC479" s="297">
        <f t="shared" si="185"/>
        <v>0</v>
      </c>
      <c r="AD479" s="297">
        <f>+AB479-AC479</f>
        <v>148204315</v>
      </c>
      <c r="AE479" s="297">
        <v>0</v>
      </c>
      <c r="AF479" s="297">
        <v>0</v>
      </c>
      <c r="AG479" s="297">
        <v>0</v>
      </c>
      <c r="AH479" s="297">
        <v>0</v>
      </c>
      <c r="AI479" s="297">
        <v>0</v>
      </c>
      <c r="AJ479" s="297">
        <v>0</v>
      </c>
      <c r="AK479" s="297">
        <v>0</v>
      </c>
      <c r="AL479" s="297">
        <v>0</v>
      </c>
      <c r="AM479" s="297">
        <v>0</v>
      </c>
      <c r="AN479" s="297">
        <v>0</v>
      </c>
      <c r="AO479" s="297">
        <v>0</v>
      </c>
      <c r="AP479" s="297">
        <v>0</v>
      </c>
      <c r="AQ479" s="296"/>
      <c r="AR479" s="297">
        <f>+Y479-Z479-AC479-AD479</f>
        <v>171795685</v>
      </c>
      <c r="AS479" s="313" t="s">
        <v>137</v>
      </c>
      <c r="AT479" s="313" t="s">
        <v>137</v>
      </c>
      <c r="AU479" s="176" t="s">
        <v>158</v>
      </c>
    </row>
    <row r="480" spans="1:47" s="217" customFormat="1" ht="25.5" customHeight="1" outlineLevel="1">
      <c r="A480" s="215" t="s">
        <v>125</v>
      </c>
      <c r="B480" s="151">
        <v>31</v>
      </c>
      <c r="C480" s="151" t="s">
        <v>196</v>
      </c>
      <c r="D480" s="245" t="s">
        <v>159</v>
      </c>
      <c r="E480" s="151" t="s">
        <v>169</v>
      </c>
      <c r="F480" s="151" t="s">
        <v>140</v>
      </c>
      <c r="G480" s="151" t="s">
        <v>34</v>
      </c>
      <c r="H480" s="151" t="s">
        <v>61</v>
      </c>
      <c r="I480" s="256">
        <v>23</v>
      </c>
      <c r="J480" s="151" t="s">
        <v>80</v>
      </c>
      <c r="K480" s="176" t="s">
        <v>202</v>
      </c>
      <c r="L480" s="390">
        <v>40001662</v>
      </c>
      <c r="M480" s="855"/>
      <c r="N480" s="245"/>
      <c r="O480" s="245" t="s">
        <v>788</v>
      </c>
      <c r="P480" s="257" t="s">
        <v>789</v>
      </c>
      <c r="Q480" s="176" t="s">
        <v>790</v>
      </c>
      <c r="R480" s="273"/>
      <c r="S480" s="274"/>
      <c r="T480" s="273"/>
      <c r="U480" s="273"/>
      <c r="V480" s="273"/>
      <c r="W480" s="273"/>
      <c r="X480" s="274"/>
      <c r="Y480" s="275">
        <v>20999000</v>
      </c>
      <c r="Z480" s="275">
        <v>0</v>
      </c>
      <c r="AA480" s="296"/>
      <c r="AB480" s="297">
        <v>1049950</v>
      </c>
      <c r="AC480" s="297">
        <f t="shared" si="185"/>
        <v>0</v>
      </c>
      <c r="AD480" s="297">
        <f>+AB480-AC480</f>
        <v>1049950</v>
      </c>
      <c r="AE480" s="297">
        <v>0</v>
      </c>
      <c r="AF480" s="297">
        <v>0</v>
      </c>
      <c r="AG480" s="297">
        <v>0</v>
      </c>
      <c r="AH480" s="297">
        <v>0</v>
      </c>
      <c r="AI480" s="297">
        <v>0</v>
      </c>
      <c r="AJ480" s="297">
        <v>0</v>
      </c>
      <c r="AK480" s="297">
        <v>0</v>
      </c>
      <c r="AL480" s="297">
        <v>0</v>
      </c>
      <c r="AM480" s="297">
        <v>0</v>
      </c>
      <c r="AN480" s="297">
        <v>0</v>
      </c>
      <c r="AO480" s="297">
        <v>0</v>
      </c>
      <c r="AP480" s="297">
        <v>0</v>
      </c>
      <c r="AQ480" s="296"/>
      <c r="AR480" s="297">
        <f>+Y480-Z480-AC480-AD480</f>
        <v>19949050</v>
      </c>
      <c r="AS480" s="313" t="s">
        <v>137</v>
      </c>
      <c r="AT480" s="313" t="s">
        <v>137</v>
      </c>
      <c r="AU480" s="176" t="s">
        <v>158</v>
      </c>
    </row>
    <row r="481" spans="1:49" s="217" customFormat="1" ht="25.5" customHeight="1" outlineLevel="1">
      <c r="A481" s="215" t="s">
        <v>125</v>
      </c>
      <c r="B481" s="151">
        <v>31</v>
      </c>
      <c r="C481" s="151" t="s">
        <v>196</v>
      </c>
      <c r="D481" s="245" t="s">
        <v>139</v>
      </c>
      <c r="E481" s="151" t="s">
        <v>169</v>
      </c>
      <c r="F481" s="151" t="s">
        <v>140</v>
      </c>
      <c r="G481" s="151" t="s">
        <v>34</v>
      </c>
      <c r="H481" s="151" t="s">
        <v>61</v>
      </c>
      <c r="I481" s="256">
        <v>23</v>
      </c>
      <c r="J481" s="151" t="s">
        <v>85</v>
      </c>
      <c r="K481" s="176" t="s">
        <v>132</v>
      </c>
      <c r="L481" s="390">
        <v>30134013</v>
      </c>
      <c r="M481" s="855"/>
      <c r="N481" s="245" t="s">
        <v>656</v>
      </c>
      <c r="O481" s="245" t="s">
        <v>791</v>
      </c>
      <c r="P481" s="257" t="s">
        <v>792</v>
      </c>
      <c r="Q481" s="176" t="s">
        <v>793</v>
      </c>
      <c r="R481" s="273"/>
      <c r="S481" s="274"/>
      <c r="T481" s="273"/>
      <c r="U481" s="273"/>
      <c r="V481" s="273"/>
      <c r="W481" s="273"/>
      <c r="X481" s="274"/>
      <c r="Y481" s="275">
        <v>758577000</v>
      </c>
      <c r="Z481" s="275">
        <v>0</v>
      </c>
      <c r="AA481" s="296"/>
      <c r="AB481" s="297">
        <f>137928850-19378578-3332590-2698994</f>
        <v>112518688</v>
      </c>
      <c r="AC481" s="297">
        <f t="shared" si="185"/>
        <v>0</v>
      </c>
      <c r="AD481" s="297">
        <f>+AB481-AC481</f>
        <v>112518688</v>
      </c>
      <c r="AE481" s="297">
        <v>0</v>
      </c>
      <c r="AF481" s="297">
        <v>0</v>
      </c>
      <c r="AG481" s="297">
        <v>0</v>
      </c>
      <c r="AH481" s="297">
        <v>0</v>
      </c>
      <c r="AI481" s="297">
        <v>0</v>
      </c>
      <c r="AJ481" s="297">
        <v>0</v>
      </c>
      <c r="AK481" s="297">
        <v>0</v>
      </c>
      <c r="AL481" s="297">
        <v>0</v>
      </c>
      <c r="AM481" s="297">
        <v>0</v>
      </c>
      <c r="AN481" s="297">
        <v>0</v>
      </c>
      <c r="AO481" s="297">
        <v>0</v>
      </c>
      <c r="AP481" s="297">
        <v>0</v>
      </c>
      <c r="AQ481" s="296"/>
      <c r="AR481" s="297">
        <f>+Y481-Z481-AC481-AD481</f>
        <v>646058312</v>
      </c>
      <c r="AS481" s="313" t="s">
        <v>137</v>
      </c>
      <c r="AT481" s="313" t="s">
        <v>137</v>
      </c>
      <c r="AU481" s="176" t="s">
        <v>1505</v>
      </c>
      <c r="AW481" s="401"/>
    </row>
    <row r="482" spans="1:49" s="217" customFormat="1" ht="25.5" customHeight="1" outlineLevel="1">
      <c r="A482" s="215" t="s">
        <v>125</v>
      </c>
      <c r="B482" s="151">
        <v>31</v>
      </c>
      <c r="C482" s="151" t="s">
        <v>196</v>
      </c>
      <c r="D482" s="245" t="s">
        <v>139</v>
      </c>
      <c r="E482" s="151" t="s">
        <v>130</v>
      </c>
      <c r="F482" s="151" t="s">
        <v>140</v>
      </c>
      <c r="G482" s="151" t="s">
        <v>34</v>
      </c>
      <c r="H482" s="151" t="s">
        <v>61</v>
      </c>
      <c r="I482" s="256">
        <v>23</v>
      </c>
      <c r="J482" s="151" t="s">
        <v>85</v>
      </c>
      <c r="K482" s="176" t="s">
        <v>132</v>
      </c>
      <c r="L482" s="390">
        <v>30419547</v>
      </c>
      <c r="M482" s="855"/>
      <c r="N482" s="245" t="s">
        <v>652</v>
      </c>
      <c r="O482" s="245" t="s">
        <v>794</v>
      </c>
      <c r="P482" s="398"/>
      <c r="Q482" s="176" t="s">
        <v>795</v>
      </c>
      <c r="R482" s="273"/>
      <c r="S482" s="274"/>
      <c r="T482" s="273"/>
      <c r="U482" s="273"/>
      <c r="V482" s="273"/>
      <c r="W482" s="273"/>
      <c r="X482" s="274"/>
      <c r="Y482" s="275">
        <v>239685000</v>
      </c>
      <c r="Z482" s="275">
        <v>0</v>
      </c>
      <c r="AA482" s="296"/>
      <c r="AB482" s="297">
        <v>100000000</v>
      </c>
      <c r="AC482" s="297">
        <f t="shared" si="185"/>
        <v>0</v>
      </c>
      <c r="AD482" s="297">
        <f>+AB482-AC482</f>
        <v>100000000</v>
      </c>
      <c r="AE482" s="297">
        <v>0</v>
      </c>
      <c r="AF482" s="297">
        <v>0</v>
      </c>
      <c r="AG482" s="297">
        <v>0</v>
      </c>
      <c r="AH482" s="297">
        <v>0</v>
      </c>
      <c r="AI482" s="297">
        <v>0</v>
      </c>
      <c r="AJ482" s="297">
        <v>0</v>
      </c>
      <c r="AK482" s="297">
        <v>0</v>
      </c>
      <c r="AL482" s="297">
        <v>0</v>
      </c>
      <c r="AM482" s="297">
        <v>0</v>
      </c>
      <c r="AN482" s="297">
        <v>0</v>
      </c>
      <c r="AO482" s="297">
        <v>0</v>
      </c>
      <c r="AP482" s="297">
        <v>0</v>
      </c>
      <c r="AQ482" s="296"/>
      <c r="AR482" s="297">
        <f>+Y482-Z482-AC482-AD482</f>
        <v>139685000</v>
      </c>
      <c r="AS482" s="313" t="s">
        <v>137</v>
      </c>
      <c r="AT482" s="313" t="s">
        <v>137</v>
      </c>
      <c r="AU482" s="176" t="s">
        <v>195</v>
      </c>
      <c r="AW482" s="218" t="s">
        <v>522</v>
      </c>
    </row>
    <row r="483" spans="1:49" s="217" customFormat="1" ht="25.5" customHeight="1" outlineLevel="1">
      <c r="A483" s="215" t="s">
        <v>125</v>
      </c>
      <c r="B483" s="151">
        <v>31</v>
      </c>
      <c r="C483" s="151" t="s">
        <v>196</v>
      </c>
      <c r="D483" s="245" t="s">
        <v>129</v>
      </c>
      <c r="E483" s="151" t="s">
        <v>130</v>
      </c>
      <c r="F483" s="151" t="s">
        <v>131</v>
      </c>
      <c r="G483" s="151" t="s">
        <v>34</v>
      </c>
      <c r="H483" s="151" t="s">
        <v>61</v>
      </c>
      <c r="I483" s="256">
        <v>23</v>
      </c>
      <c r="J483" s="151" t="s">
        <v>81</v>
      </c>
      <c r="K483" s="176" t="s">
        <v>132</v>
      </c>
      <c r="L483" s="390">
        <v>40013905</v>
      </c>
      <c r="M483" s="855"/>
      <c r="N483" s="245"/>
      <c r="O483" s="245" t="s">
        <v>796</v>
      </c>
      <c r="P483" s="398"/>
      <c r="Q483" s="176" t="s">
        <v>797</v>
      </c>
      <c r="R483" s="273"/>
      <c r="S483" s="274"/>
      <c r="T483" s="273"/>
      <c r="U483" s="273"/>
      <c r="V483" s="273"/>
      <c r="W483" s="273"/>
      <c r="X483" s="274"/>
      <c r="Y483" s="275">
        <v>450000000</v>
      </c>
      <c r="Z483" s="275">
        <v>0</v>
      </c>
      <c r="AA483" s="296"/>
      <c r="AB483" s="297">
        <v>22500000</v>
      </c>
      <c r="AC483" s="297">
        <f t="shared" si="185"/>
        <v>0</v>
      </c>
      <c r="AD483" s="297">
        <f>+AB483-AC483</f>
        <v>22500000</v>
      </c>
      <c r="AE483" s="297">
        <v>0</v>
      </c>
      <c r="AF483" s="297">
        <v>0</v>
      </c>
      <c r="AG483" s="297">
        <v>0</v>
      </c>
      <c r="AH483" s="297">
        <v>0</v>
      </c>
      <c r="AI483" s="297">
        <v>0</v>
      </c>
      <c r="AJ483" s="297">
        <v>0</v>
      </c>
      <c r="AK483" s="297">
        <v>0</v>
      </c>
      <c r="AL483" s="297">
        <v>0</v>
      </c>
      <c r="AM483" s="297">
        <v>0</v>
      </c>
      <c r="AN483" s="297">
        <v>0</v>
      </c>
      <c r="AO483" s="297">
        <v>0</v>
      </c>
      <c r="AP483" s="297">
        <v>0</v>
      </c>
      <c r="AQ483" s="296"/>
      <c r="AR483" s="297">
        <f t="shared" ref="AR483:AR484" si="189">+Y483-Z483-AC483-AD483</f>
        <v>427500000</v>
      </c>
      <c r="AS483" s="313" t="s">
        <v>137</v>
      </c>
      <c r="AT483" s="313" t="s">
        <v>137</v>
      </c>
      <c r="AU483" s="176" t="s">
        <v>190</v>
      </c>
    </row>
    <row r="484" spans="1:49" s="217" customFormat="1" ht="25.5" customHeight="1" outlineLevel="1">
      <c r="A484" s="215" t="s">
        <v>125</v>
      </c>
      <c r="B484" s="247"/>
      <c r="C484" s="247"/>
      <c r="D484" s="248"/>
      <c r="E484" s="249"/>
      <c r="F484" s="249"/>
      <c r="G484" s="249"/>
      <c r="H484" s="249"/>
      <c r="I484" s="249"/>
      <c r="J484" s="247"/>
      <c r="K484" s="259"/>
      <c r="L484" s="248"/>
      <c r="M484" s="248"/>
      <c r="N484" s="250"/>
      <c r="O484" s="250"/>
      <c r="P484" s="250"/>
      <c r="Q484" s="260" t="s">
        <v>201</v>
      </c>
      <c r="R484" s="278"/>
      <c r="S484" s="279"/>
      <c r="T484" s="279"/>
      <c r="U484" s="279"/>
      <c r="V484" s="279"/>
      <c r="W484" s="279"/>
      <c r="X484" s="281"/>
      <c r="Y484" s="286">
        <f>SUBTOTAL(9,Y479:Y483)</f>
        <v>1789261000</v>
      </c>
      <c r="Z484" s="286">
        <f>SUBTOTAL(9,Z479:Z483)</f>
        <v>0</v>
      </c>
      <c r="AA484" s="303"/>
      <c r="AB484" s="286">
        <f t="shared" ref="AB484:AD484" si="190">SUBTOTAL(9,AB479:AB483)</f>
        <v>384272953</v>
      </c>
      <c r="AC484" s="286">
        <f>SUM(AC479:AC483)</f>
        <v>0</v>
      </c>
      <c r="AD484" s="286">
        <f t="shared" si="190"/>
        <v>384272953</v>
      </c>
      <c r="AE484" s="286">
        <f>SUM(AE479:AE483)</f>
        <v>0</v>
      </c>
      <c r="AF484" s="286">
        <f t="shared" ref="AF484:AP484" si="191">SUM(AF479:AF483)</f>
        <v>0</v>
      </c>
      <c r="AG484" s="286">
        <f t="shared" si="191"/>
        <v>0</v>
      </c>
      <c r="AH484" s="286">
        <f t="shared" si="191"/>
        <v>0</v>
      </c>
      <c r="AI484" s="286">
        <f t="shared" si="191"/>
        <v>0</v>
      </c>
      <c r="AJ484" s="286">
        <v>0</v>
      </c>
      <c r="AK484" s="286">
        <f t="shared" si="191"/>
        <v>0</v>
      </c>
      <c r="AL484" s="286">
        <f t="shared" si="191"/>
        <v>0</v>
      </c>
      <c r="AM484" s="286">
        <f t="shared" si="191"/>
        <v>0</v>
      </c>
      <c r="AN484" s="286">
        <f t="shared" si="191"/>
        <v>0</v>
      </c>
      <c r="AO484" s="286">
        <f t="shared" si="191"/>
        <v>0</v>
      </c>
      <c r="AP484" s="286">
        <f t="shared" si="191"/>
        <v>0</v>
      </c>
      <c r="AQ484" s="287"/>
      <c r="AR484" s="286">
        <f t="shared" si="189"/>
        <v>1404988047</v>
      </c>
      <c r="AS484" s="315"/>
      <c r="AT484" s="315"/>
      <c r="AU484" s="220"/>
    </row>
    <row r="485" spans="1:49" ht="18.75" customHeight="1" outlineLevel="1">
      <c r="A485" s="215" t="s">
        <v>125</v>
      </c>
      <c r="B485" s="249"/>
      <c r="C485" s="249"/>
      <c r="D485" s="250"/>
      <c r="E485" s="249"/>
      <c r="F485" s="249"/>
      <c r="G485" s="249"/>
      <c r="H485" s="249"/>
      <c r="I485" s="249"/>
      <c r="J485" s="249"/>
      <c r="K485" s="261"/>
      <c r="L485" s="250"/>
      <c r="M485" s="250"/>
      <c r="N485" s="250"/>
      <c r="O485" s="250"/>
      <c r="P485" s="250"/>
      <c r="Q485" s="261"/>
      <c r="R485" s="283"/>
      <c r="S485" s="283"/>
      <c r="T485" s="283"/>
      <c r="U485" s="283"/>
      <c r="V485" s="283"/>
      <c r="W485" s="283"/>
      <c r="X485" s="283"/>
      <c r="Y485" s="284"/>
      <c r="Z485" s="284"/>
      <c r="AA485" s="301"/>
      <c r="AB485" s="301"/>
      <c r="AC485" s="301"/>
      <c r="AD485" s="301"/>
      <c r="AE485" s="301"/>
      <c r="AF485" s="301"/>
      <c r="AG485" s="301"/>
      <c r="AH485" s="301"/>
      <c r="AI485" s="301"/>
      <c r="AJ485" s="301"/>
      <c r="AK485" s="301"/>
      <c r="AL485" s="301"/>
      <c r="AM485" s="301"/>
      <c r="AN485" s="301"/>
      <c r="AO485" s="301"/>
      <c r="AP485" s="301"/>
      <c r="AQ485" s="301"/>
      <c r="AR485" s="301"/>
      <c r="AS485" s="316"/>
      <c r="AT485" s="316"/>
      <c r="AU485" s="317"/>
    </row>
    <row r="486" spans="1:49" s="219" customFormat="1" ht="24.75" customHeight="1" outlineLevel="1">
      <c r="A486" s="215" t="s">
        <v>125</v>
      </c>
      <c r="B486" s="251"/>
      <c r="C486" s="249"/>
      <c r="D486" s="250"/>
      <c r="E486" s="249"/>
      <c r="F486" s="249"/>
      <c r="G486" s="249"/>
      <c r="H486" s="249"/>
      <c r="I486" s="249"/>
      <c r="J486" s="251"/>
      <c r="K486" s="263"/>
      <c r="L486" s="252"/>
      <c r="M486" s="252"/>
      <c r="N486" s="252"/>
      <c r="O486" s="252"/>
      <c r="P486" s="252"/>
      <c r="Q486" s="117" t="s">
        <v>798</v>
      </c>
      <c r="R486" s="288"/>
      <c r="S486" s="289"/>
      <c r="T486" s="289"/>
      <c r="U486" s="289"/>
      <c r="V486" s="289"/>
      <c r="W486" s="289"/>
      <c r="X486" s="290"/>
      <c r="Y486" s="118">
        <f>+Y476+Y484</f>
        <v>3478456384</v>
      </c>
      <c r="Z486" s="118">
        <f>+Z476+Z484</f>
        <v>722327363</v>
      </c>
      <c r="AA486" s="304"/>
      <c r="AB486" s="118">
        <f t="shared" ref="AB486:AD486" si="192">+AB476+AB484</f>
        <v>1051693754</v>
      </c>
      <c r="AC486" s="118">
        <f t="shared" si="192"/>
        <v>405934629</v>
      </c>
      <c r="AD486" s="118">
        <f t="shared" si="192"/>
        <v>645759125</v>
      </c>
      <c r="AE486" s="118">
        <f>+AE476+AE484</f>
        <v>0</v>
      </c>
      <c r="AF486" s="118">
        <f t="shared" ref="AF486:AP486" si="193">+AF476+AF484</f>
        <v>0</v>
      </c>
      <c r="AG486" s="118">
        <f t="shared" si="193"/>
        <v>0</v>
      </c>
      <c r="AH486" s="118">
        <f t="shared" si="193"/>
        <v>0</v>
      </c>
      <c r="AI486" s="118">
        <f t="shared" si="193"/>
        <v>0</v>
      </c>
      <c r="AJ486" s="118">
        <v>22019054</v>
      </c>
      <c r="AK486" s="118">
        <f t="shared" si="193"/>
        <v>158481211</v>
      </c>
      <c r="AL486" s="118">
        <f t="shared" si="193"/>
        <v>33840093</v>
      </c>
      <c r="AM486" s="118">
        <f t="shared" si="193"/>
        <v>62353831</v>
      </c>
      <c r="AN486" s="118">
        <f t="shared" si="193"/>
        <v>1550000</v>
      </c>
      <c r="AO486" s="118">
        <f t="shared" si="193"/>
        <v>46733862</v>
      </c>
      <c r="AP486" s="118">
        <f t="shared" si="193"/>
        <v>80956578</v>
      </c>
      <c r="AQ486" s="318"/>
      <c r="AR486" s="118">
        <f>+Y486-Z486-AC486-AD486</f>
        <v>1704435267</v>
      </c>
      <c r="AS486" s="333"/>
      <c r="AT486" s="333"/>
      <c r="AU486" s="320"/>
    </row>
    <row r="487" spans="1:49" ht="18.75" customHeight="1" outlineLevel="1">
      <c r="A487" s="215" t="s">
        <v>125</v>
      </c>
      <c r="B487" s="249"/>
      <c r="C487" s="249"/>
      <c r="D487" s="250"/>
      <c r="E487" s="249"/>
      <c r="F487" s="249"/>
      <c r="G487" s="249"/>
      <c r="H487" s="249"/>
      <c r="I487" s="249"/>
      <c r="J487" s="249"/>
      <c r="K487" s="261"/>
      <c r="L487" s="250"/>
      <c r="M487" s="250"/>
      <c r="N487" s="250"/>
      <c r="O487" s="250"/>
      <c r="P487" s="250"/>
      <c r="Q487" s="261"/>
      <c r="R487" s="283"/>
      <c r="S487" s="283"/>
      <c r="T487" s="283"/>
      <c r="U487" s="283"/>
      <c r="V487" s="283"/>
      <c r="W487" s="283"/>
      <c r="X487" s="283"/>
      <c r="Y487" s="284"/>
      <c r="Z487" s="284"/>
      <c r="AA487" s="301"/>
      <c r="AB487" s="301"/>
      <c r="AC487" s="301"/>
      <c r="AD487" s="301"/>
      <c r="AE487" s="301"/>
      <c r="AF487" s="301"/>
      <c r="AG487" s="301"/>
      <c r="AH487" s="301"/>
      <c r="AI487" s="301"/>
      <c r="AJ487" s="301"/>
      <c r="AK487" s="301"/>
      <c r="AL487" s="301"/>
      <c r="AM487" s="301"/>
      <c r="AN487" s="301"/>
      <c r="AO487" s="301"/>
      <c r="AP487" s="301"/>
      <c r="AQ487" s="301"/>
      <c r="AR487" s="301"/>
      <c r="AS487" s="316"/>
      <c r="AT487" s="316"/>
      <c r="AU487" s="317"/>
    </row>
    <row r="488" spans="1:49" ht="26.25" customHeight="1" outlineLevel="1">
      <c r="A488" s="215" t="s">
        <v>125</v>
      </c>
      <c r="B488" s="249"/>
      <c r="C488" s="249"/>
      <c r="D488" s="250"/>
      <c r="E488" s="249"/>
      <c r="F488" s="249"/>
      <c r="G488" s="249"/>
      <c r="H488" s="249"/>
      <c r="I488" s="249"/>
      <c r="J488" s="249"/>
      <c r="K488" s="261"/>
      <c r="L488" s="250"/>
      <c r="M488" s="250"/>
      <c r="N488" s="250"/>
      <c r="O488" s="250"/>
      <c r="P488" s="250"/>
      <c r="Q488" s="264" t="s">
        <v>799</v>
      </c>
      <c r="R488" s="283"/>
      <c r="S488" s="283"/>
      <c r="T488" s="283"/>
      <c r="U488" s="283"/>
      <c r="V488" s="283"/>
      <c r="W488" s="283"/>
      <c r="X488" s="283"/>
      <c r="Y488" s="284"/>
      <c r="Z488" s="284"/>
      <c r="AA488" s="301"/>
      <c r="AB488" s="301"/>
      <c r="AC488" s="301"/>
      <c r="AD488" s="301"/>
      <c r="AE488" s="301"/>
      <c r="AF488" s="301"/>
      <c r="AG488" s="301"/>
      <c r="AH488" s="301"/>
      <c r="AI488" s="301"/>
      <c r="AJ488" s="301"/>
      <c r="AK488" s="301"/>
      <c r="AL488" s="301"/>
      <c r="AM488" s="301"/>
      <c r="AN488" s="301"/>
      <c r="AO488" s="301"/>
      <c r="AP488" s="301"/>
      <c r="AQ488" s="301"/>
      <c r="AR488" s="301"/>
      <c r="AS488" s="316"/>
      <c r="AT488" s="316"/>
      <c r="AU488" s="317"/>
    </row>
    <row r="489" spans="1:49" s="216" customFormat="1" ht="15" customHeight="1" outlineLevel="1">
      <c r="A489" s="215" t="s">
        <v>125</v>
      </c>
      <c r="B489" s="249"/>
      <c r="C489" s="249"/>
      <c r="D489" s="250"/>
      <c r="E489" s="249"/>
      <c r="F489" s="249"/>
      <c r="G489" s="249"/>
      <c r="H489" s="249"/>
      <c r="I489" s="249"/>
      <c r="J489" s="249"/>
      <c r="K489" s="261"/>
      <c r="L489" s="250"/>
      <c r="M489" s="250"/>
      <c r="N489" s="250"/>
      <c r="O489" s="250"/>
      <c r="P489" s="250"/>
      <c r="Q489" s="255"/>
      <c r="R489" s="283"/>
      <c r="S489" s="283"/>
      <c r="T489" s="283"/>
      <c r="U489" s="283"/>
      <c r="V489" s="283"/>
      <c r="W489" s="283"/>
      <c r="X489" s="283"/>
      <c r="Y489" s="284"/>
      <c r="Z489" s="284"/>
      <c r="AA489" s="301"/>
      <c r="AB489" s="301"/>
      <c r="AC489" s="301"/>
      <c r="AD489" s="301"/>
      <c r="AE489" s="301"/>
      <c r="AF489" s="301"/>
      <c r="AG489" s="301"/>
      <c r="AH489" s="301"/>
      <c r="AI489" s="301"/>
      <c r="AJ489" s="301"/>
      <c r="AK489" s="301"/>
      <c r="AL489" s="301"/>
      <c r="AM489" s="301"/>
      <c r="AN489" s="301"/>
      <c r="AO489" s="301"/>
      <c r="AP489" s="301"/>
      <c r="AQ489" s="301"/>
      <c r="AR489" s="301"/>
      <c r="AS489" s="316"/>
      <c r="AT489" s="316"/>
      <c r="AU489" s="317"/>
    </row>
    <row r="490" spans="1:49" s="217" customFormat="1" ht="25.5" customHeight="1" outlineLevel="1">
      <c r="A490" s="215" t="s">
        <v>125</v>
      </c>
      <c r="B490" s="247"/>
      <c r="C490" s="247"/>
      <c r="D490" s="248"/>
      <c r="E490" s="249"/>
      <c r="F490" s="249"/>
      <c r="G490" s="249"/>
      <c r="H490" s="249"/>
      <c r="I490" s="249"/>
      <c r="J490" s="247"/>
      <c r="K490" s="259"/>
      <c r="L490" s="248"/>
      <c r="M490" s="248"/>
      <c r="N490" s="250"/>
      <c r="O490" s="250"/>
      <c r="P490" s="250"/>
      <c r="Q490" s="99" t="s">
        <v>127</v>
      </c>
      <c r="R490" s="283"/>
      <c r="S490" s="283"/>
      <c r="T490" s="283"/>
      <c r="U490" s="283"/>
      <c r="V490" s="283"/>
      <c r="W490" s="283"/>
      <c r="X490" s="283"/>
      <c r="Y490" s="285"/>
      <c r="Z490" s="285"/>
      <c r="AA490" s="302"/>
      <c r="AB490" s="302"/>
      <c r="AC490" s="302"/>
      <c r="AD490" s="302"/>
      <c r="AE490" s="302"/>
      <c r="AF490" s="302"/>
      <c r="AG490" s="302"/>
      <c r="AH490" s="301"/>
      <c r="AI490" s="301"/>
      <c r="AJ490" s="301"/>
      <c r="AK490" s="301"/>
      <c r="AL490" s="301"/>
      <c r="AM490" s="301"/>
      <c r="AN490" s="301"/>
      <c r="AO490" s="301"/>
      <c r="AP490" s="301"/>
      <c r="AQ490" s="302"/>
      <c r="AR490" s="302"/>
      <c r="AS490" s="315"/>
      <c r="AT490" s="315"/>
      <c r="AU490" s="220"/>
    </row>
    <row r="491" spans="1:49" s="218" customFormat="1" ht="25.5" customHeight="1" outlineLevel="2">
      <c r="A491" s="215" t="s">
        <v>125</v>
      </c>
      <c r="B491" s="151">
        <v>29</v>
      </c>
      <c r="C491" s="151" t="s">
        <v>128</v>
      </c>
      <c r="D491" s="245" t="s">
        <v>149</v>
      </c>
      <c r="E491" s="151" t="s">
        <v>169</v>
      </c>
      <c r="F491" s="151" t="s">
        <v>140</v>
      </c>
      <c r="G491" s="151" t="s">
        <v>34</v>
      </c>
      <c r="H491" s="151" t="s">
        <v>62</v>
      </c>
      <c r="I491" s="256">
        <v>24</v>
      </c>
      <c r="J491" s="151" t="s">
        <v>80</v>
      </c>
      <c r="K491" s="176" t="s">
        <v>132</v>
      </c>
      <c r="L491" s="245">
        <v>30466153</v>
      </c>
      <c r="M491" s="855"/>
      <c r="N491" s="245" t="e">
        <v>#N/A</v>
      </c>
      <c r="O491" s="245" t="s">
        <v>800</v>
      </c>
      <c r="P491" s="245"/>
      <c r="Q491" s="176" t="s">
        <v>801</v>
      </c>
      <c r="R491" s="273" t="s">
        <v>802</v>
      </c>
      <c r="S491" s="274"/>
      <c r="T491" s="273"/>
      <c r="U491" s="273"/>
      <c r="V491" s="273"/>
      <c r="W491" s="273"/>
      <c r="X491" s="274"/>
      <c r="Y491" s="275">
        <v>372682225</v>
      </c>
      <c r="Z491" s="275">
        <v>0</v>
      </c>
      <c r="AA491" s="296"/>
      <c r="AB491" s="297">
        <v>372682225</v>
      </c>
      <c r="AC491" s="297">
        <f t="shared" si="185"/>
        <v>372682225</v>
      </c>
      <c r="AD491" s="297">
        <f>+AB491-AC491</f>
        <v>0</v>
      </c>
      <c r="AE491" s="297">
        <v>0</v>
      </c>
      <c r="AF491" s="297">
        <v>0</v>
      </c>
      <c r="AG491" s="297">
        <v>0</v>
      </c>
      <c r="AH491" s="297">
        <v>0</v>
      </c>
      <c r="AI491" s="297">
        <v>0</v>
      </c>
      <c r="AJ491" s="297">
        <v>0</v>
      </c>
      <c r="AK491" s="297">
        <v>0</v>
      </c>
      <c r="AL491" s="297">
        <v>0</v>
      </c>
      <c r="AM491" s="297">
        <v>0</v>
      </c>
      <c r="AN491" s="297">
        <v>0</v>
      </c>
      <c r="AO491" s="297">
        <v>0</v>
      </c>
      <c r="AP491" s="297">
        <v>372682225</v>
      </c>
      <c r="AQ491" s="296"/>
      <c r="AR491" s="297">
        <f t="shared" ref="AR491:AR496" si="194">+Y491-Z491-AC491-AD491</f>
        <v>0</v>
      </c>
      <c r="AS491" s="313" t="s">
        <v>148</v>
      </c>
      <c r="AT491" s="313" t="s">
        <v>1464</v>
      </c>
      <c r="AU491" s="176" t="s">
        <v>301</v>
      </c>
    </row>
    <row r="492" spans="1:49" s="218" customFormat="1" ht="25.5" customHeight="1" outlineLevel="2">
      <c r="A492" s="215" t="s">
        <v>125</v>
      </c>
      <c r="B492" s="151">
        <v>31</v>
      </c>
      <c r="C492" s="151" t="s">
        <v>128</v>
      </c>
      <c r="D492" s="245" t="s">
        <v>164</v>
      </c>
      <c r="E492" s="151" t="s">
        <v>169</v>
      </c>
      <c r="F492" s="151" t="s">
        <v>140</v>
      </c>
      <c r="G492" s="151" t="s">
        <v>34</v>
      </c>
      <c r="H492" s="151" t="s">
        <v>62</v>
      </c>
      <c r="I492" s="256">
        <v>24</v>
      </c>
      <c r="J492" s="151" t="s">
        <v>80</v>
      </c>
      <c r="K492" s="176" t="s">
        <v>132</v>
      </c>
      <c r="L492" s="245">
        <v>30042613</v>
      </c>
      <c r="M492" s="855" t="s">
        <v>164</v>
      </c>
      <c r="N492" s="245" t="e">
        <v>#N/A</v>
      </c>
      <c r="O492" s="245" t="s">
        <v>803</v>
      </c>
      <c r="P492" s="245"/>
      <c r="Q492" s="176" t="s">
        <v>804</v>
      </c>
      <c r="R492" s="273"/>
      <c r="S492" s="274"/>
      <c r="T492" s="273"/>
      <c r="U492" s="273"/>
      <c r="V492" s="273"/>
      <c r="W492" s="273"/>
      <c r="X492" s="274"/>
      <c r="Y492" s="275">
        <v>3472101337</v>
      </c>
      <c r="Z492" s="275">
        <v>2618173447</v>
      </c>
      <c r="AA492" s="296"/>
      <c r="AB492" s="297">
        <f>853927890-25918692</f>
        <v>828009198</v>
      </c>
      <c r="AC492" s="297">
        <f t="shared" si="185"/>
        <v>0</v>
      </c>
      <c r="AD492" s="297">
        <f>+AB492-AC492</f>
        <v>828009198</v>
      </c>
      <c r="AE492" s="297">
        <v>0</v>
      </c>
      <c r="AF492" s="297">
        <v>0</v>
      </c>
      <c r="AG492" s="297">
        <v>0</v>
      </c>
      <c r="AH492" s="297">
        <v>0</v>
      </c>
      <c r="AI492" s="297">
        <v>0</v>
      </c>
      <c r="AJ492" s="297">
        <v>0</v>
      </c>
      <c r="AK492" s="297">
        <v>0</v>
      </c>
      <c r="AL492" s="297">
        <v>0</v>
      </c>
      <c r="AM492" s="297">
        <v>0</v>
      </c>
      <c r="AN492" s="297">
        <v>0</v>
      </c>
      <c r="AO492" s="297">
        <v>0</v>
      </c>
      <c r="AP492" s="297">
        <v>0</v>
      </c>
      <c r="AQ492" s="296"/>
      <c r="AR492" s="297">
        <f t="shared" si="194"/>
        <v>25918692</v>
      </c>
      <c r="AS492" s="313" t="s">
        <v>137</v>
      </c>
      <c r="AT492" s="313" t="s">
        <v>137</v>
      </c>
      <c r="AU492" s="176" t="s">
        <v>138</v>
      </c>
    </row>
    <row r="493" spans="1:49" s="69" customFormat="1" ht="25.5" customHeight="1" outlineLevel="1">
      <c r="A493" s="215" t="s">
        <v>125</v>
      </c>
      <c r="B493" s="151">
        <v>31</v>
      </c>
      <c r="C493" s="151" t="s">
        <v>128</v>
      </c>
      <c r="D493" s="245" t="s">
        <v>129</v>
      </c>
      <c r="E493" s="151" t="s">
        <v>169</v>
      </c>
      <c r="F493" s="151" t="s">
        <v>131</v>
      </c>
      <c r="G493" s="151" t="s">
        <v>34</v>
      </c>
      <c r="H493" s="151" t="s">
        <v>62</v>
      </c>
      <c r="I493" s="256">
        <v>24</v>
      </c>
      <c r="J493" s="151" t="s">
        <v>81</v>
      </c>
      <c r="K493" s="176" t="s">
        <v>132</v>
      </c>
      <c r="L493" s="245">
        <v>40006078</v>
      </c>
      <c r="M493" s="855"/>
      <c r="N493" s="245" t="e">
        <v>#N/A</v>
      </c>
      <c r="O493" s="245" t="s">
        <v>805</v>
      </c>
      <c r="P493" s="398" t="s">
        <v>806</v>
      </c>
      <c r="Q493" s="176" t="s">
        <v>807</v>
      </c>
      <c r="R493" s="273" t="s">
        <v>808</v>
      </c>
      <c r="S493" s="274"/>
      <c r="T493" s="273"/>
      <c r="U493" s="273" t="s">
        <v>1538</v>
      </c>
      <c r="V493" s="273">
        <v>666830000</v>
      </c>
      <c r="W493" s="273"/>
      <c r="X493" s="274"/>
      <c r="Y493" s="275">
        <v>666831000</v>
      </c>
      <c r="Z493" s="275">
        <v>0</v>
      </c>
      <c r="AA493" s="296"/>
      <c r="AB493" s="297">
        <f>466831000-78000000+103918692-5980522</f>
        <v>486769170</v>
      </c>
      <c r="AC493" s="297">
        <f>SUBTOTAL(9,AE493:AP493)</f>
        <v>1600000</v>
      </c>
      <c r="AD493" s="297">
        <f>+AB493-AC493</f>
        <v>485169170</v>
      </c>
      <c r="AE493" s="297">
        <v>0</v>
      </c>
      <c r="AF493" s="297">
        <v>0</v>
      </c>
      <c r="AG493" s="297">
        <v>0</v>
      </c>
      <c r="AH493" s="297">
        <v>0</v>
      </c>
      <c r="AI493" s="297">
        <v>0</v>
      </c>
      <c r="AJ493" s="297">
        <v>1600000</v>
      </c>
      <c r="AK493" s="297">
        <v>0</v>
      </c>
      <c r="AL493" s="297">
        <v>0</v>
      </c>
      <c r="AM493" s="297">
        <v>0</v>
      </c>
      <c r="AN493" s="297">
        <v>0</v>
      </c>
      <c r="AO493" s="297">
        <v>0</v>
      </c>
      <c r="AP493" s="297">
        <v>0</v>
      </c>
      <c r="AQ493" s="296"/>
      <c r="AR493" s="297">
        <f t="shared" si="194"/>
        <v>180061830</v>
      </c>
      <c r="AS493" s="313" t="s">
        <v>148</v>
      </c>
      <c r="AT493" s="313" t="s">
        <v>1464</v>
      </c>
      <c r="AU493" s="176" t="s">
        <v>138</v>
      </c>
    </row>
    <row r="494" spans="1:49" s="218" customFormat="1" ht="25.5" customHeight="1" outlineLevel="2">
      <c r="A494" s="215" t="s">
        <v>125</v>
      </c>
      <c r="B494" s="191">
        <v>33</v>
      </c>
      <c r="C494" s="191" t="s">
        <v>128</v>
      </c>
      <c r="D494" s="246" t="s">
        <v>149</v>
      </c>
      <c r="E494" s="191" t="s">
        <v>130</v>
      </c>
      <c r="F494" s="191" t="s">
        <v>140</v>
      </c>
      <c r="G494" s="191" t="s">
        <v>34</v>
      </c>
      <c r="H494" s="191" t="s">
        <v>62</v>
      </c>
      <c r="I494" s="258">
        <v>24</v>
      </c>
      <c r="J494" s="191" t="s">
        <v>83</v>
      </c>
      <c r="K494" s="192" t="s">
        <v>132</v>
      </c>
      <c r="L494" s="246" t="s">
        <v>83</v>
      </c>
      <c r="M494" s="861" t="s">
        <v>1604</v>
      </c>
      <c r="N494" s="246"/>
      <c r="O494" s="245" t="s">
        <v>183</v>
      </c>
      <c r="P494" s="246"/>
      <c r="Q494" s="192" t="s">
        <v>184</v>
      </c>
      <c r="R494" s="276"/>
      <c r="S494" s="277"/>
      <c r="T494" s="276"/>
      <c r="U494" s="276"/>
      <c r="V494" s="276"/>
      <c r="W494" s="276"/>
      <c r="X494" s="277"/>
      <c r="Y494" s="194">
        <v>100000000</v>
      </c>
      <c r="Z494" s="194">
        <f>+FRIL!J722</f>
        <v>0</v>
      </c>
      <c r="AA494" s="298"/>
      <c r="AB494" s="299">
        <v>100000000</v>
      </c>
      <c r="AC494" s="299">
        <f t="shared" si="185"/>
        <v>0</v>
      </c>
      <c r="AD494" s="299">
        <f>+AB494-AC494</f>
        <v>100000000</v>
      </c>
      <c r="AE494" s="299">
        <v>0</v>
      </c>
      <c r="AF494" s="299">
        <v>0</v>
      </c>
      <c r="AG494" s="299">
        <v>0</v>
      </c>
      <c r="AH494" s="299">
        <v>0</v>
      </c>
      <c r="AI494" s="299">
        <v>0</v>
      </c>
      <c r="AJ494" s="297">
        <v>0</v>
      </c>
      <c r="AK494" s="299">
        <v>0</v>
      </c>
      <c r="AL494" s="299">
        <v>0</v>
      </c>
      <c r="AM494" s="299">
        <v>0</v>
      </c>
      <c r="AN494" s="299">
        <v>0</v>
      </c>
      <c r="AO494" s="297">
        <v>0</v>
      </c>
      <c r="AP494" s="299">
        <v>0</v>
      </c>
      <c r="AQ494" s="298"/>
      <c r="AR494" s="299">
        <f t="shared" si="194"/>
        <v>0</v>
      </c>
      <c r="AS494" s="314" t="s">
        <v>185</v>
      </c>
      <c r="AT494" s="314" t="s">
        <v>83</v>
      </c>
      <c r="AU494" s="192" t="s">
        <v>138</v>
      </c>
    </row>
    <row r="495" spans="1:49" s="218" customFormat="1" ht="25.5" customHeight="1" outlineLevel="2">
      <c r="A495" s="215" t="s">
        <v>125</v>
      </c>
      <c r="B495" s="151">
        <v>33</v>
      </c>
      <c r="C495" s="151" t="s">
        <v>128</v>
      </c>
      <c r="D495" s="245" t="s">
        <v>149</v>
      </c>
      <c r="E495" s="151" t="s">
        <v>130</v>
      </c>
      <c r="F495" s="151" t="s">
        <v>140</v>
      </c>
      <c r="G495" s="151" t="s">
        <v>34</v>
      </c>
      <c r="H495" s="151" t="s">
        <v>62</v>
      </c>
      <c r="I495" s="256">
        <v>24</v>
      </c>
      <c r="J495" s="151" t="s">
        <v>83</v>
      </c>
      <c r="K495" s="176" t="s">
        <v>132</v>
      </c>
      <c r="L495" s="245" t="s">
        <v>83</v>
      </c>
      <c r="M495" s="855"/>
      <c r="N495" s="245"/>
      <c r="O495" s="245" t="s">
        <v>183</v>
      </c>
      <c r="P495" s="245"/>
      <c r="Q495" s="176" t="s">
        <v>770</v>
      </c>
      <c r="R495" s="273"/>
      <c r="S495" s="274"/>
      <c r="T495" s="273"/>
      <c r="U495" s="273"/>
      <c r="V495" s="273"/>
      <c r="W495" s="273"/>
      <c r="X495" s="274"/>
      <c r="Y495" s="275">
        <v>200000000</v>
      </c>
      <c r="Z495" s="275">
        <f>+FRIL!J723</f>
        <v>0</v>
      </c>
      <c r="AA495" s="296"/>
      <c r="AB495" s="297">
        <v>200000000</v>
      </c>
      <c r="AC495" s="297">
        <f t="shared" si="185"/>
        <v>72712983</v>
      </c>
      <c r="AD495" s="297">
        <f>+AB495-AC495</f>
        <v>127287017</v>
      </c>
      <c r="AE495" s="297">
        <v>0</v>
      </c>
      <c r="AF495" s="297">
        <v>0</v>
      </c>
      <c r="AG495" s="297">
        <v>0</v>
      </c>
      <c r="AH495" s="297">
        <v>0</v>
      </c>
      <c r="AI495" s="297">
        <v>0</v>
      </c>
      <c r="AJ495" s="297">
        <v>0</v>
      </c>
      <c r="AK495" s="297">
        <v>11809721</v>
      </c>
      <c r="AL495" s="297">
        <v>0</v>
      </c>
      <c r="AM495" s="297">
        <v>60903262</v>
      </c>
      <c r="AN495" s="297">
        <v>0</v>
      </c>
      <c r="AO495" s="297">
        <f>+FRIL!L256</f>
        <v>0</v>
      </c>
      <c r="AP495" s="297">
        <v>0</v>
      </c>
      <c r="AQ495" s="296"/>
      <c r="AR495" s="297">
        <f t="shared" si="194"/>
        <v>0</v>
      </c>
      <c r="AS495" s="313" t="s">
        <v>185</v>
      </c>
      <c r="AT495" s="313" t="s">
        <v>83</v>
      </c>
      <c r="AU495" s="176" t="s">
        <v>138</v>
      </c>
    </row>
    <row r="496" spans="1:49" s="217" customFormat="1" ht="25.5" customHeight="1" outlineLevel="1">
      <c r="A496" s="215" t="s">
        <v>125</v>
      </c>
      <c r="B496" s="247"/>
      <c r="C496" s="247"/>
      <c r="D496" s="248"/>
      <c r="E496" s="249"/>
      <c r="F496" s="249"/>
      <c r="G496" s="249"/>
      <c r="H496" s="249"/>
      <c r="I496" s="249"/>
      <c r="J496" s="247"/>
      <c r="K496" s="259"/>
      <c r="L496" s="248"/>
      <c r="M496" s="248"/>
      <c r="N496" s="250"/>
      <c r="O496" s="250"/>
      <c r="P496" s="250"/>
      <c r="Q496" s="260" t="s">
        <v>187</v>
      </c>
      <c r="R496" s="278"/>
      <c r="S496" s="279"/>
      <c r="T496" s="279"/>
      <c r="U496" s="279"/>
      <c r="V496" s="279"/>
      <c r="W496" s="279"/>
      <c r="X496" s="281"/>
      <c r="Y496" s="286">
        <f>+Y491+Y492+Y494+Y495+Y493</f>
        <v>4811614562</v>
      </c>
      <c r="Z496" s="286">
        <f>+Z491+Z492+Z494+Z495+Z493</f>
        <v>2618173447</v>
      </c>
      <c r="AA496" s="303"/>
      <c r="AB496" s="286">
        <f t="shared" ref="AB496:AP496" si="195">+AB491+AB492+AB494+AB495+AB493</f>
        <v>1987460593</v>
      </c>
      <c r="AC496" s="286">
        <f t="shared" si="195"/>
        <v>446995208</v>
      </c>
      <c r="AD496" s="286">
        <f t="shared" si="195"/>
        <v>1540465385</v>
      </c>
      <c r="AE496" s="286">
        <f t="shared" si="195"/>
        <v>0</v>
      </c>
      <c r="AF496" s="286">
        <f t="shared" si="195"/>
        <v>0</v>
      </c>
      <c r="AG496" s="286">
        <f t="shared" si="195"/>
        <v>0</v>
      </c>
      <c r="AH496" s="286">
        <f t="shared" si="195"/>
        <v>0</v>
      </c>
      <c r="AI496" s="286">
        <f t="shared" si="195"/>
        <v>0</v>
      </c>
      <c r="AJ496" s="286">
        <f t="shared" si="195"/>
        <v>1600000</v>
      </c>
      <c r="AK496" s="286">
        <f t="shared" si="195"/>
        <v>11809721</v>
      </c>
      <c r="AL496" s="286">
        <f t="shared" si="195"/>
        <v>0</v>
      </c>
      <c r="AM496" s="286">
        <f t="shared" si="195"/>
        <v>60903262</v>
      </c>
      <c r="AN496" s="286">
        <f t="shared" si="195"/>
        <v>0</v>
      </c>
      <c r="AO496" s="286">
        <f t="shared" si="195"/>
        <v>0</v>
      </c>
      <c r="AP496" s="286">
        <f t="shared" si="195"/>
        <v>372682225</v>
      </c>
      <c r="AQ496" s="287"/>
      <c r="AR496" s="286">
        <f t="shared" si="194"/>
        <v>205980522</v>
      </c>
      <c r="AS496" s="315"/>
      <c r="AT496" s="315"/>
      <c r="AU496" s="220"/>
    </row>
    <row r="497" spans="1:47" ht="18.75" customHeight="1" outlineLevel="1">
      <c r="A497" s="215" t="s">
        <v>125</v>
      </c>
      <c r="B497" s="249"/>
      <c r="C497" s="249"/>
      <c r="D497" s="250"/>
      <c r="E497" s="249"/>
      <c r="F497" s="249"/>
      <c r="G497" s="249"/>
      <c r="H497" s="249"/>
      <c r="I497" s="249"/>
      <c r="J497" s="249"/>
      <c r="K497" s="261"/>
      <c r="L497" s="250"/>
      <c r="M497" s="250"/>
      <c r="N497" s="250"/>
      <c r="O497" s="250"/>
      <c r="P497" s="250"/>
      <c r="Q497" s="261"/>
      <c r="R497" s="283"/>
      <c r="S497" s="283"/>
      <c r="T497" s="283"/>
      <c r="U497" s="283"/>
      <c r="V497" s="283"/>
      <c r="W497" s="283"/>
      <c r="X497" s="283"/>
      <c r="Y497" s="284"/>
      <c r="Z497" s="284"/>
      <c r="AA497" s="301"/>
      <c r="AB497" s="301"/>
      <c r="AC497" s="301"/>
      <c r="AD497" s="301"/>
      <c r="AE497" s="301"/>
      <c r="AF497" s="301"/>
      <c r="AG497" s="301"/>
      <c r="AH497" s="301"/>
      <c r="AI497" s="301"/>
      <c r="AJ497" s="301"/>
      <c r="AK497" s="301"/>
      <c r="AL497" s="301"/>
      <c r="AM497" s="301"/>
      <c r="AN497" s="301"/>
      <c r="AO497" s="301"/>
      <c r="AP497" s="301"/>
      <c r="AQ497" s="301"/>
      <c r="AR497" s="301"/>
      <c r="AS497" s="316"/>
      <c r="AT497" s="316"/>
      <c r="AU497" s="317"/>
    </row>
    <row r="498" spans="1:47" s="219" customFormat="1" ht="24.75" customHeight="1" outlineLevel="1">
      <c r="A498" s="215" t="s">
        <v>125</v>
      </c>
      <c r="B498" s="251"/>
      <c r="C498" s="249"/>
      <c r="D498" s="250"/>
      <c r="E498" s="249"/>
      <c r="F498" s="249"/>
      <c r="G498" s="249"/>
      <c r="H498" s="249"/>
      <c r="I498" s="249"/>
      <c r="J498" s="251"/>
      <c r="K498" s="263"/>
      <c r="L498" s="252"/>
      <c r="M498" s="252"/>
      <c r="N498" s="252"/>
      <c r="O498" s="252"/>
      <c r="P498" s="252"/>
      <c r="Q498" s="117" t="s">
        <v>809</v>
      </c>
      <c r="R498" s="288"/>
      <c r="S498" s="289"/>
      <c r="T498" s="289"/>
      <c r="U498" s="289"/>
      <c r="V498" s="289"/>
      <c r="W498" s="289"/>
      <c r="X498" s="290"/>
      <c r="Y498" s="118">
        <f>+Y496</f>
        <v>4811614562</v>
      </c>
      <c r="Z498" s="118">
        <f>+Z496</f>
        <v>2618173447</v>
      </c>
      <c r="AA498" s="304"/>
      <c r="AB498" s="118">
        <f t="shared" ref="AB498:AP498" si="196">+AB496</f>
        <v>1987460593</v>
      </c>
      <c r="AC498" s="118">
        <f t="shared" si="196"/>
        <v>446995208</v>
      </c>
      <c r="AD498" s="118">
        <f t="shared" si="196"/>
        <v>1540465385</v>
      </c>
      <c r="AE498" s="118">
        <f t="shared" si="196"/>
        <v>0</v>
      </c>
      <c r="AF498" s="118">
        <f t="shared" si="196"/>
        <v>0</v>
      </c>
      <c r="AG498" s="118">
        <f t="shared" si="196"/>
        <v>0</v>
      </c>
      <c r="AH498" s="118">
        <f t="shared" si="196"/>
        <v>0</v>
      </c>
      <c r="AI498" s="118">
        <f t="shared" si="196"/>
        <v>0</v>
      </c>
      <c r="AJ498" s="118">
        <f t="shared" si="196"/>
        <v>1600000</v>
      </c>
      <c r="AK498" s="118">
        <f t="shared" si="196"/>
        <v>11809721</v>
      </c>
      <c r="AL498" s="118">
        <f t="shared" si="196"/>
        <v>0</v>
      </c>
      <c r="AM498" s="118">
        <f t="shared" si="196"/>
        <v>60903262</v>
      </c>
      <c r="AN498" s="118">
        <f t="shared" si="196"/>
        <v>0</v>
      </c>
      <c r="AO498" s="118">
        <f t="shared" si="196"/>
        <v>0</v>
      </c>
      <c r="AP498" s="118">
        <f t="shared" si="196"/>
        <v>372682225</v>
      </c>
      <c r="AQ498" s="318"/>
      <c r="AR498" s="118">
        <f>+Y498-Z498-AC498-AD498</f>
        <v>205980522</v>
      </c>
      <c r="AS498" s="333"/>
      <c r="AT498" s="333"/>
      <c r="AU498" s="320"/>
    </row>
    <row r="499" spans="1:47" ht="18.75" customHeight="1" outlineLevel="1">
      <c r="A499" s="215" t="s">
        <v>125</v>
      </c>
      <c r="B499" s="249"/>
      <c r="C499" s="249"/>
      <c r="D499" s="250"/>
      <c r="E499" s="249"/>
      <c r="F499" s="249"/>
      <c r="G499" s="249"/>
      <c r="H499" s="249"/>
      <c r="I499" s="249"/>
      <c r="J499" s="249"/>
      <c r="K499" s="261"/>
      <c r="L499" s="250"/>
      <c r="M499" s="250"/>
      <c r="N499" s="250"/>
      <c r="O499" s="250"/>
      <c r="P499" s="250"/>
      <c r="Q499" s="261"/>
      <c r="R499" s="283"/>
      <c r="S499" s="283"/>
      <c r="T499" s="283"/>
      <c r="U499" s="283"/>
      <c r="V499" s="283"/>
      <c r="W499" s="283"/>
      <c r="X499" s="283"/>
      <c r="Y499" s="284"/>
      <c r="Z499" s="284"/>
      <c r="AA499" s="301"/>
      <c r="AB499" s="301"/>
      <c r="AC499" s="301"/>
      <c r="AD499" s="301"/>
      <c r="AE499" s="301"/>
      <c r="AF499" s="301"/>
      <c r="AG499" s="301"/>
      <c r="AH499" s="301"/>
      <c r="AI499" s="301"/>
      <c r="AJ499" s="301"/>
      <c r="AK499" s="301"/>
      <c r="AL499" s="301"/>
      <c r="AM499" s="301"/>
      <c r="AN499" s="301"/>
      <c r="AO499" s="301"/>
      <c r="AP499" s="301"/>
      <c r="AQ499" s="301"/>
      <c r="AR499" s="301"/>
      <c r="AS499" s="316"/>
      <c r="AT499" s="316"/>
      <c r="AU499" s="317"/>
    </row>
    <row r="500" spans="1:47" ht="26.25" customHeight="1" outlineLevel="1">
      <c r="A500" s="215" t="s">
        <v>125</v>
      </c>
      <c r="B500" s="249"/>
      <c r="C500" s="249"/>
      <c r="D500" s="250"/>
      <c r="E500" s="249"/>
      <c r="F500" s="249"/>
      <c r="G500" s="249"/>
      <c r="H500" s="249"/>
      <c r="I500" s="249"/>
      <c r="J500" s="249"/>
      <c r="K500" s="261"/>
      <c r="L500" s="250"/>
      <c r="M500" s="250"/>
      <c r="N500" s="250"/>
      <c r="O500" s="250"/>
      <c r="P500" s="250"/>
      <c r="Q500" s="264" t="s">
        <v>810</v>
      </c>
      <c r="R500" s="283"/>
      <c r="S500" s="283"/>
      <c r="T500" s="283"/>
      <c r="U500" s="283"/>
      <c r="V500" s="283"/>
      <c r="W500" s="283"/>
      <c r="X500" s="283"/>
      <c r="Y500" s="284"/>
      <c r="Z500" s="284"/>
      <c r="AA500" s="301"/>
      <c r="AB500" s="301"/>
      <c r="AC500" s="301"/>
      <c r="AD500" s="301"/>
      <c r="AE500" s="301"/>
      <c r="AF500" s="301"/>
      <c r="AG500" s="301"/>
      <c r="AH500" s="301"/>
      <c r="AI500" s="301"/>
      <c r="AJ500" s="301"/>
      <c r="AK500" s="301"/>
      <c r="AL500" s="301"/>
      <c r="AM500" s="301"/>
      <c r="AN500" s="301"/>
      <c r="AO500" s="301"/>
      <c r="AP500" s="301"/>
      <c r="AQ500" s="301"/>
      <c r="AR500" s="301"/>
      <c r="AS500" s="316"/>
      <c r="AT500" s="316"/>
      <c r="AU500" s="317"/>
    </row>
    <row r="501" spans="1:47" s="216" customFormat="1" ht="15" customHeight="1" outlineLevel="1">
      <c r="A501" s="215" t="s">
        <v>125</v>
      </c>
      <c r="B501" s="249"/>
      <c r="C501" s="249"/>
      <c r="D501" s="250"/>
      <c r="E501" s="249"/>
      <c r="F501" s="249"/>
      <c r="G501" s="249"/>
      <c r="H501" s="249"/>
      <c r="I501" s="249"/>
      <c r="J501" s="249"/>
      <c r="K501" s="261"/>
      <c r="L501" s="250"/>
      <c r="M501" s="250"/>
      <c r="N501" s="250"/>
      <c r="O501" s="250"/>
      <c r="P501" s="250"/>
      <c r="Q501" s="255"/>
      <c r="R501" s="283"/>
      <c r="S501" s="283"/>
      <c r="T501" s="283"/>
      <c r="U501" s="283"/>
      <c r="V501" s="283"/>
      <c r="W501" s="283"/>
      <c r="X501" s="283"/>
      <c r="Y501" s="284"/>
      <c r="Z501" s="284"/>
      <c r="AA501" s="301"/>
      <c r="AB501" s="301"/>
      <c r="AC501" s="301"/>
      <c r="AD501" s="301"/>
      <c r="AE501" s="301"/>
      <c r="AF501" s="301"/>
      <c r="AG501" s="301"/>
      <c r="AH501" s="301"/>
      <c r="AI501" s="301"/>
      <c r="AJ501" s="301"/>
      <c r="AK501" s="301"/>
      <c r="AL501" s="301"/>
      <c r="AM501" s="301"/>
      <c r="AN501" s="301"/>
      <c r="AO501" s="301"/>
      <c r="AP501" s="301"/>
      <c r="AQ501" s="301"/>
      <c r="AR501" s="301"/>
      <c r="AS501" s="316"/>
      <c r="AT501" s="316"/>
      <c r="AU501" s="317"/>
    </row>
    <row r="502" spans="1:47" s="217" customFormat="1" ht="25.5" customHeight="1" outlineLevel="1">
      <c r="A502" s="215" t="s">
        <v>125</v>
      </c>
      <c r="B502" s="247"/>
      <c r="C502" s="247"/>
      <c r="D502" s="248"/>
      <c r="E502" s="249"/>
      <c r="F502" s="249"/>
      <c r="G502" s="249"/>
      <c r="H502" s="249"/>
      <c r="I502" s="249"/>
      <c r="J502" s="247"/>
      <c r="K502" s="259"/>
      <c r="L502" s="248"/>
      <c r="M502" s="248"/>
      <c r="N502" s="250"/>
      <c r="O502" s="250"/>
      <c r="P502" s="250"/>
      <c r="Q502" s="99" t="s">
        <v>127</v>
      </c>
      <c r="R502" s="283"/>
      <c r="S502" s="283"/>
      <c r="T502" s="283"/>
      <c r="U502" s="283"/>
      <c r="V502" s="283"/>
      <c r="W502" s="283"/>
      <c r="X502" s="283"/>
      <c r="Y502" s="285"/>
      <c r="Z502" s="285"/>
      <c r="AA502" s="302"/>
      <c r="AB502" s="302"/>
      <c r="AC502" s="302"/>
      <c r="AD502" s="302"/>
      <c r="AE502" s="302"/>
      <c r="AF502" s="302"/>
      <c r="AG502" s="302"/>
      <c r="AH502" s="301"/>
      <c r="AI502" s="301"/>
      <c r="AJ502" s="301"/>
      <c r="AK502" s="301"/>
      <c r="AL502" s="301"/>
      <c r="AM502" s="301"/>
      <c r="AN502" s="301"/>
      <c r="AO502" s="301"/>
      <c r="AP502" s="301"/>
      <c r="AQ502" s="302"/>
      <c r="AR502" s="302"/>
      <c r="AS502" s="315"/>
      <c r="AT502" s="315"/>
      <c r="AU502" s="220"/>
    </row>
    <row r="503" spans="1:47" s="69" customFormat="1" ht="25.5" customHeight="1" outlineLevel="1">
      <c r="A503" s="215" t="s">
        <v>125</v>
      </c>
      <c r="B503" s="151">
        <v>29</v>
      </c>
      <c r="C503" s="151" t="s">
        <v>128</v>
      </c>
      <c r="D503" s="245" t="s">
        <v>149</v>
      </c>
      <c r="E503" s="151" t="s">
        <v>130</v>
      </c>
      <c r="F503" s="151" t="s">
        <v>140</v>
      </c>
      <c r="G503" s="151" t="s">
        <v>34</v>
      </c>
      <c r="H503" s="151" t="s">
        <v>63</v>
      </c>
      <c r="I503" s="256">
        <v>25</v>
      </c>
      <c r="J503" s="151" t="s">
        <v>81</v>
      </c>
      <c r="K503" s="176" t="s">
        <v>132</v>
      </c>
      <c r="L503" s="245">
        <v>40004579</v>
      </c>
      <c r="M503" s="855"/>
      <c r="N503" s="245" t="e">
        <v>#N/A</v>
      </c>
      <c r="O503" s="245" t="s">
        <v>811</v>
      </c>
      <c r="P503" s="245"/>
      <c r="Q503" s="176" t="s">
        <v>812</v>
      </c>
      <c r="R503" s="273"/>
      <c r="S503" s="274"/>
      <c r="T503" s="273"/>
      <c r="U503" s="273"/>
      <c r="V503" s="273"/>
      <c r="W503" s="273"/>
      <c r="X503" s="274"/>
      <c r="Y503" s="275">
        <v>93784000</v>
      </c>
      <c r="Z503" s="275">
        <v>0</v>
      </c>
      <c r="AA503" s="296"/>
      <c r="AB503" s="297">
        <v>93784000</v>
      </c>
      <c r="AC503" s="297">
        <f t="shared" si="185"/>
        <v>76472052</v>
      </c>
      <c r="AD503" s="297">
        <f t="shared" ref="AD503:AD508" si="197">+AB503-AC503</f>
        <v>17311948</v>
      </c>
      <c r="AE503" s="297">
        <v>0</v>
      </c>
      <c r="AF503" s="297">
        <v>0</v>
      </c>
      <c r="AG503" s="297">
        <v>0</v>
      </c>
      <c r="AH503" s="297">
        <v>0</v>
      </c>
      <c r="AI503" s="297">
        <v>0</v>
      </c>
      <c r="AJ503" s="297">
        <v>0</v>
      </c>
      <c r="AK503" s="297">
        <v>76472052</v>
      </c>
      <c r="AL503" s="297">
        <v>0</v>
      </c>
      <c r="AM503" s="297">
        <v>0</v>
      </c>
      <c r="AN503" s="297">
        <v>0</v>
      </c>
      <c r="AO503" s="297">
        <v>0</v>
      </c>
      <c r="AP503" s="297">
        <v>0</v>
      </c>
      <c r="AQ503" s="296"/>
      <c r="AR503" s="297">
        <f t="shared" ref="AR503:AR509" si="198">+Y503-Z503-AC503-AD503</f>
        <v>0</v>
      </c>
      <c r="AS503" s="313" t="s">
        <v>148</v>
      </c>
      <c r="AT503" s="313" t="s">
        <v>1464</v>
      </c>
      <c r="AU503" s="176" t="s">
        <v>138</v>
      </c>
    </row>
    <row r="504" spans="1:47" s="218" customFormat="1" ht="25.5" customHeight="1" outlineLevel="2">
      <c r="A504" s="215" t="s">
        <v>125</v>
      </c>
      <c r="B504" s="151">
        <v>31</v>
      </c>
      <c r="C504" s="151" t="s">
        <v>128</v>
      </c>
      <c r="D504" s="245" t="s">
        <v>139</v>
      </c>
      <c r="E504" s="151" t="s">
        <v>169</v>
      </c>
      <c r="F504" s="151" t="s">
        <v>140</v>
      </c>
      <c r="G504" s="151" t="s">
        <v>34</v>
      </c>
      <c r="H504" s="151" t="s">
        <v>63</v>
      </c>
      <c r="I504" s="256">
        <v>25</v>
      </c>
      <c r="J504" s="151" t="s">
        <v>80</v>
      </c>
      <c r="K504" s="176" t="s">
        <v>132</v>
      </c>
      <c r="L504" s="245">
        <v>30343540</v>
      </c>
      <c r="M504" s="855"/>
      <c r="N504" s="245" t="s">
        <v>652</v>
      </c>
      <c r="O504" s="245" t="s">
        <v>813</v>
      </c>
      <c r="P504" s="245"/>
      <c r="Q504" s="176" t="s">
        <v>814</v>
      </c>
      <c r="R504" s="273" t="s">
        <v>815</v>
      </c>
      <c r="S504" s="274"/>
      <c r="T504" s="273"/>
      <c r="U504" s="273"/>
      <c r="V504" s="273"/>
      <c r="W504" s="273"/>
      <c r="X504" s="274"/>
      <c r="Y504" s="275">
        <v>1120303239</v>
      </c>
      <c r="Z504" s="275">
        <v>1120303239</v>
      </c>
      <c r="AA504" s="296"/>
      <c r="AB504" s="297">
        <v>0</v>
      </c>
      <c r="AC504" s="297">
        <f t="shared" si="185"/>
        <v>0</v>
      </c>
      <c r="AD504" s="297">
        <f t="shared" si="197"/>
        <v>0</v>
      </c>
      <c r="AE504" s="297">
        <v>0</v>
      </c>
      <c r="AF504" s="297">
        <v>0</v>
      </c>
      <c r="AG504" s="297">
        <v>0</v>
      </c>
      <c r="AH504" s="297">
        <v>0</v>
      </c>
      <c r="AI504" s="297">
        <v>0</v>
      </c>
      <c r="AJ504" s="297">
        <v>0</v>
      </c>
      <c r="AK504" s="297">
        <v>0</v>
      </c>
      <c r="AL504" s="297">
        <v>0</v>
      </c>
      <c r="AM504" s="297">
        <v>0</v>
      </c>
      <c r="AN504" s="297">
        <v>0</v>
      </c>
      <c r="AO504" s="297">
        <v>0</v>
      </c>
      <c r="AP504" s="297">
        <v>0</v>
      </c>
      <c r="AQ504" s="296"/>
      <c r="AR504" s="297">
        <f t="shared" si="198"/>
        <v>0</v>
      </c>
      <c r="AS504" s="313" t="s">
        <v>137</v>
      </c>
      <c r="AT504" s="313" t="s">
        <v>1475</v>
      </c>
      <c r="AU504" s="176" t="s">
        <v>301</v>
      </c>
    </row>
    <row r="505" spans="1:47" s="218" customFormat="1" ht="25.5" customHeight="1" outlineLevel="2">
      <c r="A505" s="215" t="s">
        <v>125</v>
      </c>
      <c r="B505" s="151">
        <v>31</v>
      </c>
      <c r="C505" s="151" t="s">
        <v>128</v>
      </c>
      <c r="D505" s="245" t="s">
        <v>159</v>
      </c>
      <c r="E505" s="151" t="s">
        <v>169</v>
      </c>
      <c r="F505" s="151" t="s">
        <v>140</v>
      </c>
      <c r="G505" s="151" t="s">
        <v>34</v>
      </c>
      <c r="H505" s="151" t="s">
        <v>63</v>
      </c>
      <c r="I505" s="256">
        <v>25</v>
      </c>
      <c r="J505" s="151" t="s">
        <v>80</v>
      </c>
      <c r="K505" s="176" t="s">
        <v>132</v>
      </c>
      <c r="L505" s="245">
        <v>30480757</v>
      </c>
      <c r="M505" s="855"/>
      <c r="N505" s="245" t="s">
        <v>652</v>
      </c>
      <c r="O505" s="245" t="s">
        <v>816</v>
      </c>
      <c r="P505" s="245"/>
      <c r="Q505" s="176" t="s">
        <v>817</v>
      </c>
      <c r="R505" s="273"/>
      <c r="S505" s="274"/>
      <c r="T505" s="273"/>
      <c r="U505" s="273" t="s">
        <v>818</v>
      </c>
      <c r="V505" s="273">
        <v>32125000</v>
      </c>
      <c r="W505" s="273"/>
      <c r="X505" s="274"/>
      <c r="Y505" s="275">
        <v>361002000</v>
      </c>
      <c r="Z505" s="275">
        <v>237468743</v>
      </c>
      <c r="AA505" s="296"/>
      <c r="AB505" s="297">
        <f>+Y505-Z505</f>
        <v>123533257</v>
      </c>
      <c r="AC505" s="297">
        <f t="shared" si="185"/>
        <v>74761010</v>
      </c>
      <c r="AD505" s="297">
        <f t="shared" si="197"/>
        <v>48772247</v>
      </c>
      <c r="AE505" s="297">
        <v>0</v>
      </c>
      <c r="AF505" s="297">
        <v>0</v>
      </c>
      <c r="AG505" s="297">
        <v>0</v>
      </c>
      <c r="AH505" s="297">
        <v>0</v>
      </c>
      <c r="AI505" s="297">
        <v>0</v>
      </c>
      <c r="AJ505" s="297">
        <v>0</v>
      </c>
      <c r="AK505" s="297">
        <v>0</v>
      </c>
      <c r="AL505" s="297">
        <v>0</v>
      </c>
      <c r="AM505" s="297">
        <v>15450353</v>
      </c>
      <c r="AN505" s="297">
        <v>0</v>
      </c>
      <c r="AO505" s="297">
        <v>29245455</v>
      </c>
      <c r="AP505" s="297">
        <v>30065202</v>
      </c>
      <c r="AQ505" s="296"/>
      <c r="AR505" s="297">
        <f t="shared" si="198"/>
        <v>0</v>
      </c>
      <c r="AS505" s="313" t="s">
        <v>148</v>
      </c>
      <c r="AT505" s="313" t="s">
        <v>1464</v>
      </c>
      <c r="AU505" s="176" t="s">
        <v>138</v>
      </c>
    </row>
    <row r="506" spans="1:47" s="218" customFormat="1" ht="25.5" customHeight="1" outlineLevel="2">
      <c r="A506" s="215" t="s">
        <v>125</v>
      </c>
      <c r="B506" s="151">
        <v>31</v>
      </c>
      <c r="C506" s="151" t="s">
        <v>128</v>
      </c>
      <c r="D506" s="245" t="s">
        <v>164</v>
      </c>
      <c r="E506" s="151" t="s">
        <v>169</v>
      </c>
      <c r="F506" s="151" t="s">
        <v>140</v>
      </c>
      <c r="G506" s="151" t="s">
        <v>34</v>
      </c>
      <c r="H506" s="151" t="s">
        <v>63</v>
      </c>
      <c r="I506" s="256">
        <v>25</v>
      </c>
      <c r="J506" s="151" t="s">
        <v>80</v>
      </c>
      <c r="K506" s="176" t="s">
        <v>132</v>
      </c>
      <c r="L506" s="245">
        <v>30078798</v>
      </c>
      <c r="M506" s="855" t="s">
        <v>164</v>
      </c>
      <c r="N506" s="245" t="s">
        <v>656</v>
      </c>
      <c r="O506" s="245" t="s">
        <v>819</v>
      </c>
      <c r="P506" s="245"/>
      <c r="Q506" s="176" t="s">
        <v>820</v>
      </c>
      <c r="R506" s="273"/>
      <c r="S506" s="274"/>
      <c r="T506" s="273"/>
      <c r="U506" s="273" t="s">
        <v>821</v>
      </c>
      <c r="V506" s="273">
        <v>23622000</v>
      </c>
      <c r="W506" s="273"/>
      <c r="X506" s="274"/>
      <c r="Y506" s="275">
        <v>487098000</v>
      </c>
      <c r="Z506" s="275">
        <v>140554528</v>
      </c>
      <c r="AA506" s="296"/>
      <c r="AB506" s="297">
        <f>252855688+35077329+22612490</f>
        <v>310545507</v>
      </c>
      <c r="AC506" s="297">
        <f t="shared" si="185"/>
        <v>310545507</v>
      </c>
      <c r="AD506" s="297">
        <f t="shared" si="197"/>
        <v>0</v>
      </c>
      <c r="AE506" s="297">
        <v>0</v>
      </c>
      <c r="AF506" s="297">
        <v>0</v>
      </c>
      <c r="AG506" s="297">
        <v>0</v>
      </c>
      <c r="AH506" s="297">
        <v>0</v>
      </c>
      <c r="AI506" s="297">
        <v>0</v>
      </c>
      <c r="AJ506" s="297">
        <v>0</v>
      </c>
      <c r="AK506" s="297">
        <v>22612490</v>
      </c>
      <c r="AL506" s="297">
        <v>41650296</v>
      </c>
      <c r="AM506" s="297">
        <v>0</v>
      </c>
      <c r="AN506" s="297">
        <v>48715866</v>
      </c>
      <c r="AO506" s="297">
        <v>48756690</v>
      </c>
      <c r="AP506" s="297">
        <v>148810165</v>
      </c>
      <c r="AQ506" s="296"/>
      <c r="AR506" s="297">
        <f t="shared" si="198"/>
        <v>35997965</v>
      </c>
      <c r="AS506" s="313" t="s">
        <v>137</v>
      </c>
      <c r="AT506" s="313" t="s">
        <v>137</v>
      </c>
      <c r="AU506" s="176" t="s">
        <v>138</v>
      </c>
    </row>
    <row r="507" spans="1:47" s="218" customFormat="1" ht="25.5" customHeight="1" outlineLevel="2">
      <c r="A507" s="215" t="s">
        <v>125</v>
      </c>
      <c r="B507" s="191">
        <v>33</v>
      </c>
      <c r="C507" s="191" t="s">
        <v>128</v>
      </c>
      <c r="D507" s="246" t="s">
        <v>149</v>
      </c>
      <c r="E507" s="191" t="s">
        <v>130</v>
      </c>
      <c r="F507" s="191" t="s">
        <v>140</v>
      </c>
      <c r="G507" s="191" t="s">
        <v>34</v>
      </c>
      <c r="H507" s="191" t="s">
        <v>63</v>
      </c>
      <c r="I507" s="258">
        <v>25</v>
      </c>
      <c r="J507" s="191" t="s">
        <v>83</v>
      </c>
      <c r="K507" s="192" t="s">
        <v>132</v>
      </c>
      <c r="L507" s="246" t="s">
        <v>83</v>
      </c>
      <c r="M507" s="861" t="s">
        <v>1604</v>
      </c>
      <c r="N507" s="246"/>
      <c r="O507" s="245" t="s">
        <v>183</v>
      </c>
      <c r="P507" s="246"/>
      <c r="Q507" s="192" t="s">
        <v>184</v>
      </c>
      <c r="R507" s="276"/>
      <c r="S507" s="277"/>
      <c r="T507" s="276"/>
      <c r="U507" s="276"/>
      <c r="V507" s="276"/>
      <c r="W507" s="276"/>
      <c r="X507" s="277"/>
      <c r="Y507" s="194">
        <v>100000000</v>
      </c>
      <c r="Z507" s="194">
        <f>+FRIL!J746</f>
        <v>0</v>
      </c>
      <c r="AA507" s="298"/>
      <c r="AB507" s="299">
        <v>100000000</v>
      </c>
      <c r="AC507" s="299">
        <f t="shared" si="185"/>
        <v>0</v>
      </c>
      <c r="AD507" s="299">
        <f t="shared" si="197"/>
        <v>100000000</v>
      </c>
      <c r="AE507" s="299">
        <v>0</v>
      </c>
      <c r="AF507" s="299">
        <v>0</v>
      </c>
      <c r="AG507" s="299">
        <v>0</v>
      </c>
      <c r="AH507" s="299">
        <v>0</v>
      </c>
      <c r="AI507" s="299">
        <v>0</v>
      </c>
      <c r="AJ507" s="297">
        <v>0</v>
      </c>
      <c r="AK507" s="299">
        <v>0</v>
      </c>
      <c r="AL507" s="299">
        <v>0</v>
      </c>
      <c r="AM507" s="299">
        <v>0</v>
      </c>
      <c r="AN507" s="299">
        <v>0</v>
      </c>
      <c r="AO507" s="297">
        <v>0</v>
      </c>
      <c r="AP507" s="299">
        <v>0</v>
      </c>
      <c r="AQ507" s="298"/>
      <c r="AR507" s="299">
        <f t="shared" si="198"/>
        <v>0</v>
      </c>
      <c r="AS507" s="314" t="s">
        <v>185</v>
      </c>
      <c r="AT507" s="314" t="s">
        <v>83</v>
      </c>
      <c r="AU507" s="192" t="s">
        <v>138</v>
      </c>
    </row>
    <row r="508" spans="1:47" s="218" customFormat="1" ht="25.5" customHeight="1" outlineLevel="2">
      <c r="A508" s="215" t="s">
        <v>125</v>
      </c>
      <c r="B508" s="151">
        <v>33</v>
      </c>
      <c r="C508" s="151" t="s">
        <v>128</v>
      </c>
      <c r="D508" s="245" t="s">
        <v>149</v>
      </c>
      <c r="E508" s="151" t="s">
        <v>130</v>
      </c>
      <c r="F508" s="151" t="s">
        <v>140</v>
      </c>
      <c r="G508" s="151" t="s">
        <v>34</v>
      </c>
      <c r="H508" s="151" t="s">
        <v>63</v>
      </c>
      <c r="I508" s="256">
        <v>25</v>
      </c>
      <c r="J508" s="151" t="s">
        <v>83</v>
      </c>
      <c r="K508" s="176" t="s">
        <v>132</v>
      </c>
      <c r="L508" s="245" t="s">
        <v>83</v>
      </c>
      <c r="M508" s="855"/>
      <c r="N508" s="245"/>
      <c r="O508" s="245" t="s">
        <v>183</v>
      </c>
      <c r="P508" s="245"/>
      <c r="Q508" s="176" t="s">
        <v>822</v>
      </c>
      <c r="R508" s="273"/>
      <c r="S508" s="274"/>
      <c r="T508" s="273"/>
      <c r="U508" s="273"/>
      <c r="V508" s="273"/>
      <c r="W508" s="273"/>
      <c r="X508" s="274"/>
      <c r="Y508" s="275">
        <v>200000000</v>
      </c>
      <c r="Z508" s="275">
        <f>+FRIL!J747</f>
        <v>0</v>
      </c>
      <c r="AA508" s="296"/>
      <c r="AB508" s="297">
        <v>200000000</v>
      </c>
      <c r="AC508" s="297">
        <f t="shared" si="185"/>
        <v>11137653</v>
      </c>
      <c r="AD508" s="297">
        <f t="shared" si="197"/>
        <v>188862347</v>
      </c>
      <c r="AE508" s="297">
        <v>0</v>
      </c>
      <c r="AF508" s="297">
        <v>0</v>
      </c>
      <c r="AG508" s="297">
        <v>0</v>
      </c>
      <c r="AH508" s="297">
        <v>0</v>
      </c>
      <c r="AI508" s="297">
        <v>0</v>
      </c>
      <c r="AJ508" s="297">
        <v>0</v>
      </c>
      <c r="AK508" s="297">
        <v>0</v>
      </c>
      <c r="AL508" s="297">
        <v>0</v>
      </c>
      <c r="AM508" s="297">
        <v>11137653</v>
      </c>
      <c r="AN508" s="297">
        <v>0</v>
      </c>
      <c r="AO508" s="297">
        <f>+FRIL!L266</f>
        <v>0</v>
      </c>
      <c r="AP508" s="297">
        <v>0</v>
      </c>
      <c r="AQ508" s="296"/>
      <c r="AR508" s="297">
        <f t="shared" si="198"/>
        <v>0</v>
      </c>
      <c r="AS508" s="313" t="s">
        <v>185</v>
      </c>
      <c r="AT508" s="313" t="s">
        <v>83</v>
      </c>
      <c r="AU508" s="176" t="s">
        <v>138</v>
      </c>
    </row>
    <row r="509" spans="1:47" s="217" customFormat="1" ht="25.5" customHeight="1" outlineLevel="1">
      <c r="A509" s="215" t="s">
        <v>125</v>
      </c>
      <c r="B509" s="247"/>
      <c r="C509" s="247"/>
      <c r="D509" s="248"/>
      <c r="E509" s="249"/>
      <c r="F509" s="249"/>
      <c r="G509" s="249"/>
      <c r="H509" s="249"/>
      <c r="I509" s="249"/>
      <c r="J509" s="247"/>
      <c r="K509" s="259"/>
      <c r="L509" s="248"/>
      <c r="M509" s="248"/>
      <c r="N509" s="250"/>
      <c r="O509" s="250"/>
      <c r="P509" s="250"/>
      <c r="Q509" s="260" t="s">
        <v>187</v>
      </c>
      <c r="R509" s="402"/>
      <c r="S509" s="279"/>
      <c r="T509" s="279"/>
      <c r="U509" s="279"/>
      <c r="V509" s="279"/>
      <c r="W509" s="279"/>
      <c r="X509" s="281"/>
      <c r="Y509" s="286">
        <f>+Y503+Y504+Y505+Y506+Y507+Y508</f>
        <v>2362187239</v>
      </c>
      <c r="Z509" s="286">
        <f t="shared" ref="Z509:AP509" si="199">+Z503+Z504+Z505+Z506+Z507+Z508</f>
        <v>1498326510</v>
      </c>
      <c r="AA509" s="303"/>
      <c r="AB509" s="286">
        <f t="shared" si="199"/>
        <v>827862764</v>
      </c>
      <c r="AC509" s="286">
        <f t="shared" si="185"/>
        <v>472916222</v>
      </c>
      <c r="AD509" s="286">
        <f t="shared" si="199"/>
        <v>354946542</v>
      </c>
      <c r="AE509" s="286">
        <f t="shared" si="199"/>
        <v>0</v>
      </c>
      <c r="AF509" s="286">
        <f t="shared" si="199"/>
        <v>0</v>
      </c>
      <c r="AG509" s="286">
        <f t="shared" si="199"/>
        <v>0</v>
      </c>
      <c r="AH509" s="286">
        <f t="shared" si="199"/>
        <v>0</v>
      </c>
      <c r="AI509" s="286">
        <f t="shared" si="199"/>
        <v>0</v>
      </c>
      <c r="AJ509" s="286">
        <v>0</v>
      </c>
      <c r="AK509" s="286">
        <v>99084542</v>
      </c>
      <c r="AL509" s="286">
        <v>41650296</v>
      </c>
      <c r="AM509" s="286">
        <f t="shared" si="199"/>
        <v>26588006</v>
      </c>
      <c r="AN509" s="286">
        <f t="shared" si="199"/>
        <v>48715866</v>
      </c>
      <c r="AO509" s="286">
        <f t="shared" si="199"/>
        <v>78002145</v>
      </c>
      <c r="AP509" s="286">
        <f t="shared" si="199"/>
        <v>178875367</v>
      </c>
      <c r="AQ509" s="287"/>
      <c r="AR509" s="286">
        <f t="shared" si="198"/>
        <v>35997965</v>
      </c>
      <c r="AS509" s="315"/>
      <c r="AT509" s="315"/>
      <c r="AU509" s="220"/>
    </row>
    <row r="510" spans="1:47" ht="18.75" customHeight="1" outlineLevel="1">
      <c r="A510" s="215" t="s">
        <v>125</v>
      </c>
      <c r="B510" s="249"/>
      <c r="C510" s="249"/>
      <c r="D510" s="250"/>
      <c r="E510" s="249"/>
      <c r="F510" s="249"/>
      <c r="G510" s="249"/>
      <c r="H510" s="249"/>
      <c r="I510" s="249"/>
      <c r="J510" s="249"/>
      <c r="K510" s="261"/>
      <c r="L510" s="250"/>
      <c r="M510" s="250"/>
      <c r="N510" s="250"/>
      <c r="O510" s="250"/>
      <c r="P510" s="250"/>
      <c r="Q510" s="261"/>
      <c r="R510" s="283"/>
      <c r="S510" s="283"/>
      <c r="T510" s="283"/>
      <c r="U510" s="283"/>
      <c r="V510" s="283"/>
      <c r="W510" s="283"/>
      <c r="X510" s="283"/>
      <c r="Y510" s="284"/>
      <c r="Z510" s="284"/>
      <c r="AA510" s="301"/>
      <c r="AB510" s="301"/>
      <c r="AC510" s="301"/>
      <c r="AD510" s="301"/>
      <c r="AE510" s="301"/>
      <c r="AF510" s="301"/>
      <c r="AG510" s="301"/>
      <c r="AH510" s="301"/>
      <c r="AI510" s="301"/>
      <c r="AJ510" s="301"/>
      <c r="AK510" s="301"/>
      <c r="AL510" s="301"/>
      <c r="AM510" s="301"/>
      <c r="AN510" s="301"/>
      <c r="AO510" s="301"/>
      <c r="AP510" s="301"/>
      <c r="AQ510" s="301"/>
      <c r="AR510" s="301"/>
      <c r="AS510" s="316"/>
      <c r="AT510" s="316"/>
      <c r="AU510" s="317"/>
    </row>
    <row r="511" spans="1:47" s="217" customFormat="1" ht="25.5" customHeight="1" outlineLevel="1">
      <c r="A511" s="215" t="s">
        <v>125</v>
      </c>
      <c r="B511" s="247"/>
      <c r="C511" s="247"/>
      <c r="D511" s="248"/>
      <c r="E511" s="249"/>
      <c r="F511" s="249"/>
      <c r="G511" s="249"/>
      <c r="H511" s="249"/>
      <c r="I511" s="249"/>
      <c r="J511" s="247"/>
      <c r="K511" s="259"/>
      <c r="L511" s="248"/>
      <c r="M511" s="248"/>
      <c r="N511" s="250"/>
      <c r="O511" s="250"/>
      <c r="P511" s="250"/>
      <c r="Q511" s="99" t="s">
        <v>188</v>
      </c>
      <c r="R511" s="283"/>
      <c r="S511" s="283"/>
      <c r="T511" s="283"/>
      <c r="U511" s="283"/>
      <c r="V511" s="283"/>
      <c r="W511" s="283"/>
      <c r="X511" s="283"/>
      <c r="Y511" s="285"/>
      <c r="Z511" s="285"/>
      <c r="AA511" s="302"/>
      <c r="AB511" s="302"/>
      <c r="AC511" s="302"/>
      <c r="AD511" s="302"/>
      <c r="AE511" s="302"/>
      <c r="AF511" s="302"/>
      <c r="AG511" s="302"/>
      <c r="AH511" s="301"/>
      <c r="AI511" s="301"/>
      <c r="AJ511" s="301"/>
      <c r="AK511" s="301"/>
      <c r="AL511" s="301"/>
      <c r="AM511" s="301"/>
      <c r="AN511" s="301"/>
      <c r="AO511" s="301"/>
      <c r="AP511" s="301"/>
      <c r="AQ511" s="302"/>
      <c r="AR511" s="302"/>
      <c r="AS511" s="315"/>
      <c r="AT511" s="315"/>
      <c r="AU511" s="220"/>
    </row>
    <row r="512" spans="1:47" s="217" customFormat="1" ht="25.5" customHeight="1" outlineLevel="1">
      <c r="A512" s="215" t="s">
        <v>125</v>
      </c>
      <c r="B512" s="151">
        <v>31</v>
      </c>
      <c r="C512" s="151" t="s">
        <v>196</v>
      </c>
      <c r="D512" s="245" t="s">
        <v>159</v>
      </c>
      <c r="E512" s="151" t="s">
        <v>130</v>
      </c>
      <c r="F512" s="151" t="s">
        <v>140</v>
      </c>
      <c r="G512" s="151" t="s">
        <v>34</v>
      </c>
      <c r="H512" s="151" t="s">
        <v>63</v>
      </c>
      <c r="I512" s="256">
        <v>25</v>
      </c>
      <c r="J512" s="151" t="s">
        <v>80</v>
      </c>
      <c r="K512" s="176" t="s">
        <v>132</v>
      </c>
      <c r="L512" s="245">
        <v>40002386</v>
      </c>
      <c r="M512" s="855"/>
      <c r="N512" s="245"/>
      <c r="O512" s="245" t="s">
        <v>823</v>
      </c>
      <c r="P512" s="245"/>
      <c r="Q512" s="176" t="s">
        <v>824</v>
      </c>
      <c r="R512" s="273"/>
      <c r="S512" s="274"/>
      <c r="T512" s="273"/>
      <c r="U512" s="273"/>
      <c r="V512" s="273"/>
      <c r="W512" s="273"/>
      <c r="X512" s="274"/>
      <c r="Y512" s="275">
        <v>1159931000</v>
      </c>
      <c r="Z512" s="275">
        <v>0</v>
      </c>
      <c r="AA512" s="296"/>
      <c r="AB512" s="297">
        <f>175996550-35077329-22612490</f>
        <v>118306731</v>
      </c>
      <c r="AC512" s="297">
        <f t="shared" ref="AC512:AC561" si="200">SUBTOTAL(9,AE512:AP512)</f>
        <v>0</v>
      </c>
      <c r="AD512" s="297">
        <f>+AB512-AC512</f>
        <v>118306731</v>
      </c>
      <c r="AE512" s="297">
        <v>0</v>
      </c>
      <c r="AF512" s="297">
        <v>0</v>
      </c>
      <c r="AG512" s="297">
        <v>0</v>
      </c>
      <c r="AH512" s="297">
        <v>0</v>
      </c>
      <c r="AI512" s="297">
        <v>0</v>
      </c>
      <c r="AJ512" s="297">
        <v>0</v>
      </c>
      <c r="AK512" s="297">
        <v>0</v>
      </c>
      <c r="AL512" s="297">
        <v>0</v>
      </c>
      <c r="AM512" s="297">
        <v>0</v>
      </c>
      <c r="AN512" s="297">
        <v>0</v>
      </c>
      <c r="AO512" s="297">
        <v>0</v>
      </c>
      <c r="AP512" s="297">
        <v>0</v>
      </c>
      <c r="AQ512" s="296"/>
      <c r="AR512" s="297">
        <f>+Y512-Z512-AC512-AD512</f>
        <v>1041624269</v>
      </c>
      <c r="AS512" s="313" t="s">
        <v>137</v>
      </c>
      <c r="AT512" s="313" t="s">
        <v>137</v>
      </c>
      <c r="AU512" s="176" t="s">
        <v>190</v>
      </c>
    </row>
    <row r="513" spans="1:47" s="217" customFormat="1" ht="25.5" customHeight="1" outlineLevel="1">
      <c r="A513" s="215" t="s">
        <v>125</v>
      </c>
      <c r="B513" s="321">
        <v>31</v>
      </c>
      <c r="C513" s="321" t="s">
        <v>196</v>
      </c>
      <c r="D513" s="322" t="s">
        <v>251</v>
      </c>
      <c r="E513" s="321" t="s">
        <v>169</v>
      </c>
      <c r="F513" s="321" t="s">
        <v>251</v>
      </c>
      <c r="G513" s="321" t="s">
        <v>34</v>
      </c>
      <c r="H513" s="321" t="s">
        <v>63</v>
      </c>
      <c r="I513" s="324">
        <v>25</v>
      </c>
      <c r="J513" s="321" t="s">
        <v>80</v>
      </c>
      <c r="K513" s="325" t="s">
        <v>132</v>
      </c>
      <c r="L513" s="322">
        <v>40015946</v>
      </c>
      <c r="M513" s="862" t="s">
        <v>1605</v>
      </c>
      <c r="N513" s="322"/>
      <c r="O513" s="245" t="s">
        <v>825</v>
      </c>
      <c r="P513" s="322"/>
      <c r="Q513" s="325" t="s">
        <v>826</v>
      </c>
      <c r="R513" s="328" t="s">
        <v>1571</v>
      </c>
      <c r="S513" s="329"/>
      <c r="T513" s="328"/>
      <c r="U513" s="328"/>
      <c r="V513" s="328"/>
      <c r="W513" s="328"/>
      <c r="X513" s="329"/>
      <c r="Y513" s="330">
        <v>238672000</v>
      </c>
      <c r="Z513" s="330">
        <v>0</v>
      </c>
      <c r="AA513" s="331"/>
      <c r="AB513" s="330">
        <v>238672000</v>
      </c>
      <c r="AC513" s="332">
        <f t="shared" si="200"/>
        <v>0</v>
      </c>
      <c r="AD513" s="332">
        <f>+AB513-AC513</f>
        <v>238672000</v>
      </c>
      <c r="AE513" s="332">
        <v>0</v>
      </c>
      <c r="AF513" s="332">
        <v>0</v>
      </c>
      <c r="AG513" s="332">
        <v>0</v>
      </c>
      <c r="AH513" s="332">
        <v>0</v>
      </c>
      <c r="AI513" s="332">
        <v>0</v>
      </c>
      <c r="AJ513" s="297">
        <v>0</v>
      </c>
      <c r="AK513" s="297">
        <v>0</v>
      </c>
      <c r="AL513" s="297">
        <v>0</v>
      </c>
      <c r="AM513" s="297">
        <v>0</v>
      </c>
      <c r="AN513" s="297">
        <v>0</v>
      </c>
      <c r="AO513" s="332">
        <v>0</v>
      </c>
      <c r="AP513" s="332">
        <v>0</v>
      </c>
      <c r="AQ513" s="331"/>
      <c r="AR513" s="332">
        <f>+Y513-Z513-AC513-AD513</f>
        <v>0</v>
      </c>
      <c r="AS513" s="335" t="s">
        <v>137</v>
      </c>
      <c r="AT513" s="313" t="s">
        <v>137</v>
      </c>
      <c r="AU513" s="325" t="s">
        <v>190</v>
      </c>
    </row>
    <row r="514" spans="1:47" s="217" customFormat="1" ht="25.5" customHeight="1" outlineLevel="1">
      <c r="A514" s="215" t="s">
        <v>125</v>
      </c>
      <c r="B514" s="247"/>
      <c r="C514" s="247"/>
      <c r="D514" s="248"/>
      <c r="E514" s="249"/>
      <c r="F514" s="249"/>
      <c r="G514" s="249"/>
      <c r="H514" s="249"/>
      <c r="I514" s="249"/>
      <c r="J514" s="247"/>
      <c r="K514" s="259"/>
      <c r="L514" s="248"/>
      <c r="M514" s="248"/>
      <c r="N514" s="250"/>
      <c r="O514" s="250"/>
      <c r="P514" s="250"/>
      <c r="Q514" s="260" t="s">
        <v>201</v>
      </c>
      <c r="R514" s="278"/>
      <c r="S514" s="279"/>
      <c r="T514" s="279"/>
      <c r="U514" s="279"/>
      <c r="V514" s="279"/>
      <c r="W514" s="279"/>
      <c r="X514" s="281"/>
      <c r="Y514" s="286">
        <f>SUM(Y512:Y513)</f>
        <v>1398603000</v>
      </c>
      <c r="Z514" s="286">
        <f>SUM(Z512:Z513)</f>
        <v>0</v>
      </c>
      <c r="AA514" s="303"/>
      <c r="AB514" s="286">
        <f>SUM(AB512:AB513)</f>
        <v>356978731</v>
      </c>
      <c r="AC514" s="286">
        <f t="shared" si="200"/>
        <v>0</v>
      </c>
      <c r="AD514" s="286">
        <f t="shared" ref="AD514:AI514" si="201">SUM(AD512:AD513)</f>
        <v>356978731</v>
      </c>
      <c r="AE514" s="286">
        <f t="shared" si="201"/>
        <v>0</v>
      </c>
      <c r="AF514" s="286">
        <f t="shared" si="201"/>
        <v>0</v>
      </c>
      <c r="AG514" s="286">
        <f t="shared" si="201"/>
        <v>0</v>
      </c>
      <c r="AH514" s="286">
        <f t="shared" si="201"/>
        <v>0</v>
      </c>
      <c r="AI514" s="286">
        <f t="shared" si="201"/>
        <v>0</v>
      </c>
      <c r="AJ514" s="286">
        <v>0</v>
      </c>
      <c r="AK514" s="286">
        <v>0</v>
      </c>
      <c r="AL514" s="286">
        <v>0</v>
      </c>
      <c r="AM514" s="286">
        <f>SUM(AM512:AM513)</f>
        <v>0</v>
      </c>
      <c r="AN514" s="286">
        <f>SUM(AN512:AN513)</f>
        <v>0</v>
      </c>
      <c r="AO514" s="286">
        <f>SUM(AO512:AO513)</f>
        <v>0</v>
      </c>
      <c r="AP514" s="286">
        <f>SUM(AP512:AP513)</f>
        <v>0</v>
      </c>
      <c r="AQ514" s="287"/>
      <c r="AR514" s="286">
        <f>+Y514-Z514-AC514-AD514</f>
        <v>1041624269</v>
      </c>
      <c r="AS514" s="315"/>
      <c r="AT514" s="315"/>
      <c r="AU514" s="220"/>
    </row>
    <row r="515" spans="1:47" s="216" customFormat="1" ht="18.75" customHeight="1" outlineLevel="1">
      <c r="A515" s="215" t="s">
        <v>125</v>
      </c>
      <c r="B515" s="249"/>
      <c r="C515" s="249"/>
      <c r="D515" s="250"/>
      <c r="E515" s="249"/>
      <c r="F515" s="249"/>
      <c r="G515" s="249"/>
      <c r="H515" s="249"/>
      <c r="I515" s="249"/>
      <c r="J515" s="249"/>
      <c r="K515" s="261"/>
      <c r="L515" s="250"/>
      <c r="M515" s="250"/>
      <c r="N515" s="250"/>
      <c r="O515" s="250"/>
      <c r="P515" s="250"/>
      <c r="Q515" s="115"/>
      <c r="R515" s="279"/>
      <c r="S515" s="279"/>
      <c r="T515" s="279"/>
      <c r="U515" s="279"/>
      <c r="V515" s="279"/>
      <c r="W515" s="279"/>
      <c r="X515" s="279"/>
      <c r="Y515" s="291"/>
      <c r="Z515" s="291"/>
      <c r="AA515" s="291"/>
      <c r="AB515" s="291"/>
      <c r="AC515" s="291"/>
      <c r="AD515" s="291"/>
      <c r="AE515" s="291"/>
      <c r="AF515" s="291"/>
      <c r="AG515" s="291"/>
      <c r="AH515" s="291"/>
      <c r="AI515" s="291"/>
      <c r="AJ515" s="291"/>
      <c r="AK515" s="291"/>
      <c r="AL515" s="291"/>
      <c r="AM515" s="291"/>
      <c r="AN515" s="291"/>
      <c r="AO515" s="291"/>
      <c r="AP515" s="291"/>
      <c r="AQ515" s="291"/>
      <c r="AR515" s="291"/>
      <c r="AS515" s="316"/>
      <c r="AT515" s="316"/>
      <c r="AU515" s="317"/>
    </row>
    <row r="516" spans="1:47" s="219" customFormat="1" ht="24.75" customHeight="1" outlineLevel="1">
      <c r="A516" s="215" t="s">
        <v>125</v>
      </c>
      <c r="B516" s="251"/>
      <c r="C516" s="249"/>
      <c r="D516" s="250"/>
      <c r="E516" s="249"/>
      <c r="F516" s="249"/>
      <c r="G516" s="249"/>
      <c r="H516" s="249"/>
      <c r="I516" s="249"/>
      <c r="J516" s="251"/>
      <c r="K516" s="263"/>
      <c r="L516" s="252"/>
      <c r="M516" s="252"/>
      <c r="N516" s="252"/>
      <c r="O516" s="252"/>
      <c r="P516" s="252"/>
      <c r="Q516" s="117" t="s">
        <v>827</v>
      </c>
      <c r="R516" s="288"/>
      <c r="S516" s="289"/>
      <c r="T516" s="289"/>
      <c r="U516" s="289"/>
      <c r="V516" s="289"/>
      <c r="W516" s="289"/>
      <c r="X516" s="290"/>
      <c r="Y516" s="118">
        <f>+Y509+Y514</f>
        <v>3760790239</v>
      </c>
      <c r="Z516" s="118">
        <f>+Z509+Z514</f>
        <v>1498326510</v>
      </c>
      <c r="AA516" s="304"/>
      <c r="AB516" s="118">
        <f>+AB509+AB514</f>
        <v>1184841495</v>
      </c>
      <c r="AC516" s="118">
        <f t="shared" si="200"/>
        <v>472916222</v>
      </c>
      <c r="AD516" s="118">
        <f t="shared" ref="AD516:AI516" si="202">+AD509+AD514</f>
        <v>711925273</v>
      </c>
      <c r="AE516" s="118">
        <f t="shared" si="202"/>
        <v>0</v>
      </c>
      <c r="AF516" s="118">
        <f t="shared" si="202"/>
        <v>0</v>
      </c>
      <c r="AG516" s="118">
        <f t="shared" si="202"/>
        <v>0</v>
      </c>
      <c r="AH516" s="118">
        <f t="shared" si="202"/>
        <v>0</v>
      </c>
      <c r="AI516" s="118">
        <f t="shared" si="202"/>
        <v>0</v>
      </c>
      <c r="AJ516" s="118">
        <v>0</v>
      </c>
      <c r="AK516" s="118">
        <v>99084542</v>
      </c>
      <c r="AL516" s="118">
        <v>41650296</v>
      </c>
      <c r="AM516" s="118">
        <v>26588006</v>
      </c>
      <c r="AN516" s="118">
        <v>48715866</v>
      </c>
      <c r="AO516" s="118">
        <f>+AO509+AO514</f>
        <v>78002145</v>
      </c>
      <c r="AP516" s="118">
        <f>+AP509+AP514</f>
        <v>178875367</v>
      </c>
      <c r="AQ516" s="318"/>
      <c r="AR516" s="118">
        <f>+Y516-Z516-AC516-AD516</f>
        <v>1077622234</v>
      </c>
      <c r="AS516" s="333"/>
      <c r="AT516" s="333"/>
      <c r="AU516" s="320"/>
    </row>
    <row r="517" spans="1:47" ht="18.75" customHeight="1" outlineLevel="1">
      <c r="A517" s="215" t="s">
        <v>125</v>
      </c>
      <c r="B517" s="249"/>
      <c r="C517" s="249"/>
      <c r="D517" s="250"/>
      <c r="E517" s="249"/>
      <c r="F517" s="249"/>
      <c r="G517" s="249"/>
      <c r="H517" s="249"/>
      <c r="I517" s="249"/>
      <c r="J517" s="249"/>
      <c r="K517" s="261"/>
      <c r="L517" s="250"/>
      <c r="M517" s="250"/>
      <c r="N517" s="250"/>
      <c r="O517" s="250"/>
      <c r="P517" s="250"/>
      <c r="Q517" s="261"/>
      <c r="R517" s="283"/>
      <c r="S517" s="283"/>
      <c r="T517" s="283"/>
      <c r="U517" s="283"/>
      <c r="V517" s="283"/>
      <c r="W517" s="283"/>
      <c r="X517" s="283"/>
      <c r="Y517" s="284"/>
      <c r="Z517" s="284"/>
      <c r="AA517" s="301"/>
      <c r="AB517" s="301"/>
      <c r="AC517" s="301"/>
      <c r="AD517" s="301"/>
      <c r="AE517" s="301"/>
      <c r="AF517" s="301"/>
      <c r="AG517" s="301"/>
      <c r="AH517" s="301"/>
      <c r="AI517" s="301"/>
      <c r="AJ517" s="301"/>
      <c r="AK517" s="301"/>
      <c r="AL517" s="301"/>
      <c r="AM517" s="301"/>
      <c r="AN517" s="301"/>
      <c r="AO517" s="301"/>
      <c r="AP517" s="301"/>
      <c r="AQ517" s="301"/>
      <c r="AR517" s="301"/>
      <c r="AS517" s="316"/>
      <c r="AT517" s="316"/>
      <c r="AU517" s="317"/>
    </row>
    <row r="518" spans="1:47" ht="26.25" customHeight="1" outlineLevel="1">
      <c r="A518" s="215" t="s">
        <v>125</v>
      </c>
      <c r="B518" s="249"/>
      <c r="C518" s="249"/>
      <c r="D518" s="250"/>
      <c r="E518" s="249"/>
      <c r="F518" s="249"/>
      <c r="G518" s="249"/>
      <c r="H518" s="249"/>
      <c r="I518" s="249"/>
      <c r="J518" s="249"/>
      <c r="K518" s="261"/>
      <c r="L518" s="250"/>
      <c r="M518" s="250"/>
      <c r="N518" s="250"/>
      <c r="O518" s="250"/>
      <c r="P518" s="250"/>
      <c r="Q518" s="264" t="s">
        <v>828</v>
      </c>
      <c r="R518" s="283"/>
      <c r="S518" s="283"/>
      <c r="T518" s="283"/>
      <c r="U518" s="283"/>
      <c r="V518" s="283"/>
      <c r="W518" s="283"/>
      <c r="X518" s="283"/>
      <c r="Y518" s="284"/>
      <c r="Z518" s="284"/>
      <c r="AA518" s="301"/>
      <c r="AB518" s="301"/>
      <c r="AC518" s="301"/>
      <c r="AD518" s="301"/>
      <c r="AE518" s="301"/>
      <c r="AF518" s="301"/>
      <c r="AG518" s="301"/>
      <c r="AH518" s="301"/>
      <c r="AI518" s="301"/>
      <c r="AJ518" s="301"/>
      <c r="AK518" s="301"/>
      <c r="AL518" s="301"/>
      <c r="AM518" s="301"/>
      <c r="AN518" s="301"/>
      <c r="AO518" s="301"/>
      <c r="AP518" s="301"/>
      <c r="AQ518" s="301"/>
      <c r="AR518" s="301"/>
      <c r="AS518" s="316"/>
      <c r="AT518" s="316"/>
      <c r="AU518" s="317"/>
    </row>
    <row r="519" spans="1:47" s="216" customFormat="1" ht="15" customHeight="1" outlineLevel="1">
      <c r="A519" s="215" t="s">
        <v>125</v>
      </c>
      <c r="B519" s="249"/>
      <c r="C519" s="249"/>
      <c r="D519" s="250"/>
      <c r="E519" s="249"/>
      <c r="F519" s="249"/>
      <c r="G519" s="249"/>
      <c r="H519" s="249"/>
      <c r="I519" s="249"/>
      <c r="J519" s="249"/>
      <c r="K519" s="261"/>
      <c r="L519" s="250"/>
      <c r="M519" s="250"/>
      <c r="N519" s="250"/>
      <c r="O519" s="250"/>
      <c r="P519" s="250"/>
      <c r="Q519" s="255"/>
      <c r="R519" s="283"/>
      <c r="S519" s="283"/>
      <c r="T519" s="283"/>
      <c r="U519" s="283"/>
      <c r="V519" s="283"/>
      <c r="W519" s="283"/>
      <c r="X519" s="283"/>
      <c r="Y519" s="284"/>
      <c r="Z519" s="284"/>
      <c r="AA519" s="301"/>
      <c r="AB519" s="301"/>
      <c r="AC519" s="301"/>
      <c r="AD519" s="301"/>
      <c r="AE519" s="301"/>
      <c r="AF519" s="301"/>
      <c r="AG519" s="301"/>
      <c r="AH519" s="301"/>
      <c r="AI519" s="301"/>
      <c r="AJ519" s="301"/>
      <c r="AK519" s="301"/>
      <c r="AL519" s="301"/>
      <c r="AM519" s="301"/>
      <c r="AN519" s="301"/>
      <c r="AO519" s="301"/>
      <c r="AP519" s="301"/>
      <c r="AQ519" s="301"/>
      <c r="AR519" s="301"/>
      <c r="AS519" s="316"/>
      <c r="AT519" s="316"/>
      <c r="AU519" s="317"/>
    </row>
    <row r="520" spans="1:47" s="217" customFormat="1" ht="25.5" customHeight="1" outlineLevel="1">
      <c r="A520" s="215" t="s">
        <v>125</v>
      </c>
      <c r="B520" s="247"/>
      <c r="C520" s="247"/>
      <c r="D520" s="248"/>
      <c r="E520" s="249"/>
      <c r="F520" s="249"/>
      <c r="G520" s="249"/>
      <c r="H520" s="249"/>
      <c r="I520" s="249"/>
      <c r="J520" s="247"/>
      <c r="K520" s="259"/>
      <c r="L520" s="248"/>
      <c r="M520" s="248"/>
      <c r="N520" s="250"/>
      <c r="O520" s="250"/>
      <c r="P520" s="250"/>
      <c r="Q520" s="99" t="s">
        <v>127</v>
      </c>
      <c r="R520" s="283"/>
      <c r="S520" s="283"/>
      <c r="T520" s="283"/>
      <c r="U520" s="283"/>
      <c r="V520" s="283"/>
      <c r="W520" s="283"/>
      <c r="X520" s="283"/>
      <c r="Y520" s="285"/>
      <c r="Z520" s="285"/>
      <c r="AA520" s="302"/>
      <c r="AB520" s="302"/>
      <c r="AC520" s="302"/>
      <c r="AD520" s="302"/>
      <c r="AE520" s="302"/>
      <c r="AF520" s="302"/>
      <c r="AG520" s="302"/>
      <c r="AH520" s="301"/>
      <c r="AI520" s="301"/>
      <c r="AJ520" s="301"/>
      <c r="AK520" s="301"/>
      <c r="AL520" s="301"/>
      <c r="AM520" s="301"/>
      <c r="AN520" s="301"/>
      <c r="AO520" s="301"/>
      <c r="AP520" s="301"/>
      <c r="AQ520" s="302"/>
      <c r="AR520" s="302"/>
      <c r="AS520" s="315"/>
      <c r="AT520" s="315"/>
      <c r="AU520" s="220"/>
    </row>
    <row r="521" spans="1:47" s="218" customFormat="1" ht="25.5" customHeight="1" outlineLevel="2">
      <c r="A521" s="215" t="s">
        <v>125</v>
      </c>
      <c r="B521" s="151">
        <v>31</v>
      </c>
      <c r="C521" s="151" t="s">
        <v>128</v>
      </c>
      <c r="D521" s="245" t="s">
        <v>139</v>
      </c>
      <c r="E521" s="151" t="s">
        <v>130</v>
      </c>
      <c r="F521" s="151" t="s">
        <v>140</v>
      </c>
      <c r="G521" s="151" t="s">
        <v>34</v>
      </c>
      <c r="H521" s="151" t="s">
        <v>64</v>
      </c>
      <c r="I521" s="256">
        <v>26</v>
      </c>
      <c r="J521" s="151" t="s">
        <v>80</v>
      </c>
      <c r="K521" s="176" t="s">
        <v>202</v>
      </c>
      <c r="L521" s="245">
        <v>30069919</v>
      </c>
      <c r="M521" s="855"/>
      <c r="N521" s="245" t="s">
        <v>652</v>
      </c>
      <c r="O521" s="245" t="s">
        <v>829</v>
      </c>
      <c r="P521" s="245"/>
      <c r="Q521" s="176" t="s">
        <v>830</v>
      </c>
      <c r="R521" s="403" t="s">
        <v>831</v>
      </c>
      <c r="S521" s="274"/>
      <c r="T521" s="403"/>
      <c r="U521" s="403"/>
      <c r="V521" s="403"/>
      <c r="W521" s="403"/>
      <c r="X521" s="274"/>
      <c r="Y521" s="326">
        <v>34373680</v>
      </c>
      <c r="Z521" s="275">
        <v>27498944</v>
      </c>
      <c r="AA521" s="296"/>
      <c r="AB521" s="297">
        <f>+Y521-Z521</f>
        <v>6874736</v>
      </c>
      <c r="AC521" s="297">
        <f t="shared" si="200"/>
        <v>6874736</v>
      </c>
      <c r="AD521" s="297">
        <f>+AB521-AC521</f>
        <v>0</v>
      </c>
      <c r="AE521" s="297">
        <v>0</v>
      </c>
      <c r="AF521" s="297">
        <v>0</v>
      </c>
      <c r="AG521" s="297">
        <v>0</v>
      </c>
      <c r="AH521" s="297">
        <v>0</v>
      </c>
      <c r="AI521" s="297">
        <v>0</v>
      </c>
      <c r="AJ521" s="297">
        <v>0</v>
      </c>
      <c r="AK521" s="297">
        <v>0</v>
      </c>
      <c r="AL521" s="297">
        <v>0</v>
      </c>
      <c r="AM521" s="297">
        <v>6874736</v>
      </c>
      <c r="AN521" s="297">
        <v>0</v>
      </c>
      <c r="AO521" s="297">
        <v>0</v>
      </c>
      <c r="AP521" s="297">
        <v>0</v>
      </c>
      <c r="AQ521" s="296"/>
      <c r="AR521" s="297">
        <f t="shared" ref="AR521:AR529" si="203">+Y521-Z521-AC521-AD521</f>
        <v>0</v>
      </c>
      <c r="AS521" s="313" t="s">
        <v>137</v>
      </c>
      <c r="AT521" s="313" t="s">
        <v>137</v>
      </c>
      <c r="AU521" s="176" t="s">
        <v>138</v>
      </c>
    </row>
    <row r="522" spans="1:47" s="218" customFormat="1" ht="25.5" customHeight="1" outlineLevel="2">
      <c r="A522" s="215" t="s">
        <v>125</v>
      </c>
      <c r="B522" s="151">
        <v>31</v>
      </c>
      <c r="C522" s="151" t="s">
        <v>128</v>
      </c>
      <c r="D522" s="245" t="s">
        <v>139</v>
      </c>
      <c r="E522" s="151" t="s">
        <v>130</v>
      </c>
      <c r="F522" s="151" t="s">
        <v>140</v>
      </c>
      <c r="G522" s="151" t="s">
        <v>34</v>
      </c>
      <c r="H522" s="151" t="s">
        <v>64</v>
      </c>
      <c r="I522" s="256">
        <v>26</v>
      </c>
      <c r="J522" s="151" t="s">
        <v>85</v>
      </c>
      <c r="K522" s="176" t="s">
        <v>132</v>
      </c>
      <c r="L522" s="245">
        <v>30472589</v>
      </c>
      <c r="M522" s="855"/>
      <c r="N522" s="245" t="s">
        <v>656</v>
      </c>
      <c r="O522" s="245" t="s">
        <v>832</v>
      </c>
      <c r="P522" s="245"/>
      <c r="Q522" s="176" t="s">
        <v>833</v>
      </c>
      <c r="R522" s="273"/>
      <c r="S522" s="274"/>
      <c r="T522" s="273"/>
      <c r="U522" s="273"/>
      <c r="V522" s="273"/>
      <c r="W522" s="273"/>
      <c r="X522" s="274"/>
      <c r="Y522" s="275">
        <v>2531139000</v>
      </c>
      <c r="Z522" s="275">
        <v>427545288</v>
      </c>
      <c r="AA522" s="296"/>
      <c r="AB522" s="297">
        <f>595972558.333336+19378578+3332590+3332590+500691339+3966186+2698994</f>
        <v>1129372835.3333359</v>
      </c>
      <c r="AC522" s="297">
        <f t="shared" si="200"/>
        <v>1129372835</v>
      </c>
      <c r="AD522" s="297">
        <f>+AB522-AC522</f>
        <v>0.33333587646484375</v>
      </c>
      <c r="AE522" s="297">
        <v>0</v>
      </c>
      <c r="AF522" s="297">
        <v>0</v>
      </c>
      <c r="AG522" s="297">
        <v>0</v>
      </c>
      <c r="AH522" s="297">
        <v>0</v>
      </c>
      <c r="AI522" s="297">
        <v>0</v>
      </c>
      <c r="AJ522" s="297">
        <v>6665180</v>
      </c>
      <c r="AK522" s="297">
        <v>500691339</v>
      </c>
      <c r="AL522" s="297">
        <v>3332590</v>
      </c>
      <c r="AM522" s="297">
        <v>3332590</v>
      </c>
      <c r="AN522" s="297">
        <v>469859360</v>
      </c>
      <c r="AO522" s="297">
        <v>0</v>
      </c>
      <c r="AP522" s="297">
        <v>145491776</v>
      </c>
      <c r="AQ522" s="296"/>
      <c r="AR522" s="297">
        <f t="shared" si="203"/>
        <v>974220876.66666412</v>
      </c>
      <c r="AS522" s="313" t="s">
        <v>137</v>
      </c>
      <c r="AT522" s="313" t="s">
        <v>137</v>
      </c>
      <c r="AU522" s="176" t="s">
        <v>138</v>
      </c>
    </row>
    <row r="523" spans="1:47" s="218" customFormat="1" ht="25.5" customHeight="1" outlineLevel="2">
      <c r="A523" s="215" t="s">
        <v>125</v>
      </c>
      <c r="B523" s="151">
        <v>31</v>
      </c>
      <c r="C523" s="151" t="s">
        <v>128</v>
      </c>
      <c r="D523" s="245" t="s">
        <v>139</v>
      </c>
      <c r="E523" s="151" t="s">
        <v>130</v>
      </c>
      <c r="F523" s="151" t="s">
        <v>140</v>
      </c>
      <c r="G523" s="151" t="s">
        <v>34</v>
      </c>
      <c r="H523" s="151" t="s">
        <v>64</v>
      </c>
      <c r="I523" s="256">
        <v>26</v>
      </c>
      <c r="J523" s="151" t="s">
        <v>80</v>
      </c>
      <c r="K523" s="176" t="s">
        <v>132</v>
      </c>
      <c r="L523" s="245">
        <v>30135630</v>
      </c>
      <c r="M523" s="855"/>
      <c r="N523" s="245" t="s">
        <v>656</v>
      </c>
      <c r="O523" s="245" t="s">
        <v>834</v>
      </c>
      <c r="P523" s="245"/>
      <c r="Q523" s="176" t="s">
        <v>835</v>
      </c>
      <c r="R523" s="273"/>
      <c r="S523" s="274"/>
      <c r="T523" s="273"/>
      <c r="U523" s="273"/>
      <c r="V523" s="273"/>
      <c r="W523" s="273"/>
      <c r="X523" s="274"/>
      <c r="Y523" s="275">
        <v>1452474000</v>
      </c>
      <c r="Z523" s="275">
        <v>551464</v>
      </c>
      <c r="AA523" s="296"/>
      <c r="AB523" s="297">
        <f>652474000-100000000-3966186</f>
        <v>548507814</v>
      </c>
      <c r="AC523" s="297">
        <f t="shared" si="200"/>
        <v>0</v>
      </c>
      <c r="AD523" s="297">
        <f>+AB523-AC523</f>
        <v>548507814</v>
      </c>
      <c r="AE523" s="297">
        <v>0</v>
      </c>
      <c r="AF523" s="297">
        <v>0</v>
      </c>
      <c r="AG523" s="297">
        <v>0</v>
      </c>
      <c r="AH523" s="297">
        <v>0</v>
      </c>
      <c r="AI523" s="297">
        <v>0</v>
      </c>
      <c r="AJ523" s="297">
        <v>0</v>
      </c>
      <c r="AK523" s="297">
        <v>0</v>
      </c>
      <c r="AL523" s="297">
        <v>0</v>
      </c>
      <c r="AM523" s="297">
        <v>0</v>
      </c>
      <c r="AN523" s="297">
        <v>0</v>
      </c>
      <c r="AO523" s="297">
        <v>0</v>
      </c>
      <c r="AP523" s="297">
        <v>0</v>
      </c>
      <c r="AQ523" s="296"/>
      <c r="AR523" s="297">
        <f t="shared" si="203"/>
        <v>903414722</v>
      </c>
      <c r="AS523" s="313" t="s">
        <v>137</v>
      </c>
      <c r="AT523" s="313" t="s">
        <v>137</v>
      </c>
      <c r="AU523" s="176" t="s">
        <v>138</v>
      </c>
    </row>
    <row r="524" spans="1:47" s="218" customFormat="1" ht="25.5" customHeight="1" outlineLevel="2">
      <c r="A524" s="215" t="s">
        <v>125</v>
      </c>
      <c r="B524" s="151">
        <v>24</v>
      </c>
      <c r="C524" s="151" t="s">
        <v>196</v>
      </c>
      <c r="D524" s="245" t="s">
        <v>251</v>
      </c>
      <c r="E524" s="151" t="s">
        <v>169</v>
      </c>
      <c r="F524" s="151" t="s">
        <v>251</v>
      </c>
      <c r="G524" s="151" t="s">
        <v>34</v>
      </c>
      <c r="H524" s="151" t="s">
        <v>64</v>
      </c>
      <c r="I524" s="256">
        <v>26</v>
      </c>
      <c r="J524" s="151" t="s">
        <v>84</v>
      </c>
      <c r="K524" s="176" t="s">
        <v>132</v>
      </c>
      <c r="L524" s="245">
        <v>30480365</v>
      </c>
      <c r="M524" s="855"/>
      <c r="N524" s="245"/>
      <c r="O524" s="245" t="s">
        <v>1445</v>
      </c>
      <c r="P524" s="245"/>
      <c r="Q524" s="176" t="s">
        <v>836</v>
      </c>
      <c r="R524" s="273"/>
      <c r="S524" s="274"/>
      <c r="T524" s="273"/>
      <c r="U524" s="273"/>
      <c r="V524" s="273"/>
      <c r="W524" s="273"/>
      <c r="X524" s="274"/>
      <c r="Y524" s="275">
        <f>+AC524</f>
        <v>47929519</v>
      </c>
      <c r="Z524" s="275">
        <v>0</v>
      </c>
      <c r="AA524" s="296"/>
      <c r="AB524" s="297">
        <f>+AC524</f>
        <v>47929519</v>
      </c>
      <c r="AC524" s="297">
        <f t="shared" si="200"/>
        <v>47929519</v>
      </c>
      <c r="AD524" s="297">
        <f t="shared" ref="AD524:AD529" si="204">+AB524-AC524</f>
        <v>0</v>
      </c>
      <c r="AE524" s="297"/>
      <c r="AF524" s="297"/>
      <c r="AG524" s="297"/>
      <c r="AH524" s="297"/>
      <c r="AI524" s="297"/>
      <c r="AJ524" s="297">
        <v>0</v>
      </c>
      <c r="AK524" s="297">
        <v>0</v>
      </c>
      <c r="AL524" s="297">
        <v>0</v>
      </c>
      <c r="AM524" s="297">
        <v>47929519</v>
      </c>
      <c r="AN524" s="297"/>
      <c r="AO524" s="297"/>
      <c r="AP524" s="297"/>
      <c r="AQ524" s="296"/>
      <c r="AR524" s="297">
        <f t="shared" si="203"/>
        <v>0</v>
      </c>
      <c r="AS524" s="313" t="s">
        <v>415</v>
      </c>
      <c r="AT524" s="313" t="s">
        <v>1480</v>
      </c>
      <c r="AU524" s="176" t="s">
        <v>138</v>
      </c>
    </row>
    <row r="525" spans="1:47" s="218" customFormat="1" ht="25.5" customHeight="1" outlineLevel="2">
      <c r="A525" s="215" t="s">
        <v>125</v>
      </c>
      <c r="B525" s="151">
        <v>24</v>
      </c>
      <c r="C525" s="151" t="s">
        <v>196</v>
      </c>
      <c r="D525" s="245" t="s">
        <v>251</v>
      </c>
      <c r="E525" s="151" t="s">
        <v>169</v>
      </c>
      <c r="F525" s="151" t="s">
        <v>251</v>
      </c>
      <c r="G525" s="151" t="s">
        <v>34</v>
      </c>
      <c r="H525" s="151" t="s">
        <v>64</v>
      </c>
      <c r="I525" s="256">
        <v>26</v>
      </c>
      <c r="J525" s="151" t="s">
        <v>84</v>
      </c>
      <c r="K525" s="176" t="s">
        <v>132</v>
      </c>
      <c r="L525" s="245">
        <v>30483910</v>
      </c>
      <c r="M525" s="855"/>
      <c r="N525" s="245"/>
      <c r="O525" s="245" t="s">
        <v>1446</v>
      </c>
      <c r="P525" s="245"/>
      <c r="Q525" s="176" t="s">
        <v>837</v>
      </c>
      <c r="R525" s="273"/>
      <c r="S525" s="274"/>
      <c r="T525" s="273"/>
      <c r="U525" s="273"/>
      <c r="V525" s="273"/>
      <c r="W525" s="273"/>
      <c r="X525" s="274"/>
      <c r="Y525" s="275">
        <f t="shared" ref="Y525:Y526" si="205">+AC525</f>
        <v>42444276</v>
      </c>
      <c r="Z525" s="275">
        <v>0</v>
      </c>
      <c r="AA525" s="296"/>
      <c r="AB525" s="297">
        <f>+AC525</f>
        <v>42444276</v>
      </c>
      <c r="AC525" s="297">
        <f t="shared" si="200"/>
        <v>42444276</v>
      </c>
      <c r="AD525" s="297">
        <f t="shared" si="204"/>
        <v>0</v>
      </c>
      <c r="AE525" s="297"/>
      <c r="AF525" s="297"/>
      <c r="AG525" s="297"/>
      <c r="AH525" s="297"/>
      <c r="AI525" s="297"/>
      <c r="AJ525" s="297">
        <v>0</v>
      </c>
      <c r="AK525" s="297">
        <v>0</v>
      </c>
      <c r="AL525" s="297">
        <v>0</v>
      </c>
      <c r="AM525" s="297">
        <v>42444276</v>
      </c>
      <c r="AN525" s="297"/>
      <c r="AO525" s="297"/>
      <c r="AP525" s="297"/>
      <c r="AQ525" s="296"/>
      <c r="AR525" s="297">
        <f t="shared" si="203"/>
        <v>0</v>
      </c>
      <c r="AS525" s="313" t="s">
        <v>415</v>
      </c>
      <c r="AT525" s="313" t="s">
        <v>1480</v>
      </c>
      <c r="AU525" s="176" t="s">
        <v>138</v>
      </c>
    </row>
    <row r="526" spans="1:47" s="218" customFormat="1" ht="25.5" customHeight="1" outlineLevel="2">
      <c r="A526" s="215" t="s">
        <v>125</v>
      </c>
      <c r="B526" s="151">
        <v>24</v>
      </c>
      <c r="C526" s="151" t="s">
        <v>196</v>
      </c>
      <c r="D526" s="245" t="s">
        <v>251</v>
      </c>
      <c r="E526" s="151" t="s">
        <v>169</v>
      </c>
      <c r="F526" s="151" t="s">
        <v>251</v>
      </c>
      <c r="G526" s="151" t="s">
        <v>34</v>
      </c>
      <c r="H526" s="151" t="s">
        <v>64</v>
      </c>
      <c r="I526" s="256">
        <v>26</v>
      </c>
      <c r="J526" s="151" t="s">
        <v>84</v>
      </c>
      <c r="K526" s="176" t="s">
        <v>132</v>
      </c>
      <c r="L526" s="245">
        <v>30483911</v>
      </c>
      <c r="M526" s="855"/>
      <c r="N526" s="245"/>
      <c r="O526" s="245" t="s">
        <v>1447</v>
      </c>
      <c r="P526" s="245"/>
      <c r="Q526" s="176" t="s">
        <v>838</v>
      </c>
      <c r="R526" s="273"/>
      <c r="S526" s="274"/>
      <c r="T526" s="273"/>
      <c r="U526" s="273"/>
      <c r="V526" s="273"/>
      <c r="W526" s="273"/>
      <c r="X526" s="274"/>
      <c r="Y526" s="275">
        <f t="shared" si="205"/>
        <v>40768995</v>
      </c>
      <c r="Z526" s="275">
        <v>0</v>
      </c>
      <c r="AA526" s="296"/>
      <c r="AB526" s="297">
        <f>+AC526</f>
        <v>40768995</v>
      </c>
      <c r="AC526" s="297">
        <f t="shared" si="200"/>
        <v>40768995</v>
      </c>
      <c r="AD526" s="297">
        <f t="shared" si="204"/>
        <v>0</v>
      </c>
      <c r="AE526" s="297"/>
      <c r="AF526" s="297"/>
      <c r="AG526" s="297"/>
      <c r="AH526" s="297"/>
      <c r="AI526" s="297"/>
      <c r="AJ526" s="297">
        <v>0</v>
      </c>
      <c r="AK526" s="297">
        <v>0</v>
      </c>
      <c r="AL526" s="297">
        <v>0</v>
      </c>
      <c r="AM526" s="297">
        <v>40768995</v>
      </c>
      <c r="AN526" s="297"/>
      <c r="AO526" s="297"/>
      <c r="AP526" s="297"/>
      <c r="AQ526" s="296"/>
      <c r="AR526" s="297">
        <f t="shared" si="203"/>
        <v>0</v>
      </c>
      <c r="AS526" s="313" t="s">
        <v>415</v>
      </c>
      <c r="AT526" s="313" t="s">
        <v>1480</v>
      </c>
      <c r="AU526" s="176" t="s">
        <v>138</v>
      </c>
    </row>
    <row r="527" spans="1:47" s="218" customFormat="1" ht="25.5" customHeight="1" outlineLevel="2">
      <c r="A527" s="215" t="s">
        <v>125</v>
      </c>
      <c r="B527" s="151">
        <v>31</v>
      </c>
      <c r="C527" s="151" t="s">
        <v>128</v>
      </c>
      <c r="D527" s="245" t="s">
        <v>159</v>
      </c>
      <c r="E527" s="151" t="s">
        <v>130</v>
      </c>
      <c r="F527" s="151" t="s">
        <v>140</v>
      </c>
      <c r="G527" s="151" t="s">
        <v>34</v>
      </c>
      <c r="H527" s="151" t="s">
        <v>64</v>
      </c>
      <c r="I527" s="256">
        <v>26</v>
      </c>
      <c r="J527" s="151" t="s">
        <v>80</v>
      </c>
      <c r="K527" s="176" t="s">
        <v>132</v>
      </c>
      <c r="L527" s="245">
        <v>30125850</v>
      </c>
      <c r="M527" s="855"/>
      <c r="N527" s="245" t="e">
        <v>#N/A</v>
      </c>
      <c r="O527" s="245" t="s">
        <v>839</v>
      </c>
      <c r="P527" s="257" t="s">
        <v>840</v>
      </c>
      <c r="Q527" s="176" t="s">
        <v>841</v>
      </c>
      <c r="R527" s="273"/>
      <c r="S527" s="274"/>
      <c r="T527" s="273"/>
      <c r="U527" s="273"/>
      <c r="V527" s="273"/>
      <c r="W527" s="273"/>
      <c r="X527" s="274"/>
      <c r="Y527" s="275">
        <v>302702000</v>
      </c>
      <c r="Z527" s="275">
        <v>0</v>
      </c>
      <c r="AA527" s="296"/>
      <c r="AB527" s="297">
        <v>174301700</v>
      </c>
      <c r="AC527" s="297">
        <f t="shared" si="200"/>
        <v>137454633</v>
      </c>
      <c r="AD527" s="297">
        <f t="shared" si="204"/>
        <v>36847067</v>
      </c>
      <c r="AE527" s="297">
        <v>0</v>
      </c>
      <c r="AF527" s="297">
        <v>0</v>
      </c>
      <c r="AG527" s="297">
        <v>0</v>
      </c>
      <c r="AH527" s="297">
        <v>0</v>
      </c>
      <c r="AI527" s="297">
        <v>0</v>
      </c>
      <c r="AJ527" s="297">
        <v>34180296</v>
      </c>
      <c r="AK527" s="297">
        <v>26546037</v>
      </c>
      <c r="AL527" s="297">
        <v>26669016</v>
      </c>
      <c r="AM527" s="297">
        <v>50059284</v>
      </c>
      <c r="AN527" s="297">
        <v>0</v>
      </c>
      <c r="AO527" s="297">
        <v>0</v>
      </c>
      <c r="AP527" s="297">
        <v>0</v>
      </c>
      <c r="AQ527" s="296"/>
      <c r="AR527" s="297">
        <f t="shared" si="203"/>
        <v>128400300</v>
      </c>
      <c r="AS527" s="313" t="s">
        <v>137</v>
      </c>
      <c r="AT527" s="313" t="s">
        <v>137</v>
      </c>
      <c r="AU527" s="176" t="s">
        <v>138</v>
      </c>
    </row>
    <row r="528" spans="1:47" s="218" customFormat="1" ht="25.5" customHeight="1" outlineLevel="2">
      <c r="A528" s="215" t="s">
        <v>125</v>
      </c>
      <c r="B528" s="191">
        <v>33</v>
      </c>
      <c r="C528" s="191" t="s">
        <v>128</v>
      </c>
      <c r="D528" s="246" t="s">
        <v>149</v>
      </c>
      <c r="E528" s="191" t="s">
        <v>130</v>
      </c>
      <c r="F528" s="191" t="s">
        <v>140</v>
      </c>
      <c r="G528" s="191" t="s">
        <v>34</v>
      </c>
      <c r="H528" s="191" t="s">
        <v>64</v>
      </c>
      <c r="I528" s="258">
        <v>26</v>
      </c>
      <c r="J528" s="191" t="s">
        <v>83</v>
      </c>
      <c r="K528" s="192" t="s">
        <v>132</v>
      </c>
      <c r="L528" s="246" t="s">
        <v>83</v>
      </c>
      <c r="M528" s="861" t="s">
        <v>1604</v>
      </c>
      <c r="N528" s="246"/>
      <c r="O528" s="245" t="s">
        <v>183</v>
      </c>
      <c r="P528" s="246"/>
      <c r="Q528" s="192" t="s">
        <v>184</v>
      </c>
      <c r="R528" s="276"/>
      <c r="S528" s="277"/>
      <c r="T528" s="276"/>
      <c r="U528" s="276"/>
      <c r="V528" s="276"/>
      <c r="W528" s="276"/>
      <c r="X528" s="277"/>
      <c r="Y528" s="194">
        <v>100000000</v>
      </c>
      <c r="Z528" s="194">
        <f>+FRIL!J763</f>
        <v>0</v>
      </c>
      <c r="AA528" s="298"/>
      <c r="AB528" s="299">
        <v>100000000</v>
      </c>
      <c r="AC528" s="299">
        <f t="shared" si="200"/>
        <v>0</v>
      </c>
      <c r="AD528" s="299">
        <f t="shared" si="204"/>
        <v>100000000</v>
      </c>
      <c r="AE528" s="299">
        <v>0</v>
      </c>
      <c r="AF528" s="299">
        <v>0</v>
      </c>
      <c r="AG528" s="299">
        <v>0</v>
      </c>
      <c r="AH528" s="299">
        <v>0</v>
      </c>
      <c r="AI528" s="299">
        <v>0</v>
      </c>
      <c r="AJ528" s="297">
        <v>0</v>
      </c>
      <c r="AK528" s="299">
        <v>0</v>
      </c>
      <c r="AL528" s="299">
        <v>0</v>
      </c>
      <c r="AM528" s="299">
        <v>0</v>
      </c>
      <c r="AN528" s="299">
        <v>0</v>
      </c>
      <c r="AO528" s="297">
        <v>0</v>
      </c>
      <c r="AP528" s="299">
        <v>0</v>
      </c>
      <c r="AQ528" s="298"/>
      <c r="AR528" s="299">
        <f t="shared" si="203"/>
        <v>0</v>
      </c>
      <c r="AS528" s="314" t="s">
        <v>185</v>
      </c>
      <c r="AT528" s="314" t="s">
        <v>83</v>
      </c>
      <c r="AU528" s="192" t="s">
        <v>138</v>
      </c>
    </row>
    <row r="529" spans="1:47" s="218" customFormat="1" ht="25.5" customHeight="1" outlineLevel="2">
      <c r="A529" s="215" t="s">
        <v>125</v>
      </c>
      <c r="B529" s="151">
        <v>33</v>
      </c>
      <c r="C529" s="151" t="s">
        <v>128</v>
      </c>
      <c r="D529" s="245" t="s">
        <v>149</v>
      </c>
      <c r="E529" s="151" t="s">
        <v>130</v>
      </c>
      <c r="F529" s="151" t="s">
        <v>140</v>
      </c>
      <c r="G529" s="151" t="s">
        <v>34</v>
      </c>
      <c r="H529" s="151" t="s">
        <v>64</v>
      </c>
      <c r="I529" s="256">
        <v>26</v>
      </c>
      <c r="J529" s="151" t="s">
        <v>83</v>
      </c>
      <c r="K529" s="176" t="s">
        <v>132</v>
      </c>
      <c r="L529" s="245" t="s">
        <v>83</v>
      </c>
      <c r="M529" s="855"/>
      <c r="N529" s="245"/>
      <c r="O529" s="245" t="s">
        <v>183</v>
      </c>
      <c r="P529" s="245"/>
      <c r="Q529" s="176" t="s">
        <v>822</v>
      </c>
      <c r="R529" s="273"/>
      <c r="S529" s="274"/>
      <c r="T529" s="273"/>
      <c r="U529" s="273"/>
      <c r="V529" s="273"/>
      <c r="W529" s="273"/>
      <c r="X529" s="274"/>
      <c r="Y529" s="275">
        <v>200000000</v>
      </c>
      <c r="Z529" s="275">
        <f>+FRIL!J764</f>
        <v>0</v>
      </c>
      <c r="AA529" s="296"/>
      <c r="AB529" s="297">
        <v>200000000</v>
      </c>
      <c r="AC529" s="297">
        <f t="shared" si="200"/>
        <v>150370754</v>
      </c>
      <c r="AD529" s="297">
        <f t="shared" si="204"/>
        <v>49629246</v>
      </c>
      <c r="AE529" s="297">
        <v>0</v>
      </c>
      <c r="AF529" s="297">
        <v>0</v>
      </c>
      <c r="AG529" s="297">
        <v>0</v>
      </c>
      <c r="AH529" s="297">
        <v>0</v>
      </c>
      <c r="AI529" s="297">
        <v>0</v>
      </c>
      <c r="AJ529" s="297">
        <v>15485307</v>
      </c>
      <c r="AK529" s="297">
        <v>22304633</v>
      </c>
      <c r="AL529" s="297">
        <v>26684765</v>
      </c>
      <c r="AM529" s="297">
        <v>41194280</v>
      </c>
      <c r="AN529" s="297">
        <v>44701769</v>
      </c>
      <c r="AO529" s="297">
        <f>+FRIL!L277</f>
        <v>0</v>
      </c>
      <c r="AP529" s="297">
        <v>0</v>
      </c>
      <c r="AQ529" s="296"/>
      <c r="AR529" s="297">
        <f t="shared" si="203"/>
        <v>0</v>
      </c>
      <c r="AS529" s="313" t="s">
        <v>185</v>
      </c>
      <c r="AT529" s="313" t="s">
        <v>83</v>
      </c>
      <c r="AU529" s="176" t="s">
        <v>138</v>
      </c>
    </row>
    <row r="530" spans="1:47" s="217" customFormat="1" ht="25.5" customHeight="1" outlineLevel="1">
      <c r="A530" s="215" t="s">
        <v>125</v>
      </c>
      <c r="B530" s="247"/>
      <c r="C530" s="247"/>
      <c r="D530" s="248"/>
      <c r="E530" s="249"/>
      <c r="F530" s="249"/>
      <c r="G530" s="249"/>
      <c r="H530" s="249"/>
      <c r="I530" s="249"/>
      <c r="J530" s="247"/>
      <c r="K530" s="259"/>
      <c r="L530" s="248"/>
      <c r="M530" s="248"/>
      <c r="N530" s="250"/>
      <c r="O530" s="250"/>
      <c r="P530" s="250"/>
      <c r="Q530" s="260" t="s">
        <v>187</v>
      </c>
      <c r="R530" s="402"/>
      <c r="S530" s="279"/>
      <c r="T530" s="279"/>
      <c r="U530" s="279"/>
      <c r="V530" s="279"/>
      <c r="W530" s="279"/>
      <c r="X530" s="281"/>
      <c r="Y530" s="286">
        <f>+Y521+Y522+Y523+Y528+Y529+Y524+Y525+Y526+Y527</f>
        <v>4751831470</v>
      </c>
      <c r="Z530" s="286">
        <f>+Z521+Z522+Z523+Z528+Z529+Z524+Z525+Z526+Z527</f>
        <v>455595696</v>
      </c>
      <c r="AA530" s="303"/>
      <c r="AB530" s="286">
        <f t="shared" ref="AB530:AP530" si="206">+AB521+AB522+AB523+AB528+AB529+AB524+AB525+AB526+AB527</f>
        <v>2290199875.3333359</v>
      </c>
      <c r="AC530" s="286">
        <f t="shared" si="200"/>
        <v>1555215748</v>
      </c>
      <c r="AD530" s="286">
        <f t="shared" si="206"/>
        <v>734984127.33333588</v>
      </c>
      <c r="AE530" s="286">
        <f t="shared" si="206"/>
        <v>0</v>
      </c>
      <c r="AF530" s="286">
        <f t="shared" si="206"/>
        <v>0</v>
      </c>
      <c r="AG530" s="286">
        <f t="shared" si="206"/>
        <v>0</v>
      </c>
      <c r="AH530" s="286">
        <f t="shared" si="206"/>
        <v>0</v>
      </c>
      <c r="AI530" s="286">
        <f t="shared" si="206"/>
        <v>0</v>
      </c>
      <c r="AJ530" s="286">
        <v>56330783</v>
      </c>
      <c r="AK530" s="286">
        <f t="shared" si="206"/>
        <v>549542009</v>
      </c>
      <c r="AL530" s="286">
        <f t="shared" si="206"/>
        <v>56686371</v>
      </c>
      <c r="AM530" s="286">
        <f t="shared" si="206"/>
        <v>232603680</v>
      </c>
      <c r="AN530" s="286">
        <f t="shared" si="206"/>
        <v>514561129</v>
      </c>
      <c r="AO530" s="286">
        <f t="shared" si="206"/>
        <v>0</v>
      </c>
      <c r="AP530" s="286">
        <f t="shared" si="206"/>
        <v>145491776</v>
      </c>
      <c r="AQ530" s="287"/>
      <c r="AR530" s="286">
        <f t="shared" ref="AR530" si="207">+AR521+AR522+AR523+AR528+AR529+AR524+AR525+AR526</f>
        <v>1877635598.6666641</v>
      </c>
      <c r="AS530" s="392"/>
      <c r="AT530" s="315"/>
      <c r="AU530" s="220"/>
    </row>
    <row r="531" spans="1:47" ht="18.75" customHeight="1" outlineLevel="1">
      <c r="A531" s="215" t="s">
        <v>125</v>
      </c>
      <c r="B531" s="249"/>
      <c r="C531" s="249"/>
      <c r="D531" s="250"/>
      <c r="E531" s="249"/>
      <c r="F531" s="249"/>
      <c r="G531" s="249"/>
      <c r="H531" s="249"/>
      <c r="I531" s="249"/>
      <c r="J531" s="249"/>
      <c r="K531" s="261"/>
      <c r="L531" s="250"/>
      <c r="M531" s="250"/>
      <c r="N531" s="250"/>
      <c r="O531" s="250"/>
      <c r="P531" s="250"/>
      <c r="Q531" s="261"/>
      <c r="R531" s="283"/>
      <c r="S531" s="283"/>
      <c r="T531" s="283"/>
      <c r="U531" s="283"/>
      <c r="V531" s="283"/>
      <c r="W531" s="283"/>
      <c r="X531" s="283"/>
      <c r="Y531" s="284"/>
      <c r="Z531" s="284"/>
      <c r="AA531" s="301"/>
      <c r="AB531" s="301"/>
      <c r="AC531" s="301"/>
      <c r="AD531" s="301"/>
      <c r="AE531" s="301"/>
      <c r="AF531" s="301"/>
      <c r="AG531" s="301"/>
      <c r="AH531" s="301"/>
      <c r="AI531" s="301"/>
      <c r="AJ531" s="301"/>
      <c r="AK531" s="301"/>
      <c r="AL531" s="301"/>
      <c r="AM531" s="301"/>
      <c r="AN531" s="301"/>
      <c r="AO531" s="301"/>
      <c r="AP531" s="301"/>
      <c r="AQ531" s="301"/>
      <c r="AR531" s="301"/>
      <c r="AS531" s="316"/>
      <c r="AT531" s="316"/>
      <c r="AU531" s="317"/>
    </row>
    <row r="532" spans="1:47" s="217" customFormat="1" ht="25.5" customHeight="1" outlineLevel="1">
      <c r="A532" s="215" t="s">
        <v>125</v>
      </c>
      <c r="B532" s="247"/>
      <c r="C532" s="247"/>
      <c r="D532" s="248"/>
      <c r="E532" s="249"/>
      <c r="F532" s="249"/>
      <c r="G532" s="249"/>
      <c r="H532" s="249"/>
      <c r="I532" s="249"/>
      <c r="J532" s="247"/>
      <c r="K532" s="259"/>
      <c r="L532" s="248"/>
      <c r="M532" s="248"/>
      <c r="N532" s="250"/>
      <c r="O532" s="250"/>
      <c r="P532" s="250"/>
      <c r="Q532" s="99" t="s">
        <v>188</v>
      </c>
      <c r="R532" s="283"/>
      <c r="S532" s="283"/>
      <c r="T532" s="283"/>
      <c r="U532" s="283"/>
      <c r="V532" s="283"/>
      <c r="W532" s="283"/>
      <c r="X532" s="283"/>
      <c r="Y532" s="285"/>
      <c r="Z532" s="285"/>
      <c r="AA532" s="302"/>
      <c r="AB532" s="302"/>
      <c r="AC532" s="302"/>
      <c r="AD532" s="302"/>
      <c r="AE532" s="302"/>
      <c r="AF532" s="302"/>
      <c r="AG532" s="302"/>
      <c r="AH532" s="301"/>
      <c r="AI532" s="301"/>
      <c r="AJ532" s="301"/>
      <c r="AK532" s="301"/>
      <c r="AL532" s="301"/>
      <c r="AM532" s="301"/>
      <c r="AN532" s="301"/>
      <c r="AO532" s="301"/>
      <c r="AP532" s="301"/>
      <c r="AQ532" s="302"/>
      <c r="AR532" s="302"/>
      <c r="AS532" s="315"/>
      <c r="AT532" s="315"/>
      <c r="AU532" s="220"/>
    </row>
    <row r="533" spans="1:47" s="217" customFormat="1" ht="25.5" customHeight="1" outlineLevel="1">
      <c r="A533" s="215" t="s">
        <v>125</v>
      </c>
      <c r="B533" s="151">
        <v>31</v>
      </c>
      <c r="C533" s="151" t="s">
        <v>196</v>
      </c>
      <c r="D533" s="245" t="s">
        <v>168</v>
      </c>
      <c r="E533" s="151" t="s">
        <v>169</v>
      </c>
      <c r="F533" s="151" t="s">
        <v>207</v>
      </c>
      <c r="G533" s="151" t="s">
        <v>34</v>
      </c>
      <c r="H533" s="151" t="s">
        <v>64</v>
      </c>
      <c r="I533" s="256">
        <v>26</v>
      </c>
      <c r="J533" s="151" t="s">
        <v>81</v>
      </c>
      <c r="K533" s="176" t="s">
        <v>202</v>
      </c>
      <c r="L533" s="245">
        <v>30488426</v>
      </c>
      <c r="M533" s="855"/>
      <c r="N533" s="245"/>
      <c r="O533" s="245" t="s">
        <v>842</v>
      </c>
      <c r="P533" s="257" t="s">
        <v>1543</v>
      </c>
      <c r="Q533" s="176" t="s">
        <v>843</v>
      </c>
      <c r="R533" s="273"/>
      <c r="S533" s="274"/>
      <c r="T533" s="273"/>
      <c r="U533" s="273" t="s">
        <v>844</v>
      </c>
      <c r="V533" s="273">
        <v>28825000</v>
      </c>
      <c r="W533" s="273"/>
      <c r="X533" s="274"/>
      <c r="Y533" s="275">
        <v>28825000</v>
      </c>
      <c r="Z533" s="275">
        <v>0</v>
      </c>
      <c r="AA533" s="296"/>
      <c r="AB533" s="297">
        <v>21618750</v>
      </c>
      <c r="AC533" s="297">
        <f t="shared" si="200"/>
        <v>0</v>
      </c>
      <c r="AD533" s="297">
        <f>+AB533-AC533</f>
        <v>21618750</v>
      </c>
      <c r="AE533" s="297">
        <v>0</v>
      </c>
      <c r="AF533" s="297">
        <v>0</v>
      </c>
      <c r="AG533" s="297">
        <v>0</v>
      </c>
      <c r="AH533" s="297">
        <v>0</v>
      </c>
      <c r="AI533" s="297">
        <v>0</v>
      </c>
      <c r="AJ533" s="297">
        <v>0</v>
      </c>
      <c r="AK533" s="297">
        <v>0</v>
      </c>
      <c r="AL533" s="297">
        <v>0</v>
      </c>
      <c r="AM533" s="297">
        <v>0</v>
      </c>
      <c r="AN533" s="297">
        <v>0</v>
      </c>
      <c r="AO533" s="297">
        <v>0</v>
      </c>
      <c r="AP533" s="297">
        <v>0</v>
      </c>
      <c r="AQ533" s="296"/>
      <c r="AR533" s="297">
        <f>+Y533-Z533-AC533-AD533</f>
        <v>7206250</v>
      </c>
      <c r="AS533" s="313" t="s">
        <v>137</v>
      </c>
      <c r="AT533" s="313" t="s">
        <v>137</v>
      </c>
      <c r="AU533" s="176" t="s">
        <v>1544</v>
      </c>
    </row>
    <row r="534" spans="1:47" s="217" customFormat="1" ht="25.5" customHeight="1" outlineLevel="1">
      <c r="A534" s="215" t="s">
        <v>125</v>
      </c>
      <c r="B534" s="151">
        <v>31</v>
      </c>
      <c r="C534" s="151" t="s">
        <v>196</v>
      </c>
      <c r="D534" s="245" t="s">
        <v>168</v>
      </c>
      <c r="E534" s="151" t="s">
        <v>130</v>
      </c>
      <c r="F534" s="151" t="s">
        <v>207</v>
      </c>
      <c r="G534" s="151" t="s">
        <v>34</v>
      </c>
      <c r="H534" s="151" t="s">
        <v>64</v>
      </c>
      <c r="I534" s="256">
        <v>26</v>
      </c>
      <c r="J534" s="151" t="s">
        <v>80</v>
      </c>
      <c r="K534" s="176" t="s">
        <v>132</v>
      </c>
      <c r="L534" s="245">
        <v>40009684</v>
      </c>
      <c r="M534" s="855"/>
      <c r="N534" s="245"/>
      <c r="O534" s="245" t="s">
        <v>845</v>
      </c>
      <c r="P534" s="257"/>
      <c r="Q534" s="176" t="s">
        <v>846</v>
      </c>
      <c r="R534" s="273" t="s">
        <v>847</v>
      </c>
      <c r="S534" s="274"/>
      <c r="T534" s="273"/>
      <c r="U534" s="273"/>
      <c r="V534" s="273"/>
      <c r="W534" s="273"/>
      <c r="X534" s="274"/>
      <c r="Y534" s="326">
        <v>508302000</v>
      </c>
      <c r="Z534" s="275">
        <v>0</v>
      </c>
      <c r="AA534" s="296"/>
      <c r="AB534" s="297">
        <v>18559100</v>
      </c>
      <c r="AC534" s="297">
        <f t="shared" si="200"/>
        <v>0</v>
      </c>
      <c r="AD534" s="297">
        <f>+AB534-AC534</f>
        <v>18559100</v>
      </c>
      <c r="AE534" s="297">
        <v>0</v>
      </c>
      <c r="AF534" s="297">
        <v>0</v>
      </c>
      <c r="AG534" s="297">
        <v>0</v>
      </c>
      <c r="AH534" s="297">
        <v>0</v>
      </c>
      <c r="AI534" s="297">
        <v>0</v>
      </c>
      <c r="AJ534" s="297">
        <v>0</v>
      </c>
      <c r="AK534" s="297">
        <v>0</v>
      </c>
      <c r="AL534" s="297">
        <v>0</v>
      </c>
      <c r="AM534" s="297">
        <v>0</v>
      </c>
      <c r="AN534" s="297">
        <v>0</v>
      </c>
      <c r="AO534" s="297">
        <v>0</v>
      </c>
      <c r="AP534" s="297">
        <v>0</v>
      </c>
      <c r="AQ534" s="296"/>
      <c r="AR534" s="297">
        <f>+Y534-Z534-AC534-AD534</f>
        <v>489742900</v>
      </c>
      <c r="AS534" s="313" t="s">
        <v>137</v>
      </c>
      <c r="AT534" s="313" t="s">
        <v>137</v>
      </c>
      <c r="AU534" s="176" t="s">
        <v>190</v>
      </c>
    </row>
    <row r="535" spans="1:47" s="217" customFormat="1" ht="25.5" customHeight="1" outlineLevel="1">
      <c r="A535" s="215" t="s">
        <v>125</v>
      </c>
      <c r="B535" s="151">
        <v>31</v>
      </c>
      <c r="C535" s="151" t="s">
        <v>196</v>
      </c>
      <c r="D535" s="245" t="s">
        <v>168</v>
      </c>
      <c r="E535" s="151" t="s">
        <v>169</v>
      </c>
      <c r="F535" s="151" t="s">
        <v>207</v>
      </c>
      <c r="G535" s="151" t="s">
        <v>34</v>
      </c>
      <c r="H535" s="151" t="s">
        <v>64</v>
      </c>
      <c r="I535" s="256">
        <v>26</v>
      </c>
      <c r="J535" s="151" t="s">
        <v>80</v>
      </c>
      <c r="K535" s="176" t="s">
        <v>202</v>
      </c>
      <c r="L535" s="245">
        <v>40000178</v>
      </c>
      <c r="M535" s="855"/>
      <c r="N535" s="245"/>
      <c r="O535" s="245" t="s">
        <v>848</v>
      </c>
      <c r="P535" s="257"/>
      <c r="Q535" s="176" t="s">
        <v>849</v>
      </c>
      <c r="R535" s="273"/>
      <c r="S535" s="274"/>
      <c r="T535" s="273"/>
      <c r="U535" s="273"/>
      <c r="V535" s="273"/>
      <c r="W535" s="273"/>
      <c r="X535" s="274"/>
      <c r="Y535" s="275">
        <v>46350000</v>
      </c>
      <c r="Z535" s="275">
        <v>0</v>
      </c>
      <c r="AA535" s="296"/>
      <c r="AB535" s="297">
        <v>2317500</v>
      </c>
      <c r="AC535" s="297">
        <f t="shared" si="200"/>
        <v>0</v>
      </c>
      <c r="AD535" s="297">
        <f>+AB535-AC535</f>
        <v>2317500</v>
      </c>
      <c r="AE535" s="297">
        <v>0</v>
      </c>
      <c r="AF535" s="297">
        <v>0</v>
      </c>
      <c r="AG535" s="297">
        <v>0</v>
      </c>
      <c r="AH535" s="297">
        <v>0</v>
      </c>
      <c r="AI535" s="297">
        <v>0</v>
      </c>
      <c r="AJ535" s="297">
        <v>0</v>
      </c>
      <c r="AK535" s="297">
        <v>0</v>
      </c>
      <c r="AL535" s="297">
        <v>0</v>
      </c>
      <c r="AM535" s="297">
        <v>0</v>
      </c>
      <c r="AN535" s="297">
        <v>0</v>
      </c>
      <c r="AO535" s="297">
        <v>0</v>
      </c>
      <c r="AP535" s="297">
        <v>0</v>
      </c>
      <c r="AQ535" s="296"/>
      <c r="AR535" s="297">
        <f>+Y535-Z535-AC535-AD535</f>
        <v>44032500</v>
      </c>
      <c r="AS535" s="313" t="s">
        <v>137</v>
      </c>
      <c r="AT535" s="313" t="s">
        <v>137</v>
      </c>
      <c r="AU535" s="176" t="s">
        <v>200</v>
      </c>
    </row>
    <row r="536" spans="1:47" s="217" customFormat="1" ht="25.5" customHeight="1" outlineLevel="1">
      <c r="A536" s="215" t="s">
        <v>125</v>
      </c>
      <c r="B536" s="151">
        <v>29</v>
      </c>
      <c r="C536" s="151" t="s">
        <v>196</v>
      </c>
      <c r="D536" s="245" t="s">
        <v>149</v>
      </c>
      <c r="E536" s="151" t="s">
        <v>130</v>
      </c>
      <c r="F536" s="151" t="s">
        <v>140</v>
      </c>
      <c r="G536" s="151" t="s">
        <v>34</v>
      </c>
      <c r="H536" s="151" t="s">
        <v>64</v>
      </c>
      <c r="I536" s="256">
        <v>26</v>
      </c>
      <c r="J536" s="151" t="s">
        <v>80</v>
      </c>
      <c r="K536" s="176" t="s">
        <v>132</v>
      </c>
      <c r="L536" s="245">
        <v>40018680</v>
      </c>
      <c r="M536" s="855"/>
      <c r="N536" s="245"/>
      <c r="O536" s="245" t="s">
        <v>856</v>
      </c>
      <c r="P536" s="257"/>
      <c r="Q536" s="176" t="s">
        <v>857</v>
      </c>
      <c r="R536" s="273"/>
      <c r="S536" s="274"/>
      <c r="T536" s="273"/>
      <c r="U536" s="273"/>
      <c r="V536" s="273"/>
      <c r="W536" s="273"/>
      <c r="X536" s="274"/>
      <c r="Y536" s="275">
        <v>583695000</v>
      </c>
      <c r="Z536" s="275">
        <v>0</v>
      </c>
      <c r="AA536" s="296"/>
      <c r="AB536" s="297">
        <v>194565000</v>
      </c>
      <c r="AC536" s="297">
        <f t="shared" si="200"/>
        <v>0</v>
      </c>
      <c r="AD536" s="297">
        <f t="shared" ref="AD536" si="208">+AB536-AC536</f>
        <v>194565000</v>
      </c>
      <c r="AE536" s="297">
        <v>0</v>
      </c>
      <c r="AF536" s="297">
        <v>0</v>
      </c>
      <c r="AG536" s="297">
        <v>0</v>
      </c>
      <c r="AH536" s="297">
        <v>0</v>
      </c>
      <c r="AI536" s="297">
        <v>0</v>
      </c>
      <c r="AJ536" s="297">
        <v>0</v>
      </c>
      <c r="AK536" s="297">
        <v>0</v>
      </c>
      <c r="AL536" s="297">
        <v>0</v>
      </c>
      <c r="AM536" s="297">
        <v>0</v>
      </c>
      <c r="AN536" s="297">
        <v>0</v>
      </c>
      <c r="AO536" s="297">
        <v>0</v>
      </c>
      <c r="AP536" s="297">
        <v>0</v>
      </c>
      <c r="AQ536" s="296"/>
      <c r="AR536" s="297">
        <f t="shared" ref="AR536:AR537" si="209">+Y536-Z536-AC536-AD536</f>
        <v>389130000</v>
      </c>
      <c r="AS536" s="313" t="s">
        <v>148</v>
      </c>
      <c r="AT536" s="313" t="s">
        <v>1464</v>
      </c>
      <c r="AU536" s="176" t="s">
        <v>200</v>
      </c>
    </row>
    <row r="537" spans="1:47" s="217" customFormat="1" ht="25.5" customHeight="1" outlineLevel="1">
      <c r="A537" s="215" t="s">
        <v>125</v>
      </c>
      <c r="B537" s="247"/>
      <c r="C537" s="247"/>
      <c r="D537" s="248"/>
      <c r="E537" s="249"/>
      <c r="F537" s="249"/>
      <c r="G537" s="249"/>
      <c r="H537" s="249"/>
      <c r="I537" s="249"/>
      <c r="J537" s="247"/>
      <c r="K537" s="259"/>
      <c r="L537" s="248"/>
      <c r="M537" s="248"/>
      <c r="N537" s="250"/>
      <c r="O537" s="250"/>
      <c r="P537" s="250"/>
      <c r="Q537" s="260" t="s">
        <v>201</v>
      </c>
      <c r="R537" s="278"/>
      <c r="S537" s="279"/>
      <c r="T537" s="279"/>
      <c r="U537" s="279"/>
      <c r="V537" s="279"/>
      <c r="W537" s="279"/>
      <c r="X537" s="281"/>
      <c r="Y537" s="286">
        <f>SUBTOTAL(9,Y533:Y536)</f>
        <v>1167172000</v>
      </c>
      <c r="Z537" s="286">
        <f>SUBTOTAL(9,Z533:Z536)</f>
        <v>0</v>
      </c>
      <c r="AA537" s="303"/>
      <c r="AB537" s="286">
        <f t="shared" ref="AB537:AD537" si="210">SUBTOTAL(9,AB533:AB536)</f>
        <v>237060350</v>
      </c>
      <c r="AC537" s="286">
        <f t="shared" si="210"/>
        <v>0</v>
      </c>
      <c r="AD537" s="286">
        <f t="shared" si="210"/>
        <v>237060350</v>
      </c>
      <c r="AE537" s="286">
        <f>SUM(AE533:AE536)</f>
        <v>0</v>
      </c>
      <c r="AF537" s="286">
        <f t="shared" ref="AF537:AP537" si="211">SUM(AF533:AF536)</f>
        <v>0</v>
      </c>
      <c r="AG537" s="286">
        <f t="shared" si="211"/>
        <v>0</v>
      </c>
      <c r="AH537" s="286">
        <f t="shared" si="211"/>
        <v>0</v>
      </c>
      <c r="AI537" s="286">
        <f t="shared" si="211"/>
        <v>0</v>
      </c>
      <c r="AJ537" s="286">
        <v>0</v>
      </c>
      <c r="AK537" s="286">
        <f t="shared" si="211"/>
        <v>0</v>
      </c>
      <c r="AL537" s="286">
        <f t="shared" si="211"/>
        <v>0</v>
      </c>
      <c r="AM537" s="286">
        <f t="shared" si="211"/>
        <v>0</v>
      </c>
      <c r="AN537" s="286">
        <f t="shared" si="211"/>
        <v>0</v>
      </c>
      <c r="AO537" s="286">
        <f t="shared" si="211"/>
        <v>0</v>
      </c>
      <c r="AP537" s="286">
        <f t="shared" si="211"/>
        <v>0</v>
      </c>
      <c r="AQ537" s="287"/>
      <c r="AR537" s="286">
        <f t="shared" si="209"/>
        <v>930111650</v>
      </c>
      <c r="AS537" s="315"/>
      <c r="AT537" s="315"/>
      <c r="AU537" s="220"/>
    </row>
    <row r="538" spans="1:47" ht="18.75" customHeight="1" outlineLevel="1">
      <c r="A538" s="215" t="s">
        <v>125</v>
      </c>
      <c r="B538" s="249"/>
      <c r="C538" s="249"/>
      <c r="D538" s="250"/>
      <c r="E538" s="249"/>
      <c r="F538" s="249"/>
      <c r="G538" s="249"/>
      <c r="H538" s="249"/>
      <c r="I538" s="249"/>
      <c r="J538" s="249"/>
      <c r="K538" s="261"/>
      <c r="L538" s="250"/>
      <c r="M538" s="250"/>
      <c r="N538" s="250"/>
      <c r="O538" s="250"/>
      <c r="P538" s="250"/>
      <c r="Q538" s="261"/>
      <c r="R538" s="283"/>
      <c r="S538" s="283"/>
      <c r="T538" s="283"/>
      <c r="U538" s="283"/>
      <c r="V538" s="283"/>
      <c r="W538" s="283"/>
      <c r="X538" s="283"/>
      <c r="Y538" s="284"/>
      <c r="Z538" s="284"/>
      <c r="AA538" s="301"/>
      <c r="AB538" s="301"/>
      <c r="AC538" s="301"/>
      <c r="AD538" s="301"/>
      <c r="AE538" s="301"/>
      <c r="AF538" s="301"/>
      <c r="AG538" s="301"/>
      <c r="AH538" s="301"/>
      <c r="AI538" s="301"/>
      <c r="AJ538" s="301"/>
      <c r="AK538" s="301"/>
      <c r="AL538" s="301"/>
      <c r="AM538" s="301"/>
      <c r="AN538" s="301"/>
      <c r="AO538" s="301"/>
      <c r="AP538" s="301"/>
      <c r="AQ538" s="301"/>
      <c r="AR538" s="301"/>
      <c r="AS538" s="316"/>
      <c r="AT538" s="316"/>
      <c r="AU538" s="317"/>
    </row>
    <row r="539" spans="1:47" s="219" customFormat="1" ht="24.75" customHeight="1" outlineLevel="1">
      <c r="A539" s="215" t="s">
        <v>125</v>
      </c>
      <c r="B539" s="251"/>
      <c r="C539" s="249"/>
      <c r="D539" s="250"/>
      <c r="E539" s="249"/>
      <c r="F539" s="249"/>
      <c r="G539" s="249"/>
      <c r="H539" s="249"/>
      <c r="I539" s="249"/>
      <c r="J539" s="251"/>
      <c r="K539" s="263"/>
      <c r="L539" s="252"/>
      <c r="M539" s="252"/>
      <c r="N539" s="252"/>
      <c r="O539" s="252"/>
      <c r="P539" s="252"/>
      <c r="Q539" s="117" t="s">
        <v>860</v>
      </c>
      <c r="R539" s="288"/>
      <c r="S539" s="289"/>
      <c r="T539" s="289"/>
      <c r="U539" s="289"/>
      <c r="V539" s="289"/>
      <c r="W539" s="289"/>
      <c r="X539" s="290"/>
      <c r="Y539" s="118">
        <f>+Y530+Y537</f>
        <v>5919003470</v>
      </c>
      <c r="Z539" s="118">
        <f>+Z530+Z537</f>
        <v>455595696</v>
      </c>
      <c r="AA539" s="304"/>
      <c r="AB539" s="118">
        <f t="shared" ref="AB539:AD539" si="212">+AB530+AB537</f>
        <v>2527260225.3333359</v>
      </c>
      <c r="AC539" s="118">
        <f t="shared" si="212"/>
        <v>1555215748</v>
      </c>
      <c r="AD539" s="118">
        <f t="shared" si="212"/>
        <v>972044477.33333588</v>
      </c>
      <c r="AE539" s="118">
        <f>+AE530+AE537</f>
        <v>0</v>
      </c>
      <c r="AF539" s="118">
        <f t="shared" ref="AF539:AP539" si="213">+AF530+AF537</f>
        <v>0</v>
      </c>
      <c r="AG539" s="118">
        <f t="shared" si="213"/>
        <v>0</v>
      </c>
      <c r="AH539" s="118">
        <f t="shared" si="213"/>
        <v>0</v>
      </c>
      <c r="AI539" s="118">
        <f t="shared" si="213"/>
        <v>0</v>
      </c>
      <c r="AJ539" s="118">
        <v>56330783</v>
      </c>
      <c r="AK539" s="118">
        <f t="shared" si="213"/>
        <v>549542009</v>
      </c>
      <c r="AL539" s="118">
        <f t="shared" si="213"/>
        <v>56686371</v>
      </c>
      <c r="AM539" s="118">
        <f t="shared" si="213"/>
        <v>232603680</v>
      </c>
      <c r="AN539" s="118">
        <f t="shared" si="213"/>
        <v>514561129</v>
      </c>
      <c r="AO539" s="118">
        <f t="shared" si="213"/>
        <v>0</v>
      </c>
      <c r="AP539" s="118">
        <f t="shared" si="213"/>
        <v>145491776</v>
      </c>
      <c r="AQ539" s="318"/>
      <c r="AR539" s="118">
        <f>+Y539-Z539-AC539-AD539</f>
        <v>2936147548.6666641</v>
      </c>
      <c r="AS539" s="333"/>
      <c r="AT539" s="333"/>
      <c r="AU539" s="320"/>
    </row>
    <row r="540" spans="1:47" ht="18.75" customHeight="1" outlineLevel="1">
      <c r="A540" s="215" t="s">
        <v>125</v>
      </c>
      <c r="B540" s="249"/>
      <c r="C540" s="249"/>
      <c r="D540" s="250"/>
      <c r="E540" s="249"/>
      <c r="F540" s="249"/>
      <c r="G540" s="249"/>
      <c r="H540" s="249"/>
      <c r="I540" s="249"/>
      <c r="J540" s="249"/>
      <c r="K540" s="261"/>
      <c r="L540" s="250"/>
      <c r="M540" s="250"/>
      <c r="N540" s="250"/>
      <c r="O540" s="250"/>
      <c r="P540" s="250"/>
      <c r="Q540" s="261"/>
      <c r="R540" s="283"/>
      <c r="S540" s="283"/>
      <c r="T540" s="283"/>
      <c r="U540" s="283"/>
      <c r="V540" s="283"/>
      <c r="W540" s="283"/>
      <c r="X540" s="283"/>
      <c r="Y540" s="284"/>
      <c r="Z540" s="284"/>
      <c r="AA540" s="301"/>
      <c r="AB540" s="301"/>
      <c r="AC540" s="301"/>
      <c r="AD540" s="301"/>
      <c r="AE540" s="301"/>
      <c r="AF540" s="301"/>
      <c r="AG540" s="301"/>
      <c r="AH540" s="301"/>
      <c r="AI540" s="301"/>
      <c r="AJ540" s="301"/>
      <c r="AK540" s="301"/>
      <c r="AL540" s="301"/>
      <c r="AM540" s="301"/>
      <c r="AN540" s="301"/>
      <c r="AO540" s="301"/>
      <c r="AP540" s="301"/>
      <c r="AQ540" s="301"/>
      <c r="AR540" s="301"/>
      <c r="AS540" s="316"/>
      <c r="AT540" s="316"/>
      <c r="AU540" s="317"/>
    </row>
    <row r="541" spans="1:47" ht="26.25" customHeight="1" outlineLevel="1">
      <c r="A541" s="215" t="s">
        <v>125</v>
      </c>
      <c r="B541" s="249"/>
      <c r="C541" s="249"/>
      <c r="D541" s="250"/>
      <c r="E541" s="249"/>
      <c r="F541" s="249"/>
      <c r="G541" s="249"/>
      <c r="H541" s="249"/>
      <c r="I541" s="249"/>
      <c r="J541" s="249"/>
      <c r="K541" s="261"/>
      <c r="L541" s="250"/>
      <c r="M541" s="250"/>
      <c r="N541" s="250"/>
      <c r="O541" s="250"/>
      <c r="P541" s="250"/>
      <c r="Q541" s="264" t="s">
        <v>861</v>
      </c>
      <c r="R541" s="283"/>
      <c r="S541" s="283"/>
      <c r="T541" s="283"/>
      <c r="U541" s="283"/>
      <c r="V541" s="283"/>
      <c r="W541" s="283"/>
      <c r="X541" s="283"/>
      <c r="Y541" s="284"/>
      <c r="Z541" s="284"/>
      <c r="AA541" s="301"/>
      <c r="AB541" s="301"/>
      <c r="AC541" s="301"/>
      <c r="AD541" s="301"/>
      <c r="AE541" s="301"/>
      <c r="AF541" s="301"/>
      <c r="AG541" s="301"/>
      <c r="AH541" s="301"/>
      <c r="AI541" s="301"/>
      <c r="AJ541" s="301"/>
      <c r="AK541" s="301"/>
      <c r="AL541" s="301"/>
      <c r="AM541" s="301"/>
      <c r="AN541" s="301"/>
      <c r="AO541" s="301"/>
      <c r="AP541" s="301"/>
      <c r="AQ541" s="301"/>
      <c r="AR541" s="301"/>
      <c r="AS541" s="316"/>
      <c r="AT541" s="316"/>
      <c r="AU541" s="317"/>
    </row>
    <row r="542" spans="1:47" s="216" customFormat="1" ht="15" customHeight="1" outlineLevel="1">
      <c r="A542" s="215" t="s">
        <v>125</v>
      </c>
      <c r="B542" s="249"/>
      <c r="C542" s="249"/>
      <c r="D542" s="250"/>
      <c r="E542" s="249"/>
      <c r="F542" s="249"/>
      <c r="G542" s="249"/>
      <c r="H542" s="249"/>
      <c r="I542" s="249"/>
      <c r="J542" s="249"/>
      <c r="K542" s="261"/>
      <c r="L542" s="250"/>
      <c r="M542" s="250"/>
      <c r="N542" s="250"/>
      <c r="O542" s="250"/>
      <c r="P542" s="250"/>
      <c r="Q542" s="255"/>
      <c r="R542" s="283"/>
      <c r="S542" s="283"/>
      <c r="T542" s="283"/>
      <c r="U542" s="283"/>
      <c r="V542" s="283"/>
      <c r="W542" s="283"/>
      <c r="X542" s="283"/>
      <c r="Y542" s="284"/>
      <c r="Z542" s="284"/>
      <c r="AA542" s="301"/>
      <c r="AB542" s="301"/>
      <c r="AC542" s="301"/>
      <c r="AD542" s="301"/>
      <c r="AE542" s="301"/>
      <c r="AF542" s="301"/>
      <c r="AG542" s="301"/>
      <c r="AH542" s="301"/>
      <c r="AI542" s="301"/>
      <c r="AJ542" s="301"/>
      <c r="AK542" s="301"/>
      <c r="AL542" s="301"/>
      <c r="AM542" s="301"/>
      <c r="AN542" s="301"/>
      <c r="AO542" s="301"/>
      <c r="AP542" s="301"/>
      <c r="AQ542" s="301"/>
      <c r="AR542" s="301"/>
      <c r="AS542" s="316"/>
      <c r="AT542" s="316"/>
      <c r="AU542" s="317"/>
    </row>
    <row r="543" spans="1:47" s="217" customFormat="1" ht="25.5" customHeight="1" outlineLevel="1">
      <c r="A543" s="215" t="s">
        <v>125</v>
      </c>
      <c r="B543" s="247"/>
      <c r="C543" s="247"/>
      <c r="D543" s="248"/>
      <c r="E543" s="249"/>
      <c r="F543" s="249"/>
      <c r="G543" s="249"/>
      <c r="H543" s="249"/>
      <c r="I543" s="249"/>
      <c r="J543" s="247"/>
      <c r="K543" s="259"/>
      <c r="L543" s="248"/>
      <c r="M543" s="248"/>
      <c r="N543" s="250"/>
      <c r="O543" s="250"/>
      <c r="P543" s="250"/>
      <c r="Q543" s="99" t="s">
        <v>127</v>
      </c>
      <c r="R543" s="283"/>
      <c r="S543" s="283"/>
      <c r="T543" s="283"/>
      <c r="U543" s="283"/>
      <c r="V543" s="283"/>
      <c r="W543" s="283"/>
      <c r="X543" s="283"/>
      <c r="Y543" s="285"/>
      <c r="Z543" s="285"/>
      <c r="AA543" s="302"/>
      <c r="AB543" s="302"/>
      <c r="AC543" s="302"/>
      <c r="AD543" s="302"/>
      <c r="AE543" s="302"/>
      <c r="AF543" s="302"/>
      <c r="AG543" s="302"/>
      <c r="AH543" s="301"/>
      <c r="AI543" s="301"/>
      <c r="AJ543" s="301"/>
      <c r="AK543" s="301"/>
      <c r="AL543" s="301"/>
      <c r="AM543" s="301"/>
      <c r="AN543" s="301"/>
      <c r="AO543" s="301"/>
      <c r="AP543" s="301"/>
      <c r="AQ543" s="302"/>
      <c r="AR543" s="302"/>
      <c r="AS543" s="315"/>
      <c r="AT543" s="315"/>
      <c r="AU543" s="220"/>
    </row>
    <row r="544" spans="1:47" s="218" customFormat="1" ht="25.5" customHeight="1" outlineLevel="2">
      <c r="A544" s="215" t="s">
        <v>125</v>
      </c>
      <c r="B544" s="151">
        <v>31</v>
      </c>
      <c r="C544" s="151" t="s">
        <v>128</v>
      </c>
      <c r="D544" s="245" t="s">
        <v>159</v>
      </c>
      <c r="E544" s="151" t="s">
        <v>169</v>
      </c>
      <c r="F544" s="151" t="s">
        <v>140</v>
      </c>
      <c r="G544" s="151" t="s">
        <v>34</v>
      </c>
      <c r="H544" s="151" t="s">
        <v>65</v>
      </c>
      <c r="I544" s="256">
        <v>27</v>
      </c>
      <c r="J544" s="151" t="s">
        <v>80</v>
      </c>
      <c r="K544" s="176" t="s">
        <v>132</v>
      </c>
      <c r="L544" s="245">
        <v>30133125</v>
      </c>
      <c r="M544" s="855"/>
      <c r="N544" s="245" t="e">
        <v>#N/A</v>
      </c>
      <c r="O544" s="245" t="s">
        <v>862</v>
      </c>
      <c r="P544" s="245"/>
      <c r="Q544" s="176" t="s">
        <v>863</v>
      </c>
      <c r="R544" s="273"/>
      <c r="S544" s="274"/>
      <c r="T544" s="273"/>
      <c r="U544" s="273"/>
      <c r="V544" s="273"/>
      <c r="W544" s="273"/>
      <c r="X544" s="274"/>
      <c r="Y544" s="275">
        <v>1224005772</v>
      </c>
      <c r="Z544" s="275">
        <v>1224005772</v>
      </c>
      <c r="AA544" s="296">
        <v>0</v>
      </c>
      <c r="AB544" s="297">
        <v>0</v>
      </c>
      <c r="AC544" s="297">
        <f t="shared" si="200"/>
        <v>0</v>
      </c>
      <c r="AD544" s="297">
        <f t="shared" ref="AD544:AD556" si="214">+AB544-AC544</f>
        <v>0</v>
      </c>
      <c r="AE544" s="297">
        <v>0</v>
      </c>
      <c r="AF544" s="297">
        <v>0</v>
      </c>
      <c r="AG544" s="297">
        <v>0</v>
      </c>
      <c r="AH544" s="297">
        <v>0</v>
      </c>
      <c r="AI544" s="297">
        <v>0</v>
      </c>
      <c r="AJ544" s="297">
        <v>0</v>
      </c>
      <c r="AK544" s="297">
        <v>0</v>
      </c>
      <c r="AL544" s="297">
        <v>0</v>
      </c>
      <c r="AM544" s="297">
        <v>0</v>
      </c>
      <c r="AN544" s="297">
        <v>0</v>
      </c>
      <c r="AO544" s="297">
        <v>0</v>
      </c>
      <c r="AP544" s="297">
        <v>0</v>
      </c>
      <c r="AQ544" s="296"/>
      <c r="AR544" s="297">
        <f t="shared" ref="AR544:AR557" si="215">+Y544-Z544-AC544-AD544</f>
        <v>0</v>
      </c>
      <c r="AS544" s="313" t="s">
        <v>137</v>
      </c>
      <c r="AT544" s="313" t="s">
        <v>1475</v>
      </c>
      <c r="AU544" s="176" t="s">
        <v>301</v>
      </c>
    </row>
    <row r="545" spans="1:47" s="218" customFormat="1" ht="25.5" customHeight="1" outlineLevel="2">
      <c r="A545" s="215" t="s">
        <v>125</v>
      </c>
      <c r="B545" s="151">
        <v>31</v>
      </c>
      <c r="C545" s="151" t="s">
        <v>128</v>
      </c>
      <c r="D545" s="245" t="s">
        <v>139</v>
      </c>
      <c r="E545" s="151" t="s">
        <v>169</v>
      </c>
      <c r="F545" s="151" t="s">
        <v>140</v>
      </c>
      <c r="G545" s="151" t="s">
        <v>34</v>
      </c>
      <c r="H545" s="151" t="s">
        <v>65</v>
      </c>
      <c r="I545" s="256">
        <v>27</v>
      </c>
      <c r="J545" s="151" t="s">
        <v>80</v>
      </c>
      <c r="K545" s="176" t="s">
        <v>132</v>
      </c>
      <c r="L545" s="245">
        <v>30185572</v>
      </c>
      <c r="M545" s="855"/>
      <c r="N545" s="245" t="s">
        <v>656</v>
      </c>
      <c r="O545" s="245" t="s">
        <v>864</v>
      </c>
      <c r="P545" s="245"/>
      <c r="Q545" s="176" t="s">
        <v>865</v>
      </c>
      <c r="R545" s="273" t="s">
        <v>866</v>
      </c>
      <c r="S545" s="274"/>
      <c r="T545" s="273"/>
      <c r="U545" s="273"/>
      <c r="V545" s="273"/>
      <c r="W545" s="273"/>
      <c r="X545" s="274"/>
      <c r="Y545" s="275">
        <v>2532578673</v>
      </c>
      <c r="Z545" s="275">
        <v>2282423545</v>
      </c>
      <c r="AA545" s="296"/>
      <c r="AB545" s="297">
        <f>250155128-13719428+24972588</f>
        <v>261408288</v>
      </c>
      <c r="AC545" s="297">
        <f t="shared" si="200"/>
        <v>261408288</v>
      </c>
      <c r="AD545" s="297">
        <f t="shared" si="214"/>
        <v>0</v>
      </c>
      <c r="AE545" s="297">
        <v>0</v>
      </c>
      <c r="AF545" s="297">
        <v>0</v>
      </c>
      <c r="AG545" s="297">
        <v>0</v>
      </c>
      <c r="AH545" s="297">
        <v>0</v>
      </c>
      <c r="AI545" s="297">
        <v>0</v>
      </c>
      <c r="AJ545" s="297">
        <v>59132160</v>
      </c>
      <c r="AK545" s="297">
        <v>9367984</v>
      </c>
      <c r="AL545" s="297">
        <v>0</v>
      </c>
      <c r="AM545" s="297">
        <v>0</v>
      </c>
      <c r="AN545" s="297">
        <v>19251318</v>
      </c>
      <c r="AO545" s="297">
        <v>1750000</v>
      </c>
      <c r="AP545" s="297">
        <v>171906826</v>
      </c>
      <c r="AQ545" s="296"/>
      <c r="AR545" s="297">
        <f t="shared" si="215"/>
        <v>-11253160</v>
      </c>
      <c r="AS545" s="313" t="s">
        <v>137</v>
      </c>
      <c r="AT545" s="313" t="s">
        <v>137</v>
      </c>
      <c r="AU545" s="176" t="s">
        <v>138</v>
      </c>
    </row>
    <row r="546" spans="1:47" s="218" customFormat="1" ht="25.5" customHeight="1" outlineLevel="2">
      <c r="A546" s="215" t="s">
        <v>125</v>
      </c>
      <c r="B546" s="151">
        <v>31</v>
      </c>
      <c r="C546" s="151" t="s">
        <v>128</v>
      </c>
      <c r="D546" s="245" t="s">
        <v>164</v>
      </c>
      <c r="E546" s="151" t="s">
        <v>169</v>
      </c>
      <c r="F546" s="151" t="s">
        <v>140</v>
      </c>
      <c r="G546" s="151" t="s">
        <v>34</v>
      </c>
      <c r="H546" s="151" t="s">
        <v>65</v>
      </c>
      <c r="I546" s="256">
        <v>27</v>
      </c>
      <c r="J546" s="151" t="s">
        <v>80</v>
      </c>
      <c r="K546" s="176" t="s">
        <v>132</v>
      </c>
      <c r="L546" s="245">
        <v>30071585</v>
      </c>
      <c r="M546" s="855" t="s">
        <v>164</v>
      </c>
      <c r="N546" s="245" t="s">
        <v>656</v>
      </c>
      <c r="O546" s="245" t="s">
        <v>867</v>
      </c>
      <c r="P546" s="245"/>
      <c r="Q546" s="176" t="s">
        <v>868</v>
      </c>
      <c r="R546" s="273"/>
      <c r="S546" s="274"/>
      <c r="T546" s="273"/>
      <c r="U546" s="273"/>
      <c r="V546" s="273"/>
      <c r="W546" s="273"/>
      <c r="X546" s="274"/>
      <c r="Y546" s="275">
        <v>511435000</v>
      </c>
      <c r="Z546" s="275">
        <v>462800000</v>
      </c>
      <c r="AA546" s="296"/>
      <c r="AB546" s="297">
        <v>48635000</v>
      </c>
      <c r="AC546" s="297">
        <f t="shared" si="200"/>
        <v>7200000</v>
      </c>
      <c r="AD546" s="297">
        <f t="shared" si="214"/>
        <v>41435000</v>
      </c>
      <c r="AE546" s="297">
        <v>0</v>
      </c>
      <c r="AF546" s="297">
        <v>0</v>
      </c>
      <c r="AG546" s="297">
        <v>0</v>
      </c>
      <c r="AH546" s="297">
        <v>0</v>
      </c>
      <c r="AI546" s="297">
        <v>0</v>
      </c>
      <c r="AJ546" s="297">
        <v>0</v>
      </c>
      <c r="AK546" s="297">
        <v>0</v>
      </c>
      <c r="AL546" s="297">
        <v>0</v>
      </c>
      <c r="AM546" s="297">
        <v>1800000</v>
      </c>
      <c r="AN546" s="297">
        <v>1800000</v>
      </c>
      <c r="AO546" s="297">
        <v>1800000</v>
      </c>
      <c r="AP546" s="297">
        <v>1800000</v>
      </c>
      <c r="AQ546" s="296"/>
      <c r="AR546" s="297">
        <f t="shared" si="215"/>
        <v>0</v>
      </c>
      <c r="AS546" s="313" t="s">
        <v>137</v>
      </c>
      <c r="AT546" s="313" t="s">
        <v>137</v>
      </c>
      <c r="AU546" s="176" t="s">
        <v>138</v>
      </c>
    </row>
    <row r="547" spans="1:47" s="218" customFormat="1" ht="25.5" customHeight="1" outlineLevel="2">
      <c r="A547" s="215" t="s">
        <v>125</v>
      </c>
      <c r="B547" s="151">
        <v>24</v>
      </c>
      <c r="C547" s="151" t="s">
        <v>196</v>
      </c>
      <c r="D547" s="245" t="s">
        <v>251</v>
      </c>
      <c r="E547" s="151" t="s">
        <v>169</v>
      </c>
      <c r="F547" s="151" t="s">
        <v>251</v>
      </c>
      <c r="G547" s="151" t="s">
        <v>34</v>
      </c>
      <c r="H547" s="151" t="s">
        <v>65</v>
      </c>
      <c r="I547" s="256">
        <v>27</v>
      </c>
      <c r="J547" s="151" t="s">
        <v>84</v>
      </c>
      <c r="K547" s="176" t="s">
        <v>132</v>
      </c>
      <c r="L547" s="245">
        <v>30483006</v>
      </c>
      <c r="M547" s="855"/>
      <c r="N547" s="245"/>
      <c r="O547" s="245" t="s">
        <v>1448</v>
      </c>
      <c r="P547" s="245"/>
      <c r="Q547" s="176" t="s">
        <v>869</v>
      </c>
      <c r="R547" s="273"/>
      <c r="S547" s="274"/>
      <c r="T547" s="273"/>
      <c r="U547" s="273"/>
      <c r="V547" s="273"/>
      <c r="W547" s="273"/>
      <c r="X547" s="274"/>
      <c r="Y547" s="275">
        <f>+AC547</f>
        <v>30902754</v>
      </c>
      <c r="Z547" s="275">
        <v>0</v>
      </c>
      <c r="AA547" s="296"/>
      <c r="AB547" s="297">
        <f>+AC547</f>
        <v>30902754</v>
      </c>
      <c r="AC547" s="297">
        <f t="shared" si="200"/>
        <v>30902754</v>
      </c>
      <c r="AD547" s="297">
        <f t="shared" si="214"/>
        <v>0</v>
      </c>
      <c r="AE547" s="297"/>
      <c r="AF547" s="297"/>
      <c r="AG547" s="297"/>
      <c r="AH547" s="297"/>
      <c r="AI547" s="297"/>
      <c r="AJ547" s="297">
        <v>0</v>
      </c>
      <c r="AK547" s="297">
        <v>0</v>
      </c>
      <c r="AL547" s="297">
        <v>0</v>
      </c>
      <c r="AM547" s="297">
        <v>30902754</v>
      </c>
      <c r="AN547" s="297"/>
      <c r="AO547" s="297"/>
      <c r="AP547" s="297"/>
      <c r="AQ547" s="296"/>
      <c r="AR547" s="297">
        <f t="shared" si="215"/>
        <v>0</v>
      </c>
      <c r="AS547" s="313" t="s">
        <v>415</v>
      </c>
      <c r="AT547" s="313" t="s">
        <v>1480</v>
      </c>
      <c r="AU547" s="176" t="s">
        <v>138</v>
      </c>
    </row>
    <row r="548" spans="1:47" s="218" customFormat="1" ht="25.5" customHeight="1" outlineLevel="2">
      <c r="A548" s="215" t="s">
        <v>125</v>
      </c>
      <c r="B548" s="191">
        <v>33</v>
      </c>
      <c r="C548" s="191" t="s">
        <v>128</v>
      </c>
      <c r="D548" s="246" t="s">
        <v>149</v>
      </c>
      <c r="E548" s="191" t="s">
        <v>130</v>
      </c>
      <c r="F548" s="191" t="s">
        <v>140</v>
      </c>
      <c r="G548" s="191" t="s">
        <v>34</v>
      </c>
      <c r="H548" s="191" t="s">
        <v>65</v>
      </c>
      <c r="I548" s="258">
        <v>27</v>
      </c>
      <c r="J548" s="191" t="s">
        <v>83</v>
      </c>
      <c r="K548" s="192" t="s">
        <v>132</v>
      </c>
      <c r="L548" s="246" t="s">
        <v>83</v>
      </c>
      <c r="M548" s="861" t="s">
        <v>1604</v>
      </c>
      <c r="N548" s="246"/>
      <c r="O548" s="245" t="s">
        <v>183</v>
      </c>
      <c r="P548" s="246"/>
      <c r="Q548" s="192" t="s">
        <v>184</v>
      </c>
      <c r="R548" s="276"/>
      <c r="S548" s="277"/>
      <c r="T548" s="276"/>
      <c r="U548" s="276"/>
      <c r="V548" s="276"/>
      <c r="W548" s="276"/>
      <c r="X548" s="277"/>
      <c r="Y548" s="194">
        <v>100000000</v>
      </c>
      <c r="Z548" s="194">
        <f>+FRIL!J789</f>
        <v>0</v>
      </c>
      <c r="AA548" s="298"/>
      <c r="AB548" s="299">
        <v>100000000</v>
      </c>
      <c r="AC548" s="299">
        <f t="shared" si="200"/>
        <v>0</v>
      </c>
      <c r="AD548" s="299">
        <f t="shared" si="214"/>
        <v>100000000</v>
      </c>
      <c r="AE548" s="299">
        <v>0</v>
      </c>
      <c r="AF548" s="299">
        <v>0</v>
      </c>
      <c r="AG548" s="299">
        <v>0</v>
      </c>
      <c r="AH548" s="299">
        <v>0</v>
      </c>
      <c r="AI548" s="299">
        <v>0</v>
      </c>
      <c r="AJ548" s="297">
        <v>0</v>
      </c>
      <c r="AK548" s="299">
        <v>0</v>
      </c>
      <c r="AL548" s="299">
        <v>0</v>
      </c>
      <c r="AM548" s="299">
        <v>0</v>
      </c>
      <c r="AN548" s="299">
        <v>0</v>
      </c>
      <c r="AO548" s="297">
        <v>0</v>
      </c>
      <c r="AP548" s="299">
        <v>0</v>
      </c>
      <c r="AQ548" s="298"/>
      <c r="AR548" s="299">
        <f t="shared" si="215"/>
        <v>0</v>
      </c>
      <c r="AS548" s="314" t="s">
        <v>185</v>
      </c>
      <c r="AT548" s="314" t="s">
        <v>83</v>
      </c>
      <c r="AU548" s="192" t="s">
        <v>138</v>
      </c>
    </row>
    <row r="549" spans="1:47" s="218" customFormat="1" ht="25.5" customHeight="1" outlineLevel="2">
      <c r="A549" s="215" t="s">
        <v>125</v>
      </c>
      <c r="B549" s="151">
        <v>33</v>
      </c>
      <c r="C549" s="151" t="s">
        <v>128</v>
      </c>
      <c r="D549" s="245" t="s">
        <v>149</v>
      </c>
      <c r="E549" s="151" t="s">
        <v>130</v>
      </c>
      <c r="F549" s="151" t="s">
        <v>140</v>
      </c>
      <c r="G549" s="151" t="s">
        <v>34</v>
      </c>
      <c r="H549" s="151" t="s">
        <v>65</v>
      </c>
      <c r="I549" s="256">
        <v>27</v>
      </c>
      <c r="J549" s="151" t="s">
        <v>83</v>
      </c>
      <c r="K549" s="176" t="s">
        <v>132</v>
      </c>
      <c r="L549" s="245" t="s">
        <v>83</v>
      </c>
      <c r="M549" s="855"/>
      <c r="N549" s="245"/>
      <c r="O549" s="245" t="s">
        <v>183</v>
      </c>
      <c r="P549" s="245"/>
      <c r="Q549" s="176" t="s">
        <v>870</v>
      </c>
      <c r="R549" s="273"/>
      <c r="S549" s="274"/>
      <c r="T549" s="273"/>
      <c r="U549" s="273"/>
      <c r="V549" s="273"/>
      <c r="W549" s="273"/>
      <c r="X549" s="274"/>
      <c r="Y549" s="275">
        <v>200000000</v>
      </c>
      <c r="Z549" s="275">
        <f>+FRIL!J790</f>
        <v>0</v>
      </c>
      <c r="AA549" s="296"/>
      <c r="AB549" s="297">
        <v>200000000</v>
      </c>
      <c r="AC549" s="297">
        <f t="shared" si="200"/>
        <v>173907590</v>
      </c>
      <c r="AD549" s="297">
        <f t="shared" si="214"/>
        <v>26092410</v>
      </c>
      <c r="AE549" s="297">
        <v>0</v>
      </c>
      <c r="AF549" s="297">
        <v>0</v>
      </c>
      <c r="AG549" s="297">
        <v>0</v>
      </c>
      <c r="AH549" s="297">
        <v>0</v>
      </c>
      <c r="AI549" s="297">
        <v>0</v>
      </c>
      <c r="AJ549" s="297">
        <v>0</v>
      </c>
      <c r="AK549" s="297">
        <v>42994468</v>
      </c>
      <c r="AL549" s="297">
        <v>0</v>
      </c>
      <c r="AM549" s="297">
        <v>37282583</v>
      </c>
      <c r="AN549" s="297">
        <v>0</v>
      </c>
      <c r="AO549" s="297">
        <f>+FRIL!L288</f>
        <v>93630539</v>
      </c>
      <c r="AP549" s="297">
        <v>0</v>
      </c>
      <c r="AQ549" s="296"/>
      <c r="AR549" s="297">
        <f t="shared" si="215"/>
        <v>0</v>
      </c>
      <c r="AS549" s="313" t="s">
        <v>185</v>
      </c>
      <c r="AT549" s="313" t="s">
        <v>83</v>
      </c>
      <c r="AU549" s="176" t="s">
        <v>138</v>
      </c>
    </row>
    <row r="550" spans="1:47" s="218" customFormat="1" ht="25.5" customHeight="1" outlineLevel="2">
      <c r="A550" s="215" t="s">
        <v>125</v>
      </c>
      <c r="B550" s="151">
        <v>31</v>
      </c>
      <c r="C550" s="151" t="s">
        <v>128</v>
      </c>
      <c r="D550" s="245" t="s">
        <v>129</v>
      </c>
      <c r="E550" s="151" t="s">
        <v>169</v>
      </c>
      <c r="F550" s="151" t="s">
        <v>131</v>
      </c>
      <c r="G550" s="151" t="s">
        <v>34</v>
      </c>
      <c r="H550" s="151" t="s">
        <v>65</v>
      </c>
      <c r="I550" s="256">
        <v>27</v>
      </c>
      <c r="J550" s="151" t="s">
        <v>80</v>
      </c>
      <c r="K550" s="176" t="s">
        <v>80</v>
      </c>
      <c r="L550" s="390">
        <v>30430173</v>
      </c>
      <c r="M550" s="855"/>
      <c r="N550" s="245" t="s">
        <v>652</v>
      </c>
      <c r="O550" s="245" t="s">
        <v>871</v>
      </c>
      <c r="P550" s="245"/>
      <c r="Q550" s="176" t="s">
        <v>872</v>
      </c>
      <c r="R550" s="273"/>
      <c r="S550" s="274"/>
      <c r="T550" s="273"/>
      <c r="U550" s="273"/>
      <c r="V550" s="273"/>
      <c r="W550" s="273"/>
      <c r="X550" s="274"/>
      <c r="Y550" s="275">
        <v>547411000</v>
      </c>
      <c r="Z550" s="275">
        <v>253005532</v>
      </c>
      <c r="AA550" s="296"/>
      <c r="AB550" s="297">
        <f>150750074-24972588</f>
        <v>125777486</v>
      </c>
      <c r="AC550" s="297">
        <f t="shared" si="200"/>
        <v>0</v>
      </c>
      <c r="AD550" s="297">
        <f t="shared" si="214"/>
        <v>125777486</v>
      </c>
      <c r="AE550" s="297">
        <v>0</v>
      </c>
      <c r="AF550" s="297">
        <v>0</v>
      </c>
      <c r="AG550" s="297">
        <v>0</v>
      </c>
      <c r="AH550" s="297">
        <v>0</v>
      </c>
      <c r="AI550" s="297">
        <v>0</v>
      </c>
      <c r="AJ550" s="297">
        <v>0</v>
      </c>
      <c r="AK550" s="297">
        <v>0</v>
      </c>
      <c r="AL550" s="297">
        <v>0</v>
      </c>
      <c r="AM550" s="297">
        <v>0</v>
      </c>
      <c r="AN550" s="297">
        <v>0</v>
      </c>
      <c r="AO550" s="297">
        <v>0</v>
      </c>
      <c r="AP550" s="297">
        <v>0</v>
      </c>
      <c r="AQ550" s="296"/>
      <c r="AR550" s="297">
        <f t="shared" si="215"/>
        <v>168627982</v>
      </c>
      <c r="AS550" s="313" t="s">
        <v>148</v>
      </c>
      <c r="AT550" s="313" t="s">
        <v>1464</v>
      </c>
      <c r="AU550" s="176" t="s">
        <v>138</v>
      </c>
    </row>
    <row r="551" spans="1:47" s="218" customFormat="1" ht="25.5" customHeight="1" outlineLevel="2">
      <c r="A551" s="215" t="s">
        <v>125</v>
      </c>
      <c r="B551" s="151">
        <v>31</v>
      </c>
      <c r="C551" s="151" t="s">
        <v>128</v>
      </c>
      <c r="D551" s="245" t="s">
        <v>129</v>
      </c>
      <c r="E551" s="151" t="s">
        <v>169</v>
      </c>
      <c r="F551" s="151" t="s">
        <v>131</v>
      </c>
      <c r="G551" s="151" t="s">
        <v>34</v>
      </c>
      <c r="H551" s="151" t="s">
        <v>65</v>
      </c>
      <c r="I551" s="256">
        <v>27</v>
      </c>
      <c r="J551" s="151" t="s">
        <v>81</v>
      </c>
      <c r="K551" s="176" t="s">
        <v>132</v>
      </c>
      <c r="L551" s="245">
        <v>30396026</v>
      </c>
      <c r="M551" s="855"/>
      <c r="N551" s="245" t="s">
        <v>652</v>
      </c>
      <c r="O551" s="245" t="s">
        <v>873</v>
      </c>
      <c r="P551" s="245"/>
      <c r="Q551" s="176" t="s">
        <v>874</v>
      </c>
      <c r="R551" s="273"/>
      <c r="S551" s="274"/>
      <c r="T551" s="273"/>
      <c r="U551" s="273"/>
      <c r="V551" s="273"/>
      <c r="W551" s="273"/>
      <c r="X551" s="274"/>
      <c r="Y551" s="275">
        <v>477979805</v>
      </c>
      <c r="Z551" s="275">
        <v>358482829</v>
      </c>
      <c r="AA551" s="296"/>
      <c r="AB551" s="297">
        <v>20000000</v>
      </c>
      <c r="AC551" s="297">
        <f t="shared" si="200"/>
        <v>0</v>
      </c>
      <c r="AD551" s="297">
        <f t="shared" si="214"/>
        <v>20000000</v>
      </c>
      <c r="AE551" s="297">
        <v>0</v>
      </c>
      <c r="AF551" s="297">
        <v>0</v>
      </c>
      <c r="AG551" s="297">
        <v>0</v>
      </c>
      <c r="AH551" s="297">
        <v>0</v>
      </c>
      <c r="AI551" s="297">
        <v>0</v>
      </c>
      <c r="AJ551" s="297">
        <v>0</v>
      </c>
      <c r="AK551" s="297">
        <v>0</v>
      </c>
      <c r="AL551" s="297">
        <v>0</v>
      </c>
      <c r="AM551" s="297">
        <v>0</v>
      </c>
      <c r="AN551" s="297">
        <v>0</v>
      </c>
      <c r="AO551" s="297">
        <v>0</v>
      </c>
      <c r="AP551" s="297">
        <v>0</v>
      </c>
      <c r="AQ551" s="296"/>
      <c r="AR551" s="297">
        <f t="shared" si="215"/>
        <v>99496976</v>
      </c>
      <c r="AS551" s="313" t="s">
        <v>148</v>
      </c>
      <c r="AT551" s="313" t="s">
        <v>1464</v>
      </c>
      <c r="AU551" s="176" t="s">
        <v>214</v>
      </c>
    </row>
    <row r="552" spans="1:47" s="217" customFormat="1" ht="25.5" customHeight="1" outlineLevel="1">
      <c r="A552" s="215" t="s">
        <v>125</v>
      </c>
      <c r="B552" s="151">
        <v>31</v>
      </c>
      <c r="C552" s="151" t="s">
        <v>196</v>
      </c>
      <c r="D552" s="245" t="s">
        <v>251</v>
      </c>
      <c r="E552" s="151" t="s">
        <v>169</v>
      </c>
      <c r="F552" s="151" t="s">
        <v>140</v>
      </c>
      <c r="G552" s="151" t="s">
        <v>34</v>
      </c>
      <c r="H552" s="151" t="s">
        <v>65</v>
      </c>
      <c r="I552" s="256">
        <v>27</v>
      </c>
      <c r="J552" s="151" t="s">
        <v>84</v>
      </c>
      <c r="K552" s="176" t="s">
        <v>132</v>
      </c>
      <c r="L552" s="390">
        <v>40005534</v>
      </c>
      <c r="M552" s="855"/>
      <c r="N552" s="245"/>
      <c r="O552" s="245" t="s">
        <v>875</v>
      </c>
      <c r="P552" s="398"/>
      <c r="Q552" s="176" t="s">
        <v>876</v>
      </c>
      <c r="R552" s="273"/>
      <c r="S552" s="274"/>
      <c r="T552" s="273"/>
      <c r="U552" s="273"/>
      <c r="V552" s="273"/>
      <c r="W552" s="273"/>
      <c r="X552" s="274"/>
      <c r="Y552" s="275">
        <v>121504000</v>
      </c>
      <c r="Z552" s="275">
        <v>121504000</v>
      </c>
      <c r="AA552" s="296"/>
      <c r="AB552" s="297">
        <v>0</v>
      </c>
      <c r="AC552" s="297">
        <f t="shared" si="200"/>
        <v>0</v>
      </c>
      <c r="AD552" s="297">
        <f t="shared" si="214"/>
        <v>0</v>
      </c>
      <c r="AE552" s="297">
        <v>0</v>
      </c>
      <c r="AF552" s="297">
        <v>0</v>
      </c>
      <c r="AG552" s="297">
        <v>0</v>
      </c>
      <c r="AH552" s="297">
        <v>0</v>
      </c>
      <c r="AI552" s="297">
        <v>0</v>
      </c>
      <c r="AJ552" s="297">
        <v>0</v>
      </c>
      <c r="AK552" s="297">
        <v>0</v>
      </c>
      <c r="AL552" s="297">
        <v>0</v>
      </c>
      <c r="AM552" s="297">
        <v>0</v>
      </c>
      <c r="AN552" s="297">
        <v>0</v>
      </c>
      <c r="AO552" s="297">
        <v>0</v>
      </c>
      <c r="AP552" s="297">
        <v>0</v>
      </c>
      <c r="AQ552" s="296"/>
      <c r="AR552" s="297">
        <f t="shared" si="215"/>
        <v>0</v>
      </c>
      <c r="AS552" s="313" t="s">
        <v>137</v>
      </c>
      <c r="AT552" s="313" t="s">
        <v>1623</v>
      </c>
      <c r="AU552" s="176" t="s">
        <v>301</v>
      </c>
    </row>
    <row r="553" spans="1:47" s="218" customFormat="1" ht="25.5" customHeight="1" outlineLevel="2">
      <c r="A553" s="215" t="s">
        <v>125</v>
      </c>
      <c r="B553" s="151">
        <v>31</v>
      </c>
      <c r="C553" s="151" t="s">
        <v>128</v>
      </c>
      <c r="D553" s="245" t="s">
        <v>129</v>
      </c>
      <c r="E553" s="151" t="s">
        <v>169</v>
      </c>
      <c r="F553" s="151" t="s">
        <v>131</v>
      </c>
      <c r="G553" s="151" t="s">
        <v>34</v>
      </c>
      <c r="H553" s="151" t="s">
        <v>65</v>
      </c>
      <c r="I553" s="256">
        <v>27</v>
      </c>
      <c r="J553" s="151" t="s">
        <v>88</v>
      </c>
      <c r="K553" s="176" t="s">
        <v>132</v>
      </c>
      <c r="L553" s="390">
        <v>40005537</v>
      </c>
      <c r="M553" s="855"/>
      <c r="N553" s="245" t="s">
        <v>656</v>
      </c>
      <c r="O553" s="245" t="s">
        <v>883</v>
      </c>
      <c r="P553" s="398" t="s">
        <v>884</v>
      </c>
      <c r="Q553" s="176" t="s">
        <v>885</v>
      </c>
      <c r="R553" s="273"/>
      <c r="S553" s="274"/>
      <c r="T553" s="273"/>
      <c r="U553" s="273"/>
      <c r="V553" s="273"/>
      <c r="W553" s="273"/>
      <c r="X553" s="274"/>
      <c r="Y553" s="275">
        <v>499000000</v>
      </c>
      <c r="Z553" s="275">
        <v>0</v>
      </c>
      <c r="AA553" s="296"/>
      <c r="AB553" s="297">
        <f>399000000+13719428</f>
        <v>412719428</v>
      </c>
      <c r="AC553" s="297">
        <f t="shared" si="200"/>
        <v>392779775</v>
      </c>
      <c r="AD553" s="297">
        <f>+AB553-AC553</f>
        <v>19939653</v>
      </c>
      <c r="AE553" s="297">
        <v>0</v>
      </c>
      <c r="AF553" s="297">
        <v>0</v>
      </c>
      <c r="AG553" s="297">
        <v>0</v>
      </c>
      <c r="AH553" s="297">
        <v>0</v>
      </c>
      <c r="AI553" s="297">
        <v>0</v>
      </c>
      <c r="AJ553" s="297">
        <v>77078235</v>
      </c>
      <c r="AK553" s="297">
        <v>65891194</v>
      </c>
      <c r="AL553" s="297">
        <v>249810346</v>
      </c>
      <c r="AM553" s="297">
        <v>0</v>
      </c>
      <c r="AN553" s="297">
        <v>0</v>
      </c>
      <c r="AO553" s="297">
        <v>0</v>
      </c>
      <c r="AP553" s="297">
        <v>0</v>
      </c>
      <c r="AQ553" s="296"/>
      <c r="AR553" s="297">
        <f>+Y553-Z553-AC553-AD553</f>
        <v>86280572</v>
      </c>
      <c r="AS553" s="313" t="s">
        <v>148</v>
      </c>
      <c r="AT553" s="313" t="s">
        <v>1464</v>
      </c>
      <c r="AU553" s="176" t="s">
        <v>138</v>
      </c>
    </row>
    <row r="554" spans="1:47" s="217" customFormat="1" ht="25.5" customHeight="1" outlineLevel="1">
      <c r="A554" s="215" t="s">
        <v>125</v>
      </c>
      <c r="B554" s="151">
        <v>29</v>
      </c>
      <c r="C554" s="151" t="s">
        <v>196</v>
      </c>
      <c r="D554" s="245" t="s">
        <v>129</v>
      </c>
      <c r="E554" s="151" t="s">
        <v>169</v>
      </c>
      <c r="F554" s="151" t="s">
        <v>131</v>
      </c>
      <c r="G554" s="151" t="s">
        <v>34</v>
      </c>
      <c r="H554" s="151" t="s">
        <v>65</v>
      </c>
      <c r="I554" s="256">
        <v>27</v>
      </c>
      <c r="J554" s="151" t="s">
        <v>81</v>
      </c>
      <c r="K554" s="176" t="s">
        <v>132</v>
      </c>
      <c r="L554" s="390">
        <v>30137798</v>
      </c>
      <c r="M554" s="855"/>
      <c r="N554" s="245"/>
      <c r="O554" s="245" t="s">
        <v>877</v>
      </c>
      <c r="P554" s="398"/>
      <c r="Q554" s="176" t="s">
        <v>878</v>
      </c>
      <c r="R554" s="273"/>
      <c r="S554" s="274"/>
      <c r="T554" s="273"/>
      <c r="U554" s="273"/>
      <c r="V554" s="273"/>
      <c r="W554" s="273"/>
      <c r="X554" s="274"/>
      <c r="Y554" s="275">
        <v>212834000</v>
      </c>
      <c r="Z554" s="275">
        <v>212834000</v>
      </c>
      <c r="AA554" s="296"/>
      <c r="AB554" s="297">
        <v>0</v>
      </c>
      <c r="AC554" s="297">
        <f t="shared" si="200"/>
        <v>0</v>
      </c>
      <c r="AD554" s="297">
        <f t="shared" si="214"/>
        <v>0</v>
      </c>
      <c r="AE554" s="297">
        <v>0</v>
      </c>
      <c r="AF554" s="297">
        <v>0</v>
      </c>
      <c r="AG554" s="297">
        <v>0</v>
      </c>
      <c r="AH554" s="297">
        <v>0</v>
      </c>
      <c r="AI554" s="297">
        <v>0</v>
      </c>
      <c r="AJ554" s="297">
        <v>0</v>
      </c>
      <c r="AK554" s="297">
        <v>0</v>
      </c>
      <c r="AL554" s="297">
        <v>0</v>
      </c>
      <c r="AM554" s="297">
        <v>0</v>
      </c>
      <c r="AN554" s="297">
        <v>0</v>
      </c>
      <c r="AO554" s="297">
        <v>0</v>
      </c>
      <c r="AP554" s="297">
        <v>0</v>
      </c>
      <c r="AQ554" s="296"/>
      <c r="AR554" s="297">
        <f t="shared" si="215"/>
        <v>0</v>
      </c>
      <c r="AS554" s="313" t="s">
        <v>148</v>
      </c>
      <c r="AT554" s="313" t="s">
        <v>1623</v>
      </c>
      <c r="AU554" s="176" t="s">
        <v>301</v>
      </c>
    </row>
    <row r="555" spans="1:47" s="217" customFormat="1" ht="25.5" customHeight="1" outlineLevel="1">
      <c r="A555" s="215" t="s">
        <v>125</v>
      </c>
      <c r="B555" s="151">
        <v>29</v>
      </c>
      <c r="C555" s="151" t="s">
        <v>196</v>
      </c>
      <c r="D555" s="245" t="s">
        <v>149</v>
      </c>
      <c r="E555" s="151" t="s">
        <v>169</v>
      </c>
      <c r="F555" s="151" t="s">
        <v>140</v>
      </c>
      <c r="G555" s="151" t="s">
        <v>34</v>
      </c>
      <c r="H555" s="151" t="s">
        <v>65</v>
      </c>
      <c r="I555" s="256">
        <v>27</v>
      </c>
      <c r="J555" s="151" t="s">
        <v>80</v>
      </c>
      <c r="K555" s="176" t="s">
        <v>132</v>
      </c>
      <c r="L555" s="390">
        <v>40005526</v>
      </c>
      <c r="M555" s="855"/>
      <c r="N555" s="245"/>
      <c r="O555" s="245" t="s">
        <v>879</v>
      </c>
      <c r="P555" s="398"/>
      <c r="Q555" s="176" t="s">
        <v>880</v>
      </c>
      <c r="R555" s="273"/>
      <c r="S555" s="274"/>
      <c r="T555" s="273"/>
      <c r="U555" s="273"/>
      <c r="V555" s="273"/>
      <c r="W555" s="273"/>
      <c r="X555" s="274"/>
      <c r="Y555" s="275">
        <v>81559996</v>
      </c>
      <c r="Z555" s="275">
        <v>81559996</v>
      </c>
      <c r="AA555" s="296"/>
      <c r="AB555" s="297">
        <f>+Y555-Z555</f>
        <v>0</v>
      </c>
      <c r="AC555" s="297">
        <f t="shared" si="200"/>
        <v>0</v>
      </c>
      <c r="AD555" s="297">
        <f t="shared" si="214"/>
        <v>0</v>
      </c>
      <c r="AE555" s="297">
        <v>0</v>
      </c>
      <c r="AF555" s="297">
        <v>0</v>
      </c>
      <c r="AG555" s="297">
        <v>0</v>
      </c>
      <c r="AH555" s="297">
        <v>0</v>
      </c>
      <c r="AI555" s="297">
        <v>0</v>
      </c>
      <c r="AJ555" s="297">
        <v>0</v>
      </c>
      <c r="AK555" s="297">
        <v>0</v>
      </c>
      <c r="AL555" s="297">
        <v>0</v>
      </c>
      <c r="AM555" s="297">
        <v>0</v>
      </c>
      <c r="AN555" s="297">
        <v>0</v>
      </c>
      <c r="AO555" s="297">
        <v>0</v>
      </c>
      <c r="AP555" s="297">
        <v>0</v>
      </c>
      <c r="AQ555" s="296"/>
      <c r="AR555" s="297">
        <f t="shared" si="215"/>
        <v>0</v>
      </c>
      <c r="AS555" s="313" t="s">
        <v>148</v>
      </c>
      <c r="AT555" s="313" t="s">
        <v>1623</v>
      </c>
      <c r="AU555" s="176" t="s">
        <v>301</v>
      </c>
    </row>
    <row r="556" spans="1:47" s="217" customFormat="1" ht="25.5" customHeight="1" outlineLevel="1">
      <c r="A556" s="215" t="s">
        <v>125</v>
      </c>
      <c r="B556" s="151">
        <v>29</v>
      </c>
      <c r="C556" s="151" t="s">
        <v>196</v>
      </c>
      <c r="D556" s="245" t="s">
        <v>149</v>
      </c>
      <c r="E556" s="151" t="s">
        <v>169</v>
      </c>
      <c r="F556" s="151" t="s">
        <v>140</v>
      </c>
      <c r="G556" s="151" t="s">
        <v>34</v>
      </c>
      <c r="H556" s="151" t="s">
        <v>65</v>
      </c>
      <c r="I556" s="256">
        <v>27</v>
      </c>
      <c r="J556" s="151" t="s">
        <v>80</v>
      </c>
      <c r="K556" s="176" t="s">
        <v>132</v>
      </c>
      <c r="L556" s="390">
        <v>40005532</v>
      </c>
      <c r="M556" s="855"/>
      <c r="N556" s="245"/>
      <c r="O556" s="245" t="s">
        <v>881</v>
      </c>
      <c r="P556" s="398"/>
      <c r="Q556" s="176" t="s">
        <v>882</v>
      </c>
      <c r="R556" s="273"/>
      <c r="S556" s="274"/>
      <c r="T556" s="273"/>
      <c r="U556" s="273"/>
      <c r="V556" s="273"/>
      <c r="W556" s="273"/>
      <c r="X556" s="274"/>
      <c r="Y556" s="275">
        <v>164800006</v>
      </c>
      <c r="Z556" s="275">
        <v>164800006</v>
      </c>
      <c r="AA556" s="296"/>
      <c r="AB556" s="297">
        <f>+Y556-Z556</f>
        <v>0</v>
      </c>
      <c r="AC556" s="297">
        <f t="shared" si="200"/>
        <v>0</v>
      </c>
      <c r="AD556" s="297">
        <f t="shared" si="214"/>
        <v>0</v>
      </c>
      <c r="AE556" s="297">
        <v>0</v>
      </c>
      <c r="AF556" s="297">
        <v>0</v>
      </c>
      <c r="AG556" s="297">
        <v>0</v>
      </c>
      <c r="AH556" s="297">
        <v>0</v>
      </c>
      <c r="AI556" s="297">
        <v>0</v>
      </c>
      <c r="AJ556" s="297">
        <v>0</v>
      </c>
      <c r="AK556" s="297">
        <v>0</v>
      </c>
      <c r="AL556" s="297">
        <v>0</v>
      </c>
      <c r="AM556" s="297">
        <v>0</v>
      </c>
      <c r="AN556" s="297">
        <v>0</v>
      </c>
      <c r="AO556" s="297">
        <v>0</v>
      </c>
      <c r="AP556" s="297">
        <v>0</v>
      </c>
      <c r="AQ556" s="296"/>
      <c r="AR556" s="297">
        <f t="shared" si="215"/>
        <v>0</v>
      </c>
      <c r="AS556" s="313" t="s">
        <v>148</v>
      </c>
      <c r="AT556" s="313" t="s">
        <v>1623</v>
      </c>
      <c r="AU556" s="176" t="s">
        <v>301</v>
      </c>
    </row>
    <row r="557" spans="1:47" s="217" customFormat="1" ht="25.5" customHeight="1" outlineLevel="1">
      <c r="A557" s="215" t="s">
        <v>125</v>
      </c>
      <c r="B557" s="247"/>
      <c r="C557" s="247"/>
      <c r="D557" s="248"/>
      <c r="E557" s="249"/>
      <c r="F557" s="249"/>
      <c r="G557" s="249"/>
      <c r="H557" s="249"/>
      <c r="I557" s="249"/>
      <c r="J557" s="247"/>
      <c r="K557" s="259"/>
      <c r="L557" s="248"/>
      <c r="M557" s="248"/>
      <c r="N557" s="250"/>
      <c r="O557" s="250"/>
      <c r="P557" s="250"/>
      <c r="Q557" s="260" t="s">
        <v>187</v>
      </c>
      <c r="R557" s="278"/>
      <c r="S557" s="279"/>
      <c r="T557" s="279"/>
      <c r="U557" s="279"/>
      <c r="V557" s="279"/>
      <c r="W557" s="279"/>
      <c r="X557" s="281"/>
      <c r="Y557" s="286">
        <f>+Y544+Y545+Y546+Y548+Y549+Y550+Y551+Y552+Y554+Y555+Y556+Y547+Y553</f>
        <v>6704011006</v>
      </c>
      <c r="Z557" s="286">
        <f>+Z544+Z545+Z546+Z548+Z549+Z550+Z551+Z552+Z554+Z555+Z556+Z547+Z553</f>
        <v>5161415680</v>
      </c>
      <c r="AA557" s="303"/>
      <c r="AB557" s="286">
        <f t="shared" ref="AB557:AP557" si="216">+AB544+AB545+AB546+AB548+AB549+AB550+AB551+AB552+AB554+AB555+AB556+AB547+AB553</f>
        <v>1199442956</v>
      </c>
      <c r="AC557" s="286">
        <f t="shared" si="200"/>
        <v>866198407</v>
      </c>
      <c r="AD557" s="286">
        <f t="shared" si="216"/>
        <v>333244549</v>
      </c>
      <c r="AE557" s="286">
        <f>+AE544+AE545+AE546+AE548+AE549+AE550+AE551+AE552+AE554+AE555+AE556+AE547+AE553</f>
        <v>0</v>
      </c>
      <c r="AF557" s="286">
        <f t="shared" si="216"/>
        <v>0</v>
      </c>
      <c r="AG557" s="286">
        <f t="shared" si="216"/>
        <v>0</v>
      </c>
      <c r="AH557" s="286">
        <f t="shared" si="216"/>
        <v>0</v>
      </c>
      <c r="AI557" s="286">
        <f t="shared" si="216"/>
        <v>0</v>
      </c>
      <c r="AJ557" s="286">
        <v>136210395</v>
      </c>
      <c r="AK557" s="286">
        <v>118253646</v>
      </c>
      <c r="AL557" s="286">
        <v>249810346</v>
      </c>
      <c r="AM557" s="286">
        <f t="shared" si="216"/>
        <v>69985337</v>
      </c>
      <c r="AN557" s="286">
        <f t="shared" si="216"/>
        <v>21051318</v>
      </c>
      <c r="AO557" s="286">
        <f t="shared" si="216"/>
        <v>97180539</v>
      </c>
      <c r="AP557" s="286">
        <f t="shared" si="216"/>
        <v>173706826</v>
      </c>
      <c r="AQ557" s="300"/>
      <c r="AR557" s="286">
        <f t="shared" si="215"/>
        <v>343152370</v>
      </c>
      <c r="AS557" s="315"/>
      <c r="AT557" s="315"/>
      <c r="AU557" s="220"/>
    </row>
    <row r="558" spans="1:47" ht="18.75" customHeight="1" outlineLevel="1">
      <c r="A558" s="215" t="s">
        <v>125</v>
      </c>
      <c r="B558" s="249"/>
      <c r="C558" s="249"/>
      <c r="D558" s="250"/>
      <c r="E558" s="249"/>
      <c r="F558" s="249"/>
      <c r="G558" s="249"/>
      <c r="H558" s="249"/>
      <c r="I558" s="249"/>
      <c r="J558" s="249"/>
      <c r="K558" s="261"/>
      <c r="L558" s="250"/>
      <c r="M558" s="250"/>
      <c r="N558" s="250"/>
      <c r="O558" s="250"/>
      <c r="P558" s="250"/>
      <c r="Q558" s="261"/>
      <c r="R558" s="283"/>
      <c r="S558" s="283"/>
      <c r="T558" s="283"/>
      <c r="U558" s="283"/>
      <c r="V558" s="283"/>
      <c r="W558" s="283"/>
      <c r="X558" s="283"/>
      <c r="Y558" s="284"/>
      <c r="Z558" s="284"/>
      <c r="AA558" s="301"/>
      <c r="AB558" s="301"/>
      <c r="AC558" s="301"/>
      <c r="AD558" s="301"/>
      <c r="AE558" s="301"/>
      <c r="AF558" s="301"/>
      <c r="AG558" s="301"/>
      <c r="AH558" s="301"/>
      <c r="AI558" s="301"/>
      <c r="AJ558" s="301"/>
      <c r="AK558" s="301"/>
      <c r="AL558" s="301"/>
      <c r="AM558" s="301"/>
      <c r="AN558" s="301"/>
      <c r="AO558" s="301"/>
      <c r="AP558" s="301"/>
      <c r="AQ558" s="301"/>
      <c r="AR558" s="301"/>
      <c r="AS558" s="316"/>
      <c r="AT558" s="316"/>
      <c r="AU558" s="317"/>
    </row>
    <row r="559" spans="1:47" s="217" customFormat="1" ht="25.5" customHeight="1" outlineLevel="1">
      <c r="A559" s="215" t="s">
        <v>125</v>
      </c>
      <c r="B559" s="247"/>
      <c r="C559" s="247"/>
      <c r="D559" s="248"/>
      <c r="E559" s="249"/>
      <c r="F559" s="249"/>
      <c r="G559" s="249"/>
      <c r="H559" s="249"/>
      <c r="I559" s="249"/>
      <c r="J559" s="247"/>
      <c r="K559" s="259"/>
      <c r="L559" s="248"/>
      <c r="M559" s="248"/>
      <c r="N559" s="250"/>
      <c r="O559" s="250"/>
      <c r="P559" s="250"/>
      <c r="Q559" s="99" t="s">
        <v>188</v>
      </c>
      <c r="R559" s="283"/>
      <c r="S559" s="283"/>
      <c r="T559" s="283"/>
      <c r="U559" s="283"/>
      <c r="V559" s="283"/>
      <c r="W559" s="283"/>
      <c r="X559" s="283"/>
      <c r="Y559" s="285"/>
      <c r="Z559" s="285"/>
      <c r="AA559" s="302"/>
      <c r="AB559" s="302"/>
      <c r="AC559" s="302"/>
      <c r="AD559" s="302"/>
      <c r="AE559" s="302"/>
      <c r="AF559" s="302"/>
      <c r="AG559" s="302"/>
      <c r="AH559" s="301"/>
      <c r="AI559" s="301"/>
      <c r="AJ559" s="301"/>
      <c r="AK559" s="301"/>
      <c r="AL559" s="301"/>
      <c r="AM559" s="301"/>
      <c r="AN559" s="301"/>
      <c r="AO559" s="301"/>
      <c r="AP559" s="301"/>
      <c r="AQ559" s="302"/>
      <c r="AR559" s="302"/>
      <c r="AS559" s="315"/>
      <c r="AT559" s="315"/>
      <c r="AU559" s="220"/>
    </row>
    <row r="560" spans="1:47" s="217" customFormat="1" ht="25.5" customHeight="1" outlineLevel="1">
      <c r="A560" s="215" t="s">
        <v>125</v>
      </c>
      <c r="B560" s="151">
        <v>31</v>
      </c>
      <c r="C560" s="151" t="s">
        <v>196</v>
      </c>
      <c r="D560" s="245" t="s">
        <v>164</v>
      </c>
      <c r="E560" s="151" t="s">
        <v>169</v>
      </c>
      <c r="F560" s="151" t="s">
        <v>140</v>
      </c>
      <c r="G560" s="151" t="s">
        <v>34</v>
      </c>
      <c r="H560" s="151" t="s">
        <v>65</v>
      </c>
      <c r="I560" s="256">
        <v>27</v>
      </c>
      <c r="J560" s="151" t="s">
        <v>80</v>
      </c>
      <c r="K560" s="176" t="s">
        <v>132</v>
      </c>
      <c r="L560" s="390">
        <v>30071598</v>
      </c>
      <c r="M560" s="855" t="s">
        <v>164</v>
      </c>
      <c r="N560" s="245"/>
      <c r="O560" s="245" t="s">
        <v>886</v>
      </c>
      <c r="P560" s="398"/>
      <c r="Q560" s="176" t="s">
        <v>887</v>
      </c>
      <c r="R560" s="273"/>
      <c r="S560" s="274"/>
      <c r="T560" s="273"/>
      <c r="U560" s="273"/>
      <c r="V560" s="273"/>
      <c r="W560" s="273"/>
      <c r="X560" s="274"/>
      <c r="Y560" s="275">
        <v>500494000</v>
      </c>
      <c r="Z560" s="275">
        <v>0</v>
      </c>
      <c r="AA560" s="296"/>
      <c r="AB560" s="297">
        <v>25024700</v>
      </c>
      <c r="AC560" s="297">
        <f t="shared" si="200"/>
        <v>0</v>
      </c>
      <c r="AD560" s="297">
        <f>+AB560-AC560</f>
        <v>25024700</v>
      </c>
      <c r="AE560" s="297">
        <v>0</v>
      </c>
      <c r="AF560" s="297">
        <v>0</v>
      </c>
      <c r="AG560" s="297">
        <v>0</v>
      </c>
      <c r="AH560" s="297">
        <v>0</v>
      </c>
      <c r="AI560" s="297">
        <v>0</v>
      </c>
      <c r="AJ560" s="297">
        <v>0</v>
      </c>
      <c r="AK560" s="297">
        <v>0</v>
      </c>
      <c r="AL560" s="297">
        <v>0</v>
      </c>
      <c r="AM560" s="297">
        <v>0</v>
      </c>
      <c r="AN560" s="297">
        <v>0</v>
      </c>
      <c r="AO560" s="297">
        <v>0</v>
      </c>
      <c r="AP560" s="297">
        <v>0</v>
      </c>
      <c r="AQ560" s="296"/>
      <c r="AR560" s="297">
        <f>+Y560-Z560-AC560-AD560</f>
        <v>475469300</v>
      </c>
      <c r="AS560" s="313" t="s">
        <v>137</v>
      </c>
      <c r="AT560" s="313" t="s">
        <v>137</v>
      </c>
      <c r="AU560" s="176" t="s">
        <v>190</v>
      </c>
    </row>
    <row r="561" spans="1:47" s="217" customFormat="1" ht="25.5" customHeight="1" outlineLevel="1">
      <c r="A561" s="215" t="s">
        <v>125</v>
      </c>
      <c r="B561" s="151">
        <v>29</v>
      </c>
      <c r="C561" s="151" t="s">
        <v>196</v>
      </c>
      <c r="D561" s="245" t="s">
        <v>149</v>
      </c>
      <c r="E561" s="151" t="s">
        <v>130</v>
      </c>
      <c r="F561" s="151" t="s">
        <v>140</v>
      </c>
      <c r="G561" s="151" t="s">
        <v>34</v>
      </c>
      <c r="H561" s="151" t="s">
        <v>65</v>
      </c>
      <c r="I561" s="256">
        <v>27</v>
      </c>
      <c r="J561" s="151" t="s">
        <v>80</v>
      </c>
      <c r="K561" s="176" t="s">
        <v>132</v>
      </c>
      <c r="L561" s="390">
        <v>40014311</v>
      </c>
      <c r="M561" s="855"/>
      <c r="N561" s="245"/>
      <c r="O561" s="245" t="s">
        <v>888</v>
      </c>
      <c r="P561" s="398"/>
      <c r="Q561" s="176" t="s">
        <v>889</v>
      </c>
      <c r="R561" s="273" t="s">
        <v>890</v>
      </c>
      <c r="S561" s="274"/>
      <c r="T561" s="273"/>
      <c r="U561" s="273"/>
      <c r="V561" s="273"/>
      <c r="W561" s="273"/>
      <c r="X561" s="274"/>
      <c r="Y561" s="275">
        <v>291193000</v>
      </c>
      <c r="Z561" s="275">
        <v>0</v>
      </c>
      <c r="AA561" s="296"/>
      <c r="AB561" s="297">
        <v>16000000</v>
      </c>
      <c r="AC561" s="297">
        <f t="shared" si="200"/>
        <v>0</v>
      </c>
      <c r="AD561" s="297">
        <f>+AB561-AC561</f>
        <v>16000000</v>
      </c>
      <c r="AE561" s="297">
        <v>0</v>
      </c>
      <c r="AF561" s="297">
        <v>0</v>
      </c>
      <c r="AG561" s="297">
        <v>0</v>
      </c>
      <c r="AH561" s="297">
        <v>0</v>
      </c>
      <c r="AI561" s="297">
        <v>0</v>
      </c>
      <c r="AJ561" s="297">
        <v>0</v>
      </c>
      <c r="AK561" s="297">
        <v>0</v>
      </c>
      <c r="AL561" s="297">
        <v>0</v>
      </c>
      <c r="AM561" s="297">
        <v>0</v>
      </c>
      <c r="AN561" s="297">
        <v>0</v>
      </c>
      <c r="AO561" s="297">
        <v>0</v>
      </c>
      <c r="AP561" s="297">
        <v>0</v>
      </c>
      <c r="AQ561" s="296"/>
      <c r="AR561" s="297">
        <f>+Y561-Z561-AC561-AD561</f>
        <v>275193000</v>
      </c>
      <c r="AS561" s="313" t="s">
        <v>148</v>
      </c>
      <c r="AT561" s="313" t="s">
        <v>1464</v>
      </c>
      <c r="AU561" s="176" t="s">
        <v>1466</v>
      </c>
    </row>
    <row r="562" spans="1:47" s="217" customFormat="1" ht="25.5" customHeight="1" outlineLevel="1">
      <c r="A562" s="215" t="s">
        <v>125</v>
      </c>
      <c r="B562" s="247"/>
      <c r="C562" s="247"/>
      <c r="D562" s="248"/>
      <c r="E562" s="249"/>
      <c r="F562" s="249"/>
      <c r="G562" s="249"/>
      <c r="H562" s="249"/>
      <c r="I562" s="249"/>
      <c r="J562" s="247"/>
      <c r="K562" s="259"/>
      <c r="L562" s="248"/>
      <c r="M562" s="248"/>
      <c r="N562" s="250"/>
      <c r="O562" s="250"/>
      <c r="P562" s="250"/>
      <c r="Q562" s="260" t="s">
        <v>201</v>
      </c>
      <c r="R562" s="278"/>
      <c r="S562" s="279"/>
      <c r="T562" s="279"/>
      <c r="U562" s="279"/>
      <c r="V562" s="279"/>
      <c r="W562" s="279"/>
      <c r="X562" s="281"/>
      <c r="Y562" s="286">
        <f>SUM(Y560:Y561)</f>
        <v>791687000</v>
      </c>
      <c r="Z562" s="286">
        <f>SUM(Z560:Z561)</f>
        <v>0</v>
      </c>
      <c r="AA562" s="303"/>
      <c r="AB562" s="286">
        <f t="shared" ref="AB562:AP562" si="217">SUM(AB560:AB561)</f>
        <v>41024700</v>
      </c>
      <c r="AC562" s="286">
        <f t="shared" ref="AC562:AC601" si="218">SUBTOTAL(9,AE562:AP562)</f>
        <v>0</v>
      </c>
      <c r="AD562" s="286">
        <f t="shared" si="217"/>
        <v>41024700</v>
      </c>
      <c r="AE562" s="286">
        <f>SUM(AE560:AE561)</f>
        <v>0</v>
      </c>
      <c r="AF562" s="286">
        <f t="shared" si="217"/>
        <v>0</v>
      </c>
      <c r="AG562" s="286">
        <f t="shared" si="217"/>
        <v>0</v>
      </c>
      <c r="AH562" s="286">
        <f t="shared" si="217"/>
        <v>0</v>
      </c>
      <c r="AI562" s="286">
        <f t="shared" si="217"/>
        <v>0</v>
      </c>
      <c r="AJ562" s="286">
        <v>0</v>
      </c>
      <c r="AK562" s="286">
        <v>0</v>
      </c>
      <c r="AL562" s="286">
        <v>0</v>
      </c>
      <c r="AM562" s="286">
        <f t="shared" si="217"/>
        <v>0</v>
      </c>
      <c r="AN562" s="286">
        <f t="shared" si="217"/>
        <v>0</v>
      </c>
      <c r="AO562" s="286">
        <f t="shared" si="217"/>
        <v>0</v>
      </c>
      <c r="AP562" s="286">
        <f t="shared" si="217"/>
        <v>0</v>
      </c>
      <c r="AQ562" s="287"/>
      <c r="AR562" s="286">
        <f>+Y562-Z562-AC562-AD562</f>
        <v>750662300</v>
      </c>
      <c r="AS562" s="315"/>
      <c r="AT562" s="315"/>
      <c r="AU562" s="220"/>
    </row>
    <row r="563" spans="1:47" ht="18.75" customHeight="1" outlineLevel="1">
      <c r="A563" s="215" t="s">
        <v>125</v>
      </c>
      <c r="B563" s="249"/>
      <c r="C563" s="249"/>
      <c r="D563" s="250"/>
      <c r="E563" s="249"/>
      <c r="F563" s="249"/>
      <c r="G563" s="249"/>
      <c r="H563" s="249"/>
      <c r="I563" s="249"/>
      <c r="J563" s="249"/>
      <c r="K563" s="261"/>
      <c r="L563" s="250"/>
      <c r="M563" s="250"/>
      <c r="N563" s="250"/>
      <c r="O563" s="250"/>
      <c r="P563" s="250"/>
      <c r="Q563" s="261"/>
      <c r="R563" s="283"/>
      <c r="S563" s="283"/>
      <c r="T563" s="283"/>
      <c r="U563" s="283"/>
      <c r="V563" s="283"/>
      <c r="W563" s="283"/>
      <c r="X563" s="283"/>
      <c r="Y563" s="284"/>
      <c r="Z563" s="284"/>
      <c r="AA563" s="301"/>
      <c r="AB563" s="301"/>
      <c r="AC563" s="301"/>
      <c r="AD563" s="301"/>
      <c r="AE563" s="301"/>
      <c r="AF563" s="301"/>
      <c r="AG563" s="301"/>
      <c r="AH563" s="301"/>
      <c r="AI563" s="301"/>
      <c r="AJ563" s="301"/>
      <c r="AK563" s="301"/>
      <c r="AL563" s="301"/>
      <c r="AM563" s="301"/>
      <c r="AN563" s="301"/>
      <c r="AO563" s="301"/>
      <c r="AP563" s="301"/>
      <c r="AQ563" s="301"/>
      <c r="AR563" s="301"/>
      <c r="AS563" s="316"/>
      <c r="AT563" s="316"/>
      <c r="AU563" s="317"/>
    </row>
    <row r="564" spans="1:47" s="219" customFormat="1" ht="24.75" customHeight="1" outlineLevel="1">
      <c r="A564" s="215" t="s">
        <v>125</v>
      </c>
      <c r="B564" s="251"/>
      <c r="C564" s="249"/>
      <c r="D564" s="250"/>
      <c r="E564" s="249"/>
      <c r="F564" s="249"/>
      <c r="G564" s="249"/>
      <c r="H564" s="249"/>
      <c r="I564" s="249"/>
      <c r="J564" s="251"/>
      <c r="K564" s="263"/>
      <c r="L564" s="252"/>
      <c r="M564" s="252"/>
      <c r="N564" s="252"/>
      <c r="O564" s="252"/>
      <c r="P564" s="252"/>
      <c r="Q564" s="117" t="s">
        <v>891</v>
      </c>
      <c r="R564" s="288"/>
      <c r="S564" s="289"/>
      <c r="T564" s="289"/>
      <c r="U564" s="289"/>
      <c r="V564" s="289"/>
      <c r="W564" s="289"/>
      <c r="X564" s="290"/>
      <c r="Y564" s="118">
        <f>+Y557+Y562</f>
        <v>7495698006</v>
      </c>
      <c r="Z564" s="118">
        <f>+Z557+Z562</f>
        <v>5161415680</v>
      </c>
      <c r="AA564" s="304"/>
      <c r="AB564" s="118">
        <f t="shared" ref="AB564:AD564" si="219">+AB557+AB562</f>
        <v>1240467656</v>
      </c>
      <c r="AC564" s="118">
        <f t="shared" si="219"/>
        <v>866198407</v>
      </c>
      <c r="AD564" s="118">
        <f t="shared" si="219"/>
        <v>374269249</v>
      </c>
      <c r="AE564" s="118">
        <f>+AE557+AE562</f>
        <v>0</v>
      </c>
      <c r="AF564" s="118">
        <f t="shared" ref="AF564:AP564" si="220">+AF557+AF562</f>
        <v>0</v>
      </c>
      <c r="AG564" s="118">
        <f t="shared" si="220"/>
        <v>0</v>
      </c>
      <c r="AH564" s="118">
        <f t="shared" si="220"/>
        <v>0</v>
      </c>
      <c r="AI564" s="118">
        <f t="shared" si="220"/>
        <v>0</v>
      </c>
      <c r="AJ564" s="118">
        <v>136210395</v>
      </c>
      <c r="AK564" s="118">
        <f t="shared" si="220"/>
        <v>118253646</v>
      </c>
      <c r="AL564" s="118">
        <f t="shared" si="220"/>
        <v>249810346</v>
      </c>
      <c r="AM564" s="118">
        <f t="shared" si="220"/>
        <v>69985337</v>
      </c>
      <c r="AN564" s="118">
        <f t="shared" si="220"/>
        <v>21051318</v>
      </c>
      <c r="AO564" s="118">
        <f t="shared" si="220"/>
        <v>97180539</v>
      </c>
      <c r="AP564" s="118">
        <f t="shared" si="220"/>
        <v>173706826</v>
      </c>
      <c r="AQ564" s="318"/>
      <c r="AR564" s="118">
        <f>+Y564-Z564-AC564-AD564</f>
        <v>1093814670</v>
      </c>
      <c r="AS564" s="333"/>
      <c r="AT564" s="333"/>
      <c r="AU564" s="320"/>
    </row>
    <row r="565" spans="1:47" ht="18.75" customHeight="1" outlineLevel="1">
      <c r="A565" s="215" t="s">
        <v>125</v>
      </c>
      <c r="B565" s="249"/>
      <c r="C565" s="249"/>
      <c r="D565" s="250"/>
      <c r="E565" s="249"/>
      <c r="F565" s="249"/>
      <c r="G565" s="249"/>
      <c r="H565" s="249"/>
      <c r="I565" s="249"/>
      <c r="J565" s="249"/>
      <c r="K565" s="261"/>
      <c r="L565" s="250"/>
      <c r="M565" s="250"/>
      <c r="N565" s="250"/>
      <c r="O565" s="250"/>
      <c r="P565" s="250"/>
      <c r="Q565" s="261"/>
      <c r="R565" s="283"/>
      <c r="S565" s="283"/>
      <c r="T565" s="283"/>
      <c r="U565" s="283"/>
      <c r="V565" s="283"/>
      <c r="W565" s="283"/>
      <c r="X565" s="283"/>
      <c r="Y565" s="284"/>
      <c r="Z565" s="284"/>
      <c r="AA565" s="301"/>
      <c r="AB565" s="301"/>
      <c r="AC565" s="301"/>
      <c r="AD565" s="301"/>
      <c r="AE565" s="301"/>
      <c r="AF565" s="301"/>
      <c r="AG565" s="301"/>
      <c r="AH565" s="301"/>
      <c r="AI565" s="301"/>
      <c r="AJ565" s="301"/>
      <c r="AK565" s="301"/>
      <c r="AL565" s="301"/>
      <c r="AM565" s="301"/>
      <c r="AN565" s="301"/>
      <c r="AO565" s="301"/>
      <c r="AP565" s="301"/>
      <c r="AQ565" s="301"/>
      <c r="AR565" s="301"/>
      <c r="AS565" s="316"/>
      <c r="AT565" s="316"/>
      <c r="AU565" s="317"/>
    </row>
    <row r="566" spans="1:47" ht="26.25" customHeight="1" outlineLevel="1">
      <c r="A566" s="215" t="s">
        <v>125</v>
      </c>
      <c r="B566" s="249"/>
      <c r="C566" s="249"/>
      <c r="D566" s="250"/>
      <c r="E566" s="249"/>
      <c r="F566" s="249"/>
      <c r="G566" s="249"/>
      <c r="H566" s="249"/>
      <c r="I566" s="249"/>
      <c r="J566" s="249"/>
      <c r="K566" s="261"/>
      <c r="L566" s="250"/>
      <c r="M566" s="250"/>
      <c r="N566" s="250"/>
      <c r="O566" s="250"/>
      <c r="P566" s="250"/>
      <c r="Q566" s="264" t="s">
        <v>892</v>
      </c>
      <c r="R566" s="283"/>
      <c r="S566" s="283"/>
      <c r="T566" s="283"/>
      <c r="U566" s="283"/>
      <c r="V566" s="283"/>
      <c r="W566" s="283"/>
      <c r="X566" s="283"/>
      <c r="Y566" s="284"/>
      <c r="Z566" s="284"/>
      <c r="AA566" s="301"/>
      <c r="AB566" s="301"/>
      <c r="AC566" s="301"/>
      <c r="AD566" s="301"/>
      <c r="AE566" s="301"/>
      <c r="AF566" s="301"/>
      <c r="AG566" s="301"/>
      <c r="AH566" s="301"/>
      <c r="AI566" s="301"/>
      <c r="AJ566" s="301"/>
      <c r="AK566" s="301"/>
      <c r="AL566" s="301"/>
      <c r="AM566" s="301"/>
      <c r="AN566" s="301"/>
      <c r="AO566" s="301"/>
      <c r="AP566" s="301"/>
      <c r="AQ566" s="301"/>
      <c r="AR566" s="301"/>
      <c r="AS566" s="316"/>
      <c r="AT566" s="316"/>
      <c r="AU566" s="317"/>
    </row>
    <row r="567" spans="1:47" s="216" customFormat="1" ht="15" customHeight="1" outlineLevel="1">
      <c r="A567" s="215" t="s">
        <v>125</v>
      </c>
      <c r="B567" s="249"/>
      <c r="C567" s="249"/>
      <c r="D567" s="250"/>
      <c r="E567" s="249"/>
      <c r="F567" s="249"/>
      <c r="G567" s="249"/>
      <c r="H567" s="249"/>
      <c r="I567" s="249"/>
      <c r="J567" s="249"/>
      <c r="K567" s="261"/>
      <c r="L567" s="250"/>
      <c r="M567" s="250"/>
      <c r="N567" s="250"/>
      <c r="O567" s="250"/>
      <c r="P567" s="250"/>
      <c r="Q567" s="255"/>
      <c r="R567" s="283"/>
      <c r="S567" s="283"/>
      <c r="T567" s="283"/>
      <c r="U567" s="283"/>
      <c r="V567" s="283"/>
      <c r="W567" s="283"/>
      <c r="X567" s="283"/>
      <c r="Y567" s="284"/>
      <c r="Z567" s="284"/>
      <c r="AA567" s="301"/>
      <c r="AB567" s="301"/>
      <c r="AC567" s="301"/>
      <c r="AD567" s="301"/>
      <c r="AE567" s="301"/>
      <c r="AF567" s="301"/>
      <c r="AG567" s="301"/>
      <c r="AH567" s="301"/>
      <c r="AI567" s="301"/>
      <c r="AJ567" s="301"/>
      <c r="AK567" s="301"/>
      <c r="AL567" s="301"/>
      <c r="AM567" s="301"/>
      <c r="AN567" s="301"/>
      <c r="AO567" s="301"/>
      <c r="AP567" s="301"/>
      <c r="AQ567" s="301"/>
      <c r="AR567" s="301"/>
      <c r="AS567" s="316"/>
      <c r="AT567" s="316"/>
      <c r="AU567" s="317"/>
    </row>
    <row r="568" spans="1:47" s="217" customFormat="1" ht="25.5" customHeight="1" outlineLevel="1">
      <c r="A568" s="215" t="s">
        <v>125</v>
      </c>
      <c r="B568" s="247"/>
      <c r="C568" s="247"/>
      <c r="D568" s="248"/>
      <c r="E568" s="249"/>
      <c r="F568" s="249"/>
      <c r="G568" s="249"/>
      <c r="H568" s="249"/>
      <c r="I568" s="249"/>
      <c r="J568" s="247"/>
      <c r="K568" s="259"/>
      <c r="L568" s="248"/>
      <c r="M568" s="248"/>
      <c r="N568" s="250"/>
      <c r="O568" s="250"/>
      <c r="P568" s="250"/>
      <c r="Q568" s="99" t="s">
        <v>127</v>
      </c>
      <c r="R568" s="283"/>
      <c r="S568" s="283"/>
      <c r="T568" s="283"/>
      <c r="U568" s="283"/>
      <c r="V568" s="283"/>
      <c r="W568" s="283"/>
      <c r="X568" s="283"/>
      <c r="Y568" s="285"/>
      <c r="Z568" s="285"/>
      <c r="AA568" s="302"/>
      <c r="AB568" s="302"/>
      <c r="AC568" s="302"/>
      <c r="AD568" s="302"/>
      <c r="AE568" s="302"/>
      <c r="AF568" s="302"/>
      <c r="AG568" s="302"/>
      <c r="AH568" s="301"/>
      <c r="AI568" s="301"/>
      <c r="AJ568" s="301"/>
      <c r="AK568" s="301"/>
      <c r="AL568" s="301"/>
      <c r="AM568" s="301"/>
      <c r="AN568" s="301"/>
      <c r="AO568" s="301"/>
      <c r="AP568" s="301"/>
      <c r="AQ568" s="302"/>
      <c r="AR568" s="302"/>
      <c r="AS568" s="315"/>
      <c r="AT568" s="315"/>
      <c r="AU568" s="220"/>
    </row>
    <row r="569" spans="1:47" s="218" customFormat="1" ht="25.5" customHeight="1" outlineLevel="2">
      <c r="A569" s="215" t="s">
        <v>125</v>
      </c>
      <c r="B569" s="191">
        <v>33</v>
      </c>
      <c r="C569" s="191" t="s">
        <v>128</v>
      </c>
      <c r="D569" s="246" t="s">
        <v>149</v>
      </c>
      <c r="E569" s="191" t="s">
        <v>130</v>
      </c>
      <c r="F569" s="191" t="s">
        <v>140</v>
      </c>
      <c r="G569" s="191" t="s">
        <v>34</v>
      </c>
      <c r="H569" s="191" t="s">
        <v>66</v>
      </c>
      <c r="I569" s="258">
        <v>28</v>
      </c>
      <c r="J569" s="191" t="s">
        <v>83</v>
      </c>
      <c r="K569" s="192" t="s">
        <v>132</v>
      </c>
      <c r="L569" s="246" t="s">
        <v>83</v>
      </c>
      <c r="M569" s="861" t="s">
        <v>1604</v>
      </c>
      <c r="N569" s="246"/>
      <c r="O569" s="245" t="s">
        <v>183</v>
      </c>
      <c r="P569" s="246"/>
      <c r="Q569" s="192" t="s">
        <v>184</v>
      </c>
      <c r="R569" s="276"/>
      <c r="S569" s="277"/>
      <c r="T569" s="276"/>
      <c r="U569" s="276"/>
      <c r="V569" s="276"/>
      <c r="W569" s="276"/>
      <c r="X569" s="277"/>
      <c r="Y569" s="194">
        <v>100000000</v>
      </c>
      <c r="Z569" s="194">
        <f>+FRIL!J821</f>
        <v>0</v>
      </c>
      <c r="AA569" s="298"/>
      <c r="AB569" s="299">
        <v>100000000</v>
      </c>
      <c r="AC569" s="299">
        <f t="shared" si="218"/>
        <v>0</v>
      </c>
      <c r="AD569" s="299">
        <f>+AB569-AC569</f>
        <v>100000000</v>
      </c>
      <c r="AE569" s="299">
        <v>0</v>
      </c>
      <c r="AF569" s="299">
        <v>0</v>
      </c>
      <c r="AG569" s="299">
        <v>0</v>
      </c>
      <c r="AH569" s="299">
        <v>0</v>
      </c>
      <c r="AI569" s="299">
        <v>0</v>
      </c>
      <c r="AJ569" s="297">
        <v>0</v>
      </c>
      <c r="AK569" s="299">
        <v>0</v>
      </c>
      <c r="AL569" s="299">
        <v>0</v>
      </c>
      <c r="AM569" s="299">
        <v>0</v>
      </c>
      <c r="AN569" s="299">
        <v>0</v>
      </c>
      <c r="AO569" s="297">
        <v>0</v>
      </c>
      <c r="AP569" s="299">
        <v>0</v>
      </c>
      <c r="AQ569" s="298"/>
      <c r="AR569" s="299">
        <f>+Y569-Z569-AC569-AD569</f>
        <v>0</v>
      </c>
      <c r="AS569" s="314" t="s">
        <v>185</v>
      </c>
      <c r="AT569" s="314" t="s">
        <v>83</v>
      </c>
      <c r="AU569" s="192" t="s">
        <v>138</v>
      </c>
    </row>
    <row r="570" spans="1:47" s="218" customFormat="1" ht="25.5" customHeight="1" outlineLevel="2">
      <c r="A570" s="215" t="s">
        <v>125</v>
      </c>
      <c r="B570" s="151">
        <v>24</v>
      </c>
      <c r="C570" s="151" t="s">
        <v>196</v>
      </c>
      <c r="D570" s="245" t="s">
        <v>251</v>
      </c>
      <c r="E570" s="151" t="s">
        <v>169</v>
      </c>
      <c r="F570" s="151" t="s">
        <v>251</v>
      </c>
      <c r="G570" s="151" t="s">
        <v>34</v>
      </c>
      <c r="H570" s="151" t="s">
        <v>66</v>
      </c>
      <c r="I570" s="256">
        <v>28</v>
      </c>
      <c r="J570" s="151" t="s">
        <v>84</v>
      </c>
      <c r="K570" s="176" t="s">
        <v>132</v>
      </c>
      <c r="L570" s="245">
        <v>30478657</v>
      </c>
      <c r="M570" s="855"/>
      <c r="N570" s="245"/>
      <c r="O570" s="245" t="s">
        <v>1449</v>
      </c>
      <c r="P570" s="245"/>
      <c r="Q570" s="176" t="s">
        <v>893</v>
      </c>
      <c r="R570" s="273"/>
      <c r="S570" s="274"/>
      <c r="T570" s="273"/>
      <c r="U570" s="273"/>
      <c r="V570" s="273"/>
      <c r="W570" s="273"/>
      <c r="X570" s="274"/>
      <c r="Y570" s="275">
        <f>+AC570</f>
        <v>46663393</v>
      </c>
      <c r="Z570" s="275">
        <v>0</v>
      </c>
      <c r="AA570" s="296"/>
      <c r="AB570" s="297">
        <f t="shared" ref="AB570:AB576" si="221">+AC570</f>
        <v>46663393</v>
      </c>
      <c r="AC570" s="297">
        <f t="shared" si="218"/>
        <v>46663393</v>
      </c>
      <c r="AD570" s="297">
        <f t="shared" ref="AD570:AD578" si="222">+AB570-AC570</f>
        <v>0</v>
      </c>
      <c r="AE570" s="297"/>
      <c r="AF570" s="297"/>
      <c r="AG570" s="297"/>
      <c r="AH570" s="297"/>
      <c r="AI570" s="297"/>
      <c r="AJ570" s="297">
        <v>0</v>
      </c>
      <c r="AK570" s="297">
        <v>0</v>
      </c>
      <c r="AL570" s="297">
        <v>0</v>
      </c>
      <c r="AM570" s="297">
        <v>46663393</v>
      </c>
      <c r="AN570" s="297"/>
      <c r="AO570" s="297"/>
      <c r="AP570" s="297"/>
      <c r="AQ570" s="296"/>
      <c r="AR570" s="297">
        <f t="shared" ref="AR570:AR578" si="223">+Y570-Z570-AC570-AD570</f>
        <v>0</v>
      </c>
      <c r="AS570" s="313" t="s">
        <v>415</v>
      </c>
      <c r="AT570" s="313" t="s">
        <v>1480</v>
      </c>
      <c r="AU570" s="176" t="s">
        <v>138</v>
      </c>
    </row>
    <row r="571" spans="1:47" s="218" customFormat="1" ht="25.5" customHeight="1" outlineLevel="2">
      <c r="A571" s="215" t="s">
        <v>125</v>
      </c>
      <c r="B571" s="151">
        <v>24</v>
      </c>
      <c r="C571" s="151" t="s">
        <v>196</v>
      </c>
      <c r="D571" s="245" t="s">
        <v>251</v>
      </c>
      <c r="E571" s="151" t="s">
        <v>169</v>
      </c>
      <c r="F571" s="151" t="s">
        <v>251</v>
      </c>
      <c r="G571" s="151" t="s">
        <v>34</v>
      </c>
      <c r="H571" s="151" t="s">
        <v>66</v>
      </c>
      <c r="I571" s="256">
        <v>28</v>
      </c>
      <c r="J571" s="151" t="s">
        <v>84</v>
      </c>
      <c r="K571" s="176" t="s">
        <v>132</v>
      </c>
      <c r="L571" s="245">
        <v>30478656</v>
      </c>
      <c r="M571" s="855"/>
      <c r="N571" s="245"/>
      <c r="O571" s="245" t="s">
        <v>1450</v>
      </c>
      <c r="P571" s="245"/>
      <c r="Q571" s="176" t="s">
        <v>894</v>
      </c>
      <c r="R571" s="273"/>
      <c r="S571" s="274"/>
      <c r="T571" s="273"/>
      <c r="U571" s="273"/>
      <c r="V571" s="273"/>
      <c r="W571" s="273"/>
      <c r="X571" s="274"/>
      <c r="Y571" s="275">
        <f t="shared" ref="Y571:Y576" si="224">+AC571</f>
        <v>50103316</v>
      </c>
      <c r="Z571" s="275">
        <v>0</v>
      </c>
      <c r="AA571" s="296"/>
      <c r="AB571" s="297">
        <f t="shared" si="221"/>
        <v>50103316</v>
      </c>
      <c r="AC571" s="297">
        <f t="shared" si="218"/>
        <v>50103316</v>
      </c>
      <c r="AD571" s="297">
        <f t="shared" si="222"/>
        <v>0</v>
      </c>
      <c r="AE571" s="297"/>
      <c r="AF571" s="297"/>
      <c r="AG571" s="297"/>
      <c r="AH571" s="297"/>
      <c r="AI571" s="297"/>
      <c r="AJ571" s="297">
        <v>0</v>
      </c>
      <c r="AK571" s="297">
        <v>0</v>
      </c>
      <c r="AL571" s="297">
        <v>0</v>
      </c>
      <c r="AM571" s="297">
        <v>50103316</v>
      </c>
      <c r="AN571" s="297"/>
      <c r="AO571" s="297"/>
      <c r="AP571" s="297"/>
      <c r="AQ571" s="296"/>
      <c r="AR571" s="297">
        <f t="shared" si="223"/>
        <v>0</v>
      </c>
      <c r="AS571" s="313" t="s">
        <v>415</v>
      </c>
      <c r="AT571" s="313" t="s">
        <v>1480</v>
      </c>
      <c r="AU571" s="176" t="s">
        <v>138</v>
      </c>
    </row>
    <row r="572" spans="1:47" s="218" customFormat="1" ht="25.5" customHeight="1" outlineLevel="2">
      <c r="A572" s="215" t="s">
        <v>125</v>
      </c>
      <c r="B572" s="151">
        <v>24</v>
      </c>
      <c r="C572" s="151" t="s">
        <v>196</v>
      </c>
      <c r="D572" s="245" t="s">
        <v>251</v>
      </c>
      <c r="E572" s="151" t="s">
        <v>169</v>
      </c>
      <c r="F572" s="151" t="s">
        <v>251</v>
      </c>
      <c r="G572" s="151" t="s">
        <v>34</v>
      </c>
      <c r="H572" s="151" t="s">
        <v>66</v>
      </c>
      <c r="I572" s="256">
        <v>28</v>
      </c>
      <c r="J572" s="151" t="s">
        <v>84</v>
      </c>
      <c r="K572" s="176" t="s">
        <v>132</v>
      </c>
      <c r="L572" s="245">
        <v>30478653</v>
      </c>
      <c r="M572" s="855"/>
      <c r="N572" s="245"/>
      <c r="O572" s="245" t="s">
        <v>1451</v>
      </c>
      <c r="P572" s="245"/>
      <c r="Q572" s="176" t="s">
        <v>895</v>
      </c>
      <c r="R572" s="273"/>
      <c r="S572" s="274"/>
      <c r="T572" s="273"/>
      <c r="U572" s="273"/>
      <c r="V572" s="273"/>
      <c r="W572" s="273"/>
      <c r="X572" s="274"/>
      <c r="Y572" s="275">
        <f t="shared" si="224"/>
        <v>36539607</v>
      </c>
      <c r="Z572" s="275">
        <v>0</v>
      </c>
      <c r="AA572" s="296"/>
      <c r="AB572" s="297">
        <f t="shared" si="221"/>
        <v>36539607</v>
      </c>
      <c r="AC572" s="297">
        <f t="shared" si="218"/>
        <v>36539607</v>
      </c>
      <c r="AD572" s="297">
        <f t="shared" si="222"/>
        <v>0</v>
      </c>
      <c r="AE572" s="297"/>
      <c r="AF572" s="297"/>
      <c r="AG572" s="297"/>
      <c r="AH572" s="297"/>
      <c r="AI572" s="297"/>
      <c r="AJ572" s="297">
        <v>0</v>
      </c>
      <c r="AK572" s="297">
        <v>0</v>
      </c>
      <c r="AL572" s="297">
        <v>0</v>
      </c>
      <c r="AM572" s="297">
        <v>36539607</v>
      </c>
      <c r="AN572" s="297"/>
      <c r="AO572" s="297"/>
      <c r="AP572" s="297"/>
      <c r="AQ572" s="296"/>
      <c r="AR572" s="297">
        <f t="shared" si="223"/>
        <v>0</v>
      </c>
      <c r="AS572" s="313" t="s">
        <v>415</v>
      </c>
      <c r="AT572" s="313" t="s">
        <v>1480</v>
      </c>
      <c r="AU572" s="176" t="s">
        <v>138</v>
      </c>
    </row>
    <row r="573" spans="1:47" s="218" customFormat="1" ht="25.5" customHeight="1" outlineLevel="2">
      <c r="A573" s="215" t="s">
        <v>125</v>
      </c>
      <c r="B573" s="151">
        <v>24</v>
      </c>
      <c r="C573" s="151" t="s">
        <v>196</v>
      </c>
      <c r="D573" s="245" t="s">
        <v>251</v>
      </c>
      <c r="E573" s="151" t="s">
        <v>169</v>
      </c>
      <c r="F573" s="151" t="s">
        <v>251</v>
      </c>
      <c r="G573" s="151" t="s">
        <v>34</v>
      </c>
      <c r="H573" s="151" t="s">
        <v>66</v>
      </c>
      <c r="I573" s="256">
        <v>28</v>
      </c>
      <c r="J573" s="151" t="s">
        <v>84</v>
      </c>
      <c r="K573" s="176" t="s">
        <v>132</v>
      </c>
      <c r="L573" s="245">
        <v>30478661</v>
      </c>
      <c r="M573" s="855"/>
      <c r="N573" s="245"/>
      <c r="O573" s="245" t="s">
        <v>1452</v>
      </c>
      <c r="P573" s="245"/>
      <c r="Q573" s="176" t="s">
        <v>896</v>
      </c>
      <c r="R573" s="273"/>
      <c r="S573" s="274"/>
      <c r="T573" s="273"/>
      <c r="U573" s="273"/>
      <c r="V573" s="273"/>
      <c r="W573" s="273"/>
      <c r="X573" s="274"/>
      <c r="Y573" s="275">
        <f t="shared" si="224"/>
        <v>61906970</v>
      </c>
      <c r="Z573" s="275">
        <v>0</v>
      </c>
      <c r="AA573" s="296"/>
      <c r="AB573" s="297">
        <f t="shared" si="221"/>
        <v>61906970</v>
      </c>
      <c r="AC573" s="297">
        <f t="shared" si="218"/>
        <v>61906970</v>
      </c>
      <c r="AD573" s="297">
        <f t="shared" si="222"/>
        <v>0</v>
      </c>
      <c r="AE573" s="297"/>
      <c r="AF573" s="297"/>
      <c r="AG573" s="297"/>
      <c r="AH573" s="297"/>
      <c r="AI573" s="297"/>
      <c r="AJ573" s="297">
        <v>0</v>
      </c>
      <c r="AK573" s="297">
        <v>0</v>
      </c>
      <c r="AL573" s="297">
        <v>0</v>
      </c>
      <c r="AM573" s="297">
        <v>61906970</v>
      </c>
      <c r="AN573" s="297"/>
      <c r="AO573" s="297"/>
      <c r="AP573" s="297"/>
      <c r="AQ573" s="296"/>
      <c r="AR573" s="297">
        <f t="shared" si="223"/>
        <v>0</v>
      </c>
      <c r="AS573" s="313" t="s">
        <v>415</v>
      </c>
      <c r="AT573" s="313" t="s">
        <v>1480</v>
      </c>
      <c r="AU573" s="176" t="s">
        <v>138</v>
      </c>
    </row>
    <row r="574" spans="1:47" s="218" customFormat="1" ht="25.5" customHeight="1" outlineLevel="2">
      <c r="A574" s="215" t="s">
        <v>125</v>
      </c>
      <c r="B574" s="151">
        <v>24</v>
      </c>
      <c r="C574" s="151" t="s">
        <v>196</v>
      </c>
      <c r="D574" s="245" t="s">
        <v>251</v>
      </c>
      <c r="E574" s="151" t="s">
        <v>169</v>
      </c>
      <c r="F574" s="151" t="s">
        <v>251</v>
      </c>
      <c r="G574" s="151" t="s">
        <v>34</v>
      </c>
      <c r="H574" s="151" t="s">
        <v>66</v>
      </c>
      <c r="I574" s="256">
        <v>28</v>
      </c>
      <c r="J574" s="151" t="s">
        <v>84</v>
      </c>
      <c r="K574" s="176" t="s">
        <v>132</v>
      </c>
      <c r="L574" s="245">
        <v>30478659</v>
      </c>
      <c r="M574" s="855"/>
      <c r="N574" s="245"/>
      <c r="O574" s="245" t="s">
        <v>1453</v>
      </c>
      <c r="P574" s="245"/>
      <c r="Q574" s="176" t="s">
        <v>897</v>
      </c>
      <c r="R574" s="273"/>
      <c r="S574" s="274"/>
      <c r="T574" s="273"/>
      <c r="U574" s="273"/>
      <c r="V574" s="273"/>
      <c r="W574" s="273"/>
      <c r="X574" s="274"/>
      <c r="Y574" s="275">
        <f t="shared" si="224"/>
        <v>24887236</v>
      </c>
      <c r="Z574" s="275">
        <v>0</v>
      </c>
      <c r="AA574" s="296"/>
      <c r="AB574" s="297">
        <f t="shared" si="221"/>
        <v>24887236</v>
      </c>
      <c r="AC574" s="297">
        <f t="shared" si="218"/>
        <v>24887236</v>
      </c>
      <c r="AD574" s="297">
        <f t="shared" si="222"/>
        <v>0</v>
      </c>
      <c r="AE574" s="297"/>
      <c r="AF574" s="297"/>
      <c r="AG574" s="297"/>
      <c r="AH574" s="297"/>
      <c r="AI574" s="297"/>
      <c r="AJ574" s="297">
        <v>0</v>
      </c>
      <c r="AK574" s="297">
        <v>0</v>
      </c>
      <c r="AL574" s="297">
        <v>0</v>
      </c>
      <c r="AM574" s="297">
        <v>24887236</v>
      </c>
      <c r="AN574" s="297"/>
      <c r="AO574" s="297"/>
      <c r="AP574" s="297"/>
      <c r="AQ574" s="296"/>
      <c r="AR574" s="297">
        <f t="shared" si="223"/>
        <v>0</v>
      </c>
      <c r="AS574" s="313" t="s">
        <v>415</v>
      </c>
      <c r="AT574" s="313" t="s">
        <v>1480</v>
      </c>
      <c r="AU574" s="176" t="s">
        <v>138</v>
      </c>
    </row>
    <row r="575" spans="1:47" s="218" customFormat="1" ht="25.5" customHeight="1" outlineLevel="2">
      <c r="A575" s="215" t="s">
        <v>125</v>
      </c>
      <c r="B575" s="151">
        <v>24</v>
      </c>
      <c r="C575" s="151" t="s">
        <v>196</v>
      </c>
      <c r="D575" s="245" t="s">
        <v>251</v>
      </c>
      <c r="E575" s="151" t="s">
        <v>169</v>
      </c>
      <c r="F575" s="151" t="s">
        <v>251</v>
      </c>
      <c r="G575" s="151" t="s">
        <v>34</v>
      </c>
      <c r="H575" s="151" t="s">
        <v>66</v>
      </c>
      <c r="I575" s="256">
        <v>28</v>
      </c>
      <c r="J575" s="151" t="s">
        <v>84</v>
      </c>
      <c r="K575" s="176" t="s">
        <v>132</v>
      </c>
      <c r="L575" s="245">
        <v>30478660</v>
      </c>
      <c r="M575" s="855"/>
      <c r="N575" s="245"/>
      <c r="O575" s="245" t="s">
        <v>1454</v>
      </c>
      <c r="P575" s="245"/>
      <c r="Q575" s="176" t="s">
        <v>898</v>
      </c>
      <c r="R575" s="273"/>
      <c r="S575" s="274"/>
      <c r="T575" s="273"/>
      <c r="U575" s="273"/>
      <c r="V575" s="273"/>
      <c r="W575" s="273"/>
      <c r="X575" s="274"/>
      <c r="Y575" s="275">
        <f t="shared" si="224"/>
        <v>38986366</v>
      </c>
      <c r="Z575" s="275">
        <v>0</v>
      </c>
      <c r="AA575" s="296"/>
      <c r="AB575" s="297">
        <f t="shared" si="221"/>
        <v>38986366</v>
      </c>
      <c r="AC575" s="297">
        <f t="shared" si="218"/>
        <v>38986366</v>
      </c>
      <c r="AD575" s="297">
        <f t="shared" si="222"/>
        <v>0</v>
      </c>
      <c r="AE575" s="297"/>
      <c r="AF575" s="297"/>
      <c r="AG575" s="297"/>
      <c r="AH575" s="297"/>
      <c r="AI575" s="297"/>
      <c r="AJ575" s="297">
        <v>0</v>
      </c>
      <c r="AK575" s="297">
        <v>0</v>
      </c>
      <c r="AL575" s="297">
        <v>0</v>
      </c>
      <c r="AM575" s="297">
        <v>38986366</v>
      </c>
      <c r="AN575" s="297"/>
      <c r="AO575" s="297"/>
      <c r="AP575" s="297"/>
      <c r="AQ575" s="296"/>
      <c r="AR575" s="297">
        <f t="shared" si="223"/>
        <v>0</v>
      </c>
      <c r="AS575" s="313" t="s">
        <v>415</v>
      </c>
      <c r="AT575" s="313" t="s">
        <v>1480</v>
      </c>
      <c r="AU575" s="176" t="s">
        <v>138</v>
      </c>
    </row>
    <row r="576" spans="1:47" s="218" customFormat="1" ht="25.5" customHeight="1" outlineLevel="2">
      <c r="A576" s="215" t="s">
        <v>125</v>
      </c>
      <c r="B576" s="151">
        <v>24</v>
      </c>
      <c r="C576" s="151" t="s">
        <v>196</v>
      </c>
      <c r="D576" s="245" t="s">
        <v>251</v>
      </c>
      <c r="E576" s="151" t="s">
        <v>169</v>
      </c>
      <c r="F576" s="151" t="s">
        <v>251</v>
      </c>
      <c r="G576" s="151" t="s">
        <v>34</v>
      </c>
      <c r="H576" s="151" t="s">
        <v>66</v>
      </c>
      <c r="I576" s="256">
        <v>28</v>
      </c>
      <c r="J576" s="151" t="s">
        <v>84</v>
      </c>
      <c r="K576" s="176" t="s">
        <v>132</v>
      </c>
      <c r="L576" s="245">
        <v>30478655</v>
      </c>
      <c r="M576" s="855"/>
      <c r="N576" s="245"/>
      <c r="O576" s="245" t="s">
        <v>1455</v>
      </c>
      <c r="P576" s="245"/>
      <c r="Q576" s="176" t="s">
        <v>899</v>
      </c>
      <c r="R576" s="273"/>
      <c r="S576" s="274"/>
      <c r="T576" s="273"/>
      <c r="U576" s="273"/>
      <c r="V576" s="273"/>
      <c r="W576" s="273"/>
      <c r="X576" s="274"/>
      <c r="Y576" s="275">
        <f t="shared" si="224"/>
        <v>69316181</v>
      </c>
      <c r="Z576" s="275">
        <v>0</v>
      </c>
      <c r="AA576" s="296"/>
      <c r="AB576" s="297">
        <f t="shared" si="221"/>
        <v>69316181</v>
      </c>
      <c r="AC576" s="297">
        <f t="shared" si="218"/>
        <v>69316181</v>
      </c>
      <c r="AD576" s="297">
        <f t="shared" si="222"/>
        <v>0</v>
      </c>
      <c r="AE576" s="297"/>
      <c r="AF576" s="297"/>
      <c r="AG576" s="297"/>
      <c r="AH576" s="297"/>
      <c r="AI576" s="297"/>
      <c r="AJ576" s="297">
        <v>0</v>
      </c>
      <c r="AK576" s="297">
        <v>0</v>
      </c>
      <c r="AL576" s="297">
        <v>0</v>
      </c>
      <c r="AM576" s="297">
        <v>69316181</v>
      </c>
      <c r="AN576" s="297"/>
      <c r="AO576" s="297"/>
      <c r="AP576" s="297"/>
      <c r="AQ576" s="296"/>
      <c r="AR576" s="297">
        <f t="shared" si="223"/>
        <v>0</v>
      </c>
      <c r="AS576" s="313" t="s">
        <v>415</v>
      </c>
      <c r="AT576" s="313" t="s">
        <v>1480</v>
      </c>
      <c r="AU576" s="176" t="s">
        <v>138</v>
      </c>
    </row>
    <row r="577" spans="1:49" s="217" customFormat="1" ht="25.5" customHeight="1" outlineLevel="1">
      <c r="A577" s="215" t="s">
        <v>125</v>
      </c>
      <c r="B577" s="151">
        <v>31</v>
      </c>
      <c r="C577" s="151" t="s">
        <v>196</v>
      </c>
      <c r="D577" s="245" t="s">
        <v>164</v>
      </c>
      <c r="E577" s="151" t="s">
        <v>169</v>
      </c>
      <c r="F577" s="151" t="s">
        <v>140</v>
      </c>
      <c r="G577" s="151" t="s">
        <v>34</v>
      </c>
      <c r="H577" s="151" t="s">
        <v>66</v>
      </c>
      <c r="I577" s="256">
        <v>28</v>
      </c>
      <c r="J577" s="151" t="s">
        <v>80</v>
      </c>
      <c r="K577" s="176" t="s">
        <v>132</v>
      </c>
      <c r="L577" s="245">
        <v>40013068</v>
      </c>
      <c r="M577" s="855" t="s">
        <v>164</v>
      </c>
      <c r="N577" s="245" t="s">
        <v>656</v>
      </c>
      <c r="O577" s="245" t="s">
        <v>904</v>
      </c>
      <c r="P577" s="257" t="s">
        <v>1545</v>
      </c>
      <c r="Q577" s="176" t="s">
        <v>905</v>
      </c>
      <c r="R577" s="273" t="s">
        <v>906</v>
      </c>
      <c r="S577" s="274"/>
      <c r="T577" s="273"/>
      <c r="U577" s="273" t="s">
        <v>907</v>
      </c>
      <c r="V577" s="273">
        <v>586313000</v>
      </c>
      <c r="W577" s="273"/>
      <c r="X577" s="274"/>
      <c r="Y577" s="326">
        <v>617342000</v>
      </c>
      <c r="Z577" s="275">
        <v>0</v>
      </c>
      <c r="AA577" s="296"/>
      <c r="AB577" s="297">
        <v>121000000</v>
      </c>
      <c r="AC577" s="297">
        <f>SUBTOTAL(9,AE577:AP577)</f>
        <v>730000</v>
      </c>
      <c r="AD577" s="297">
        <f>+AB577-AC577</f>
        <v>120270000</v>
      </c>
      <c r="AE577" s="297">
        <v>0</v>
      </c>
      <c r="AF577" s="297">
        <v>0</v>
      </c>
      <c r="AG577" s="297">
        <v>0</v>
      </c>
      <c r="AH577" s="297">
        <v>0</v>
      </c>
      <c r="AI577" s="297">
        <v>0</v>
      </c>
      <c r="AJ577" s="297">
        <v>730000</v>
      </c>
      <c r="AK577" s="297">
        <v>0</v>
      </c>
      <c r="AL577" s="297">
        <v>0</v>
      </c>
      <c r="AM577" s="297">
        <v>0</v>
      </c>
      <c r="AN577" s="297">
        <v>0</v>
      </c>
      <c r="AO577" s="297">
        <v>0</v>
      </c>
      <c r="AP577" s="297">
        <v>0</v>
      </c>
      <c r="AQ577" s="296"/>
      <c r="AR577" s="297">
        <f>+Y577-Z577-AC577-AD577</f>
        <v>496342000</v>
      </c>
      <c r="AS577" s="313" t="s">
        <v>137</v>
      </c>
      <c r="AT577" s="313" t="s">
        <v>137</v>
      </c>
      <c r="AU577" s="176" t="s">
        <v>138</v>
      </c>
    </row>
    <row r="578" spans="1:49" s="218" customFormat="1" ht="25.5" customHeight="1" outlineLevel="2">
      <c r="A578" s="215" t="s">
        <v>125</v>
      </c>
      <c r="B578" s="151">
        <v>33</v>
      </c>
      <c r="C578" s="151" t="s">
        <v>128</v>
      </c>
      <c r="D578" s="245" t="s">
        <v>149</v>
      </c>
      <c r="E578" s="151" t="s">
        <v>130</v>
      </c>
      <c r="F578" s="151" t="s">
        <v>140</v>
      </c>
      <c r="G578" s="151" t="s">
        <v>34</v>
      </c>
      <c r="H578" s="151" t="s">
        <v>66</v>
      </c>
      <c r="I578" s="256">
        <v>28</v>
      </c>
      <c r="J578" s="151" t="s">
        <v>83</v>
      </c>
      <c r="K578" s="176" t="s">
        <v>132</v>
      </c>
      <c r="L578" s="245" t="s">
        <v>83</v>
      </c>
      <c r="M578" s="855"/>
      <c r="N578" s="245"/>
      <c r="O578" s="245" t="s">
        <v>183</v>
      </c>
      <c r="P578" s="245"/>
      <c r="Q578" s="176" t="s">
        <v>870</v>
      </c>
      <c r="R578" s="273"/>
      <c r="S578" s="274"/>
      <c r="T578" s="273"/>
      <c r="U578" s="273"/>
      <c r="V578" s="273"/>
      <c r="W578" s="273"/>
      <c r="X578" s="274"/>
      <c r="Y578" s="275">
        <v>200000000</v>
      </c>
      <c r="Z578" s="275">
        <f>+FRIL!J822</f>
        <v>0</v>
      </c>
      <c r="AA578" s="296"/>
      <c r="AB578" s="297">
        <v>200000000</v>
      </c>
      <c r="AC578" s="297">
        <f t="shared" si="218"/>
        <v>13052903</v>
      </c>
      <c r="AD578" s="297">
        <f t="shared" si="222"/>
        <v>186947097</v>
      </c>
      <c r="AE578" s="297">
        <v>0</v>
      </c>
      <c r="AF578" s="297">
        <v>0</v>
      </c>
      <c r="AG578" s="297">
        <v>0</v>
      </c>
      <c r="AH578" s="297">
        <v>0</v>
      </c>
      <c r="AI578" s="297">
        <v>0</v>
      </c>
      <c r="AJ578" s="297">
        <v>0</v>
      </c>
      <c r="AK578" s="297">
        <v>0</v>
      </c>
      <c r="AL578" s="297">
        <v>0</v>
      </c>
      <c r="AM578" s="297">
        <v>13052903</v>
      </c>
      <c r="AN578" s="297">
        <v>0</v>
      </c>
      <c r="AO578" s="297">
        <f>+FRIL!L300</f>
        <v>0</v>
      </c>
      <c r="AP578" s="297">
        <v>0</v>
      </c>
      <c r="AQ578" s="296"/>
      <c r="AR578" s="297">
        <f t="shared" si="223"/>
        <v>0</v>
      </c>
      <c r="AS578" s="313" t="s">
        <v>185</v>
      </c>
      <c r="AT578" s="313" t="s">
        <v>83</v>
      </c>
      <c r="AU578" s="176" t="s">
        <v>138</v>
      </c>
    </row>
    <row r="579" spans="1:49" s="217" customFormat="1" ht="25.5" customHeight="1" outlineLevel="1">
      <c r="A579" s="215" t="s">
        <v>125</v>
      </c>
      <c r="B579" s="247"/>
      <c r="C579" s="247"/>
      <c r="D579" s="248"/>
      <c r="E579" s="249"/>
      <c r="F579" s="249"/>
      <c r="G579" s="249"/>
      <c r="H579" s="249"/>
      <c r="I579" s="249"/>
      <c r="J579" s="247"/>
      <c r="K579" s="259"/>
      <c r="L579" s="248"/>
      <c r="M579" s="248"/>
      <c r="N579" s="250"/>
      <c r="O579" s="250"/>
      <c r="P579" s="250"/>
      <c r="Q579" s="260" t="s">
        <v>187</v>
      </c>
      <c r="R579" s="278"/>
      <c r="S579" s="279"/>
      <c r="T579" s="279"/>
      <c r="U579" s="279"/>
      <c r="V579" s="279"/>
      <c r="W579" s="279"/>
      <c r="X579" s="281"/>
      <c r="Y579" s="286">
        <f>+Y569+Y578+Y570+Y571+Y572+Y573+Y574+Y575+Y576+Y577</f>
        <v>1245745069</v>
      </c>
      <c r="Z579" s="286">
        <f>+Z569+Z578+Z570+Z571+Z572+Z573+Z574+Z575+Z576+Z577</f>
        <v>0</v>
      </c>
      <c r="AA579" s="303"/>
      <c r="AB579" s="286">
        <f t="shared" ref="AB579:AP579" si="225">+AB569+AB578+AB570+AB571+AB572+AB573+AB574+AB575+AB576+AB577</f>
        <v>749403069</v>
      </c>
      <c r="AC579" s="286">
        <f t="shared" si="225"/>
        <v>342185972</v>
      </c>
      <c r="AD579" s="286">
        <f t="shared" si="225"/>
        <v>407217097</v>
      </c>
      <c r="AE579" s="286">
        <f t="shared" si="225"/>
        <v>0</v>
      </c>
      <c r="AF579" s="286">
        <f t="shared" si="225"/>
        <v>0</v>
      </c>
      <c r="AG579" s="286">
        <f t="shared" si="225"/>
        <v>0</v>
      </c>
      <c r="AH579" s="286">
        <f t="shared" si="225"/>
        <v>0</v>
      </c>
      <c r="AI579" s="286">
        <f t="shared" si="225"/>
        <v>0</v>
      </c>
      <c r="AJ579" s="286">
        <f t="shared" si="225"/>
        <v>730000</v>
      </c>
      <c r="AK579" s="286">
        <f t="shared" si="225"/>
        <v>0</v>
      </c>
      <c r="AL579" s="286">
        <f t="shared" si="225"/>
        <v>0</v>
      </c>
      <c r="AM579" s="286">
        <f t="shared" si="225"/>
        <v>341455972</v>
      </c>
      <c r="AN579" s="286">
        <f t="shared" si="225"/>
        <v>0</v>
      </c>
      <c r="AO579" s="286">
        <f t="shared" si="225"/>
        <v>0</v>
      </c>
      <c r="AP579" s="286">
        <f t="shared" si="225"/>
        <v>0</v>
      </c>
      <c r="AQ579" s="287"/>
      <c r="AR579" s="286">
        <f>+Y579-Z579-AC579-AD579</f>
        <v>496342000</v>
      </c>
      <c r="AS579" s="315"/>
      <c r="AT579" s="315"/>
      <c r="AU579" s="220"/>
    </row>
    <row r="580" spans="1:49" ht="18.75" customHeight="1" outlineLevel="1">
      <c r="A580" s="215" t="s">
        <v>125</v>
      </c>
      <c r="B580" s="249"/>
      <c r="C580" s="249"/>
      <c r="D580" s="250"/>
      <c r="E580" s="249"/>
      <c r="F580" s="249"/>
      <c r="G580" s="249"/>
      <c r="H580" s="249"/>
      <c r="I580" s="249"/>
      <c r="J580" s="249"/>
      <c r="K580" s="261"/>
      <c r="L580" s="250"/>
      <c r="M580" s="250"/>
      <c r="N580" s="250"/>
      <c r="O580" s="250"/>
      <c r="P580" s="250"/>
      <c r="Q580" s="261"/>
      <c r="R580" s="283"/>
      <c r="S580" s="283"/>
      <c r="T580" s="283"/>
      <c r="U580" s="283"/>
      <c r="V580" s="283"/>
      <c r="W580" s="283"/>
      <c r="X580" s="283"/>
      <c r="Y580" s="284"/>
      <c r="Z580" s="284"/>
      <c r="AA580" s="301"/>
      <c r="AB580" s="301"/>
      <c r="AC580" s="301"/>
      <c r="AD580" s="301"/>
      <c r="AE580" s="301"/>
      <c r="AF580" s="301"/>
      <c r="AG580" s="301"/>
      <c r="AH580" s="301"/>
      <c r="AI580" s="301"/>
      <c r="AJ580" s="301"/>
      <c r="AK580" s="301"/>
      <c r="AL580" s="301"/>
      <c r="AM580" s="301"/>
      <c r="AN580" s="301"/>
      <c r="AO580" s="301"/>
      <c r="AP580" s="301"/>
      <c r="AQ580" s="301"/>
      <c r="AR580" s="301"/>
      <c r="AS580" s="316"/>
      <c r="AT580" s="316"/>
      <c r="AU580" s="317"/>
    </row>
    <row r="581" spans="1:49" s="217" customFormat="1" ht="25.5" customHeight="1" outlineLevel="1">
      <c r="A581" s="215" t="s">
        <v>125</v>
      </c>
      <c r="B581" s="247"/>
      <c r="C581" s="247"/>
      <c r="D581" s="248"/>
      <c r="E581" s="249"/>
      <c r="F581" s="249"/>
      <c r="G581" s="249"/>
      <c r="H581" s="249"/>
      <c r="I581" s="249"/>
      <c r="J581" s="247"/>
      <c r="K581" s="259"/>
      <c r="L581" s="248"/>
      <c r="M581" s="248"/>
      <c r="N581" s="250"/>
      <c r="O581" s="250"/>
      <c r="P581" s="250"/>
      <c r="Q581" s="99" t="s">
        <v>188</v>
      </c>
      <c r="R581" s="283"/>
      <c r="S581" s="283"/>
      <c r="T581" s="283"/>
      <c r="U581" s="283"/>
      <c r="V581" s="283"/>
      <c r="W581" s="283"/>
      <c r="X581" s="283"/>
      <c r="Y581" s="285"/>
      <c r="Z581" s="285"/>
      <c r="AA581" s="302"/>
      <c r="AB581" s="302"/>
      <c r="AC581" s="302"/>
      <c r="AD581" s="302"/>
      <c r="AE581" s="302"/>
      <c r="AF581" s="302"/>
      <c r="AG581" s="302"/>
      <c r="AH581" s="301"/>
      <c r="AI581" s="301"/>
      <c r="AJ581" s="301"/>
      <c r="AK581" s="301"/>
      <c r="AL581" s="301"/>
      <c r="AM581" s="301"/>
      <c r="AN581" s="301"/>
      <c r="AO581" s="301"/>
      <c r="AP581" s="301"/>
      <c r="AQ581" s="302"/>
      <c r="AR581" s="302"/>
      <c r="AS581" s="315"/>
      <c r="AT581" s="315"/>
      <c r="AU581" s="220"/>
    </row>
    <row r="582" spans="1:49" s="69" customFormat="1" ht="25.5" customHeight="1" outlineLevel="1">
      <c r="A582" s="215" t="s">
        <v>125</v>
      </c>
      <c r="B582" s="151">
        <v>31</v>
      </c>
      <c r="C582" s="151" t="s">
        <v>128</v>
      </c>
      <c r="D582" s="245" t="s">
        <v>129</v>
      </c>
      <c r="E582" s="151" t="s">
        <v>130</v>
      </c>
      <c r="F582" s="151" t="s">
        <v>140</v>
      </c>
      <c r="G582" s="151" t="s">
        <v>34</v>
      </c>
      <c r="H582" s="151" t="s">
        <v>66</v>
      </c>
      <c r="I582" s="256">
        <v>28</v>
      </c>
      <c r="J582" s="151" t="s">
        <v>80</v>
      </c>
      <c r="K582" s="176" t="s">
        <v>132</v>
      </c>
      <c r="L582" s="245">
        <v>40008054</v>
      </c>
      <c r="M582" s="855"/>
      <c r="N582" s="245" t="e">
        <v>#N/A</v>
      </c>
      <c r="O582" s="245" t="s">
        <v>900</v>
      </c>
      <c r="P582" s="257" t="s">
        <v>901</v>
      </c>
      <c r="Q582" s="176" t="s">
        <v>902</v>
      </c>
      <c r="R582" s="273" t="s">
        <v>903</v>
      </c>
      <c r="S582" s="274"/>
      <c r="T582" s="273"/>
      <c r="U582" s="273" t="s">
        <v>1546</v>
      </c>
      <c r="V582" s="273">
        <v>207121000</v>
      </c>
      <c r="W582" s="273"/>
      <c r="X582" s="274"/>
      <c r="Y582" s="275">
        <v>367393000</v>
      </c>
      <c r="Z582" s="275">
        <v>0</v>
      </c>
      <c r="AA582" s="296"/>
      <c r="AB582" s="297">
        <v>367393000</v>
      </c>
      <c r="AC582" s="297">
        <f t="shared" si="218"/>
        <v>0</v>
      </c>
      <c r="AD582" s="297">
        <f>+AB582-AC582</f>
        <v>367393000</v>
      </c>
      <c r="AE582" s="297">
        <v>0</v>
      </c>
      <c r="AF582" s="297">
        <v>0</v>
      </c>
      <c r="AG582" s="297">
        <v>0</v>
      </c>
      <c r="AH582" s="297">
        <v>0</v>
      </c>
      <c r="AI582" s="297">
        <v>0</v>
      </c>
      <c r="AJ582" s="297">
        <v>0</v>
      </c>
      <c r="AK582" s="297">
        <v>0</v>
      </c>
      <c r="AL582" s="297">
        <v>0</v>
      </c>
      <c r="AM582" s="297">
        <v>0</v>
      </c>
      <c r="AN582" s="297">
        <v>0</v>
      </c>
      <c r="AO582" s="297">
        <v>0</v>
      </c>
      <c r="AP582" s="297">
        <v>0</v>
      </c>
      <c r="AQ582" s="296"/>
      <c r="AR582" s="297">
        <f>+Y582-Z582-AC582-AD582</f>
        <v>0</v>
      </c>
      <c r="AS582" s="313" t="s">
        <v>148</v>
      </c>
      <c r="AT582" s="313" t="s">
        <v>1464</v>
      </c>
      <c r="AU582" s="176" t="s">
        <v>394</v>
      </c>
      <c r="AW582" s="406"/>
    </row>
    <row r="583" spans="1:49" s="217" customFormat="1" ht="25.5" customHeight="1" outlineLevel="1">
      <c r="A583" s="215" t="s">
        <v>125</v>
      </c>
      <c r="B583" s="151">
        <v>31</v>
      </c>
      <c r="C583" s="151" t="s">
        <v>196</v>
      </c>
      <c r="D583" s="245" t="s">
        <v>129</v>
      </c>
      <c r="E583" s="151" t="s">
        <v>169</v>
      </c>
      <c r="F583" s="151" t="s">
        <v>140</v>
      </c>
      <c r="G583" s="151" t="s">
        <v>34</v>
      </c>
      <c r="H583" s="151" t="s">
        <v>66</v>
      </c>
      <c r="I583" s="256">
        <v>29</v>
      </c>
      <c r="J583" s="151" t="s">
        <v>81</v>
      </c>
      <c r="K583" s="176" t="s">
        <v>132</v>
      </c>
      <c r="L583" s="245">
        <v>40015676</v>
      </c>
      <c r="M583" s="855"/>
      <c r="N583" s="245"/>
      <c r="O583" s="245" t="s">
        <v>908</v>
      </c>
      <c r="P583" s="398"/>
      <c r="Q583" s="176" t="s">
        <v>909</v>
      </c>
      <c r="R583" s="273"/>
      <c r="S583" s="274"/>
      <c r="T583" s="273"/>
      <c r="U583" s="273"/>
      <c r="V583" s="273"/>
      <c r="W583" s="273"/>
      <c r="X583" s="274"/>
      <c r="Y583" s="275">
        <v>155000000</v>
      </c>
      <c r="Z583" s="275">
        <v>0</v>
      </c>
      <c r="AA583" s="296"/>
      <c r="AB583" s="297">
        <v>57750000</v>
      </c>
      <c r="AC583" s="297">
        <f t="shared" si="218"/>
        <v>0</v>
      </c>
      <c r="AD583" s="297">
        <f>+AB583-AC583</f>
        <v>57750000</v>
      </c>
      <c r="AE583" s="297">
        <v>0</v>
      </c>
      <c r="AF583" s="297">
        <v>0</v>
      </c>
      <c r="AG583" s="297">
        <v>0</v>
      </c>
      <c r="AH583" s="297">
        <v>0</v>
      </c>
      <c r="AI583" s="297">
        <v>0</v>
      </c>
      <c r="AJ583" s="297">
        <v>0</v>
      </c>
      <c r="AK583" s="297">
        <v>0</v>
      </c>
      <c r="AL583" s="297">
        <v>0</v>
      </c>
      <c r="AM583" s="297">
        <v>0</v>
      </c>
      <c r="AN583" s="297">
        <v>0</v>
      </c>
      <c r="AO583" s="297">
        <v>0</v>
      </c>
      <c r="AP583" s="297">
        <v>0</v>
      </c>
      <c r="AQ583" s="296"/>
      <c r="AR583" s="297">
        <f t="shared" ref="AR583:AR584" si="226">+Y583-Z583-AC583-AD583</f>
        <v>97250000</v>
      </c>
      <c r="AS583" s="313" t="s">
        <v>137</v>
      </c>
      <c r="AT583" s="313" t="s">
        <v>137</v>
      </c>
      <c r="AU583" s="176" t="s">
        <v>190</v>
      </c>
    </row>
    <row r="584" spans="1:49" s="217" customFormat="1" ht="25.5" customHeight="1" outlineLevel="1">
      <c r="A584" s="215" t="s">
        <v>125</v>
      </c>
      <c r="B584" s="247"/>
      <c r="C584" s="247"/>
      <c r="D584" s="248"/>
      <c r="E584" s="249"/>
      <c r="F584" s="249"/>
      <c r="G584" s="249"/>
      <c r="H584" s="249"/>
      <c r="I584" s="249"/>
      <c r="J584" s="247"/>
      <c r="K584" s="259"/>
      <c r="L584" s="248"/>
      <c r="M584" s="248"/>
      <c r="N584" s="250"/>
      <c r="O584" s="250"/>
      <c r="P584" s="250"/>
      <c r="Q584" s="260" t="s">
        <v>201</v>
      </c>
      <c r="R584" s="278"/>
      <c r="S584" s="279"/>
      <c r="T584" s="279"/>
      <c r="U584" s="279"/>
      <c r="V584" s="279"/>
      <c r="W584" s="279"/>
      <c r="X584" s="281"/>
      <c r="Y584" s="286">
        <f>SUBTOTAL(9,Y582:Y583)</f>
        <v>522393000</v>
      </c>
      <c r="Z584" s="286">
        <f>SUBTOTAL(9,Z582:Z583)</f>
        <v>0</v>
      </c>
      <c r="AA584" s="303"/>
      <c r="AB584" s="286">
        <f t="shared" ref="AB584:AP584" si="227">SUBTOTAL(9,AB582:AB583)</f>
        <v>425143000</v>
      </c>
      <c r="AC584" s="286">
        <f t="shared" si="227"/>
        <v>0</v>
      </c>
      <c r="AD584" s="286">
        <f t="shared" si="227"/>
        <v>425143000</v>
      </c>
      <c r="AE584" s="286">
        <f t="shared" si="227"/>
        <v>0</v>
      </c>
      <c r="AF584" s="286">
        <f t="shared" si="227"/>
        <v>0</v>
      </c>
      <c r="AG584" s="286">
        <f t="shared" si="227"/>
        <v>0</v>
      </c>
      <c r="AH584" s="286">
        <f t="shared" si="227"/>
        <v>0</v>
      </c>
      <c r="AI584" s="286">
        <f t="shared" si="227"/>
        <v>0</v>
      </c>
      <c r="AJ584" s="286">
        <f t="shared" si="227"/>
        <v>0</v>
      </c>
      <c r="AK584" s="286">
        <f t="shared" si="227"/>
        <v>0</v>
      </c>
      <c r="AL584" s="286">
        <f t="shared" si="227"/>
        <v>0</v>
      </c>
      <c r="AM584" s="286">
        <f t="shared" si="227"/>
        <v>0</v>
      </c>
      <c r="AN584" s="286">
        <f t="shared" si="227"/>
        <v>0</v>
      </c>
      <c r="AO584" s="286">
        <f t="shared" si="227"/>
        <v>0</v>
      </c>
      <c r="AP584" s="286">
        <f t="shared" si="227"/>
        <v>0</v>
      </c>
      <c r="AQ584" s="287"/>
      <c r="AR584" s="286">
        <f t="shared" si="226"/>
        <v>97250000</v>
      </c>
      <c r="AS584" s="315"/>
      <c r="AT584" s="315"/>
      <c r="AU584" s="220"/>
    </row>
    <row r="585" spans="1:49" ht="18.75" customHeight="1" outlineLevel="1">
      <c r="A585" s="215" t="s">
        <v>125</v>
      </c>
      <c r="B585" s="249"/>
      <c r="C585" s="249"/>
      <c r="D585" s="250"/>
      <c r="E585" s="249"/>
      <c r="F585" s="249"/>
      <c r="G585" s="249"/>
      <c r="H585" s="249"/>
      <c r="I585" s="249"/>
      <c r="J585" s="249"/>
      <c r="K585" s="261"/>
      <c r="L585" s="250"/>
      <c r="M585" s="250"/>
      <c r="N585" s="250"/>
      <c r="O585" s="250"/>
      <c r="P585" s="250"/>
      <c r="Q585" s="261"/>
      <c r="R585" s="283"/>
      <c r="S585" s="283"/>
      <c r="T585" s="283"/>
      <c r="U585" s="283"/>
      <c r="V585" s="283"/>
      <c r="W585" s="283"/>
      <c r="X585" s="283"/>
      <c r="Y585" s="284"/>
      <c r="Z585" s="284"/>
      <c r="AA585" s="301"/>
      <c r="AB585" s="301"/>
      <c r="AC585" s="301"/>
      <c r="AD585" s="301"/>
      <c r="AE585" s="301"/>
      <c r="AF585" s="301"/>
      <c r="AG585" s="301"/>
      <c r="AH585" s="301"/>
      <c r="AI585" s="301"/>
      <c r="AJ585" s="301"/>
      <c r="AK585" s="301"/>
      <c r="AL585" s="301"/>
      <c r="AM585" s="301"/>
      <c r="AN585" s="301"/>
      <c r="AO585" s="301"/>
      <c r="AP585" s="301"/>
      <c r="AQ585" s="301"/>
      <c r="AR585" s="301"/>
      <c r="AS585" s="316"/>
      <c r="AT585" s="316"/>
      <c r="AU585" s="317"/>
    </row>
    <row r="586" spans="1:49" s="219" customFormat="1" ht="24.75" customHeight="1" outlineLevel="1">
      <c r="A586" s="215" t="s">
        <v>125</v>
      </c>
      <c r="B586" s="251"/>
      <c r="C586" s="249"/>
      <c r="D586" s="250"/>
      <c r="E586" s="249"/>
      <c r="F586" s="249"/>
      <c r="G586" s="249"/>
      <c r="H586" s="249"/>
      <c r="I586" s="249"/>
      <c r="J586" s="251"/>
      <c r="K586" s="263"/>
      <c r="L586" s="252"/>
      <c r="M586" s="252"/>
      <c r="N586" s="252"/>
      <c r="O586" s="252"/>
      <c r="P586" s="252"/>
      <c r="Q586" s="117" t="s">
        <v>910</v>
      </c>
      <c r="R586" s="288"/>
      <c r="S586" s="289"/>
      <c r="T586" s="289"/>
      <c r="U586" s="289"/>
      <c r="V586" s="289"/>
      <c r="W586" s="405"/>
      <c r="X586" s="290"/>
      <c r="Y586" s="118">
        <f>+Y579+Y584</f>
        <v>1768138069</v>
      </c>
      <c r="Z586" s="118">
        <f>+Z579+Z584</f>
        <v>0</v>
      </c>
      <c r="AA586" s="304"/>
      <c r="AB586" s="118">
        <f t="shared" ref="AB586:AI586" si="228">+AB579+AB584</f>
        <v>1174546069</v>
      </c>
      <c r="AC586" s="118">
        <f t="shared" si="228"/>
        <v>342185972</v>
      </c>
      <c r="AD586" s="118">
        <f t="shared" si="228"/>
        <v>832360097</v>
      </c>
      <c r="AE586" s="118">
        <f t="shared" si="228"/>
        <v>0</v>
      </c>
      <c r="AF586" s="118">
        <f t="shared" si="228"/>
        <v>0</v>
      </c>
      <c r="AG586" s="118">
        <f t="shared" si="228"/>
        <v>0</v>
      </c>
      <c r="AH586" s="118">
        <f t="shared" si="228"/>
        <v>0</v>
      </c>
      <c r="AI586" s="118">
        <f t="shared" si="228"/>
        <v>0</v>
      </c>
      <c r="AJ586" s="118">
        <v>730000</v>
      </c>
      <c r="AK586" s="118">
        <f t="shared" ref="AK586:AP586" si="229">+AK579+AK584</f>
        <v>0</v>
      </c>
      <c r="AL586" s="118">
        <f t="shared" si="229"/>
        <v>0</v>
      </c>
      <c r="AM586" s="118">
        <f t="shared" si="229"/>
        <v>341455972</v>
      </c>
      <c r="AN586" s="118">
        <f t="shared" si="229"/>
        <v>0</v>
      </c>
      <c r="AO586" s="118">
        <f t="shared" si="229"/>
        <v>0</v>
      </c>
      <c r="AP586" s="118">
        <f t="shared" si="229"/>
        <v>0</v>
      </c>
      <c r="AQ586" s="318"/>
      <c r="AR586" s="118">
        <f>+Y586-Z586-AC586-AD586</f>
        <v>593592000</v>
      </c>
      <c r="AS586" s="333"/>
      <c r="AT586" s="333"/>
      <c r="AU586" s="320"/>
    </row>
    <row r="587" spans="1:49" ht="18.75" customHeight="1" outlineLevel="1">
      <c r="A587" s="215" t="s">
        <v>125</v>
      </c>
      <c r="B587" s="249"/>
      <c r="C587" s="249"/>
      <c r="D587" s="250"/>
      <c r="E587" s="249"/>
      <c r="F587" s="249"/>
      <c r="G587" s="249"/>
      <c r="H587" s="249"/>
      <c r="I587" s="249"/>
      <c r="J587" s="249"/>
      <c r="K587" s="261"/>
      <c r="L587" s="250"/>
      <c r="M587" s="250"/>
      <c r="N587" s="250"/>
      <c r="O587" s="250"/>
      <c r="P587" s="250"/>
      <c r="Q587" s="261"/>
      <c r="R587" s="283"/>
      <c r="S587" s="283"/>
      <c r="T587" s="283"/>
      <c r="U587" s="283"/>
      <c r="V587" s="283"/>
      <c r="W587" s="283"/>
      <c r="X587" s="283"/>
      <c r="Y587" s="284"/>
      <c r="Z587" s="284"/>
      <c r="AA587" s="301"/>
      <c r="AB587" s="301"/>
      <c r="AC587" s="301"/>
      <c r="AD587" s="301"/>
      <c r="AE587" s="301"/>
      <c r="AF587" s="301"/>
      <c r="AG587" s="301"/>
      <c r="AH587" s="301"/>
      <c r="AI587" s="301"/>
      <c r="AJ587" s="301"/>
      <c r="AK587" s="301"/>
      <c r="AL587" s="301"/>
      <c r="AM587" s="301"/>
      <c r="AN587" s="301"/>
      <c r="AO587" s="301"/>
      <c r="AP587" s="301"/>
      <c r="AQ587" s="301"/>
      <c r="AR587" s="301"/>
      <c r="AS587" s="316"/>
      <c r="AT587" s="316"/>
      <c r="AU587" s="317"/>
    </row>
    <row r="588" spans="1:49" ht="25.5" customHeight="1" outlineLevel="1">
      <c r="A588" s="215" t="s">
        <v>125</v>
      </c>
      <c r="B588" s="249"/>
      <c r="C588" s="249"/>
      <c r="D588" s="250"/>
      <c r="E588" s="249"/>
      <c r="F588" s="249"/>
      <c r="G588" s="249"/>
      <c r="H588" s="249"/>
      <c r="I588" s="249"/>
      <c r="J588" s="249"/>
      <c r="K588" s="261"/>
      <c r="L588" s="250"/>
      <c r="M588" s="250"/>
      <c r="N588" s="250"/>
      <c r="O588" s="250"/>
      <c r="P588" s="250"/>
      <c r="Q588" s="404" t="s">
        <v>336</v>
      </c>
      <c r="R588" s="283"/>
      <c r="S588" s="283"/>
      <c r="T588" s="283"/>
      <c r="U588" s="283"/>
      <c r="V588" s="283"/>
      <c r="W588" s="283"/>
      <c r="X588" s="283"/>
      <c r="Y588" s="284"/>
      <c r="Z588" s="284"/>
      <c r="AA588" s="301"/>
      <c r="AB588" s="318"/>
      <c r="AC588" s="301"/>
      <c r="AD588" s="301"/>
      <c r="AE588" s="301"/>
      <c r="AF588" s="301"/>
      <c r="AG588" s="301"/>
      <c r="AH588" s="301"/>
      <c r="AI588" s="301"/>
      <c r="AJ588" s="301"/>
      <c r="AK588" s="301"/>
      <c r="AL588" s="301"/>
      <c r="AM588" s="301"/>
      <c r="AN588" s="301"/>
      <c r="AO588" s="301"/>
      <c r="AP588" s="301"/>
      <c r="AQ588" s="301"/>
      <c r="AR588" s="301"/>
      <c r="AS588" s="316"/>
      <c r="AT588" s="316"/>
      <c r="AU588" s="317"/>
    </row>
    <row r="589" spans="1:49" s="216" customFormat="1" ht="15" customHeight="1" outlineLevel="1">
      <c r="A589" s="215" t="s">
        <v>125</v>
      </c>
      <c r="B589" s="249"/>
      <c r="C589" s="249"/>
      <c r="D589" s="250"/>
      <c r="E589" s="249"/>
      <c r="F589" s="249"/>
      <c r="G589" s="249"/>
      <c r="H589" s="249"/>
      <c r="I589" s="249"/>
      <c r="J589" s="249"/>
      <c r="K589" s="261"/>
      <c r="L589" s="250"/>
      <c r="M589" s="250"/>
      <c r="N589" s="250"/>
      <c r="O589" s="250"/>
      <c r="P589" s="250"/>
      <c r="Q589" s="340"/>
      <c r="R589" s="283"/>
      <c r="S589" s="283"/>
      <c r="T589" s="283"/>
      <c r="U589" s="283"/>
      <c r="V589" s="283"/>
      <c r="W589" s="283"/>
      <c r="X589" s="283"/>
      <c r="Y589" s="284"/>
      <c r="Z589" s="284"/>
      <c r="AA589" s="301"/>
      <c r="AB589" s="318"/>
      <c r="AC589" s="301"/>
      <c r="AD589" s="301"/>
      <c r="AE589" s="301"/>
      <c r="AF589" s="301"/>
      <c r="AG589" s="301"/>
      <c r="AH589" s="301"/>
      <c r="AI589" s="301"/>
      <c r="AJ589" s="301"/>
      <c r="AK589" s="301"/>
      <c r="AL589" s="301"/>
      <c r="AM589" s="301"/>
      <c r="AN589" s="301"/>
      <c r="AO589" s="301"/>
      <c r="AP589" s="301"/>
      <c r="AQ589" s="301"/>
      <c r="AR589" s="301"/>
      <c r="AS589" s="316"/>
      <c r="AT589" s="316"/>
      <c r="AU589" s="317"/>
    </row>
    <row r="590" spans="1:49" s="217" customFormat="1" ht="25.5" customHeight="1" outlineLevel="1">
      <c r="A590" s="215" t="s">
        <v>125</v>
      </c>
      <c r="B590" s="247"/>
      <c r="C590" s="247"/>
      <c r="D590" s="248"/>
      <c r="E590" s="249"/>
      <c r="F590" s="249"/>
      <c r="G590" s="249"/>
      <c r="H590" s="249"/>
      <c r="I590" s="249"/>
      <c r="J590" s="247"/>
      <c r="K590" s="259"/>
      <c r="L590" s="248"/>
      <c r="M590" s="248"/>
      <c r="N590" s="250"/>
      <c r="O590" s="250"/>
      <c r="P590" s="250"/>
      <c r="Q590" s="99" t="s">
        <v>127</v>
      </c>
      <c r="R590" s="283"/>
      <c r="S590" s="283"/>
      <c r="T590" s="283"/>
      <c r="U590" s="283"/>
      <c r="V590" s="283"/>
      <c r="W590" s="283"/>
      <c r="X590" s="283"/>
      <c r="Y590" s="285"/>
      <c r="Z590" s="285"/>
      <c r="AA590" s="302"/>
      <c r="AB590" s="302"/>
      <c r="AC590" s="302"/>
      <c r="AD590" s="302"/>
      <c r="AE590" s="302"/>
      <c r="AF590" s="302"/>
      <c r="AG590" s="302"/>
      <c r="AH590" s="301"/>
      <c r="AI590" s="301"/>
      <c r="AJ590" s="301"/>
      <c r="AK590" s="301"/>
      <c r="AL590" s="301"/>
      <c r="AM590" s="301"/>
      <c r="AN590" s="301"/>
      <c r="AO590" s="301"/>
      <c r="AP590" s="301"/>
      <c r="AQ590" s="302"/>
      <c r="AR590" s="302"/>
      <c r="AS590" s="315"/>
      <c r="AT590" s="315"/>
      <c r="AU590" s="220"/>
    </row>
    <row r="591" spans="1:49" s="218" customFormat="1" ht="25.5" customHeight="1" outlineLevel="2">
      <c r="A591" s="215" t="s">
        <v>125</v>
      </c>
      <c r="B591" s="151">
        <v>31</v>
      </c>
      <c r="C591" s="151" t="s">
        <v>128</v>
      </c>
      <c r="D591" s="245" t="s">
        <v>159</v>
      </c>
      <c r="E591" s="151" t="s">
        <v>169</v>
      </c>
      <c r="F591" s="151" t="s">
        <v>140</v>
      </c>
      <c r="G591" s="151" t="s">
        <v>34</v>
      </c>
      <c r="H591" s="151" t="s">
        <v>56</v>
      </c>
      <c r="I591" s="256">
        <v>29</v>
      </c>
      <c r="J591" s="151" t="s">
        <v>80</v>
      </c>
      <c r="K591" s="176" t="s">
        <v>132</v>
      </c>
      <c r="L591" s="245">
        <v>30381175</v>
      </c>
      <c r="M591" s="855" t="s">
        <v>1608</v>
      </c>
      <c r="N591" s="245" t="s">
        <v>652</v>
      </c>
      <c r="O591" s="245" t="s">
        <v>911</v>
      </c>
      <c r="P591" s="245"/>
      <c r="Q591" s="176" t="s">
        <v>912</v>
      </c>
      <c r="R591" s="273"/>
      <c r="S591" s="274"/>
      <c r="T591" s="273"/>
      <c r="U591" s="273"/>
      <c r="V591" s="273"/>
      <c r="W591" s="273"/>
      <c r="X591" s="274"/>
      <c r="Y591" s="275">
        <v>1528367000</v>
      </c>
      <c r="Z591" s="275">
        <v>14300000</v>
      </c>
      <c r="AA591" s="296"/>
      <c r="AB591" s="297">
        <f>514067000+157564232</f>
        <v>671631232</v>
      </c>
      <c r="AC591" s="297">
        <f t="shared" si="218"/>
        <v>410631349</v>
      </c>
      <c r="AD591" s="297">
        <f t="shared" ref="AD591:AD596" si="230">+AB591-AC591</f>
        <v>260999883</v>
      </c>
      <c r="AE591" s="297">
        <v>0</v>
      </c>
      <c r="AF591" s="297">
        <v>0</v>
      </c>
      <c r="AG591" s="297">
        <v>0</v>
      </c>
      <c r="AH591" s="297">
        <v>0</v>
      </c>
      <c r="AI591" s="297">
        <v>0</v>
      </c>
      <c r="AJ591" s="297">
        <v>45446317</v>
      </c>
      <c r="AK591" s="297">
        <v>45817668</v>
      </c>
      <c r="AL591" s="297">
        <v>24957958</v>
      </c>
      <c r="AM591" s="297">
        <v>27417645</v>
      </c>
      <c r="AN591" s="297">
        <v>45829560</v>
      </c>
      <c r="AO591" s="297">
        <v>72569248</v>
      </c>
      <c r="AP591" s="297">
        <v>148592953</v>
      </c>
      <c r="AQ591" s="296"/>
      <c r="AR591" s="297">
        <f t="shared" ref="AR591:AR597" si="231">+Y591-Z591-AC591-AD591</f>
        <v>842435768</v>
      </c>
      <c r="AS591" s="313" t="s">
        <v>137</v>
      </c>
      <c r="AT591" s="313" t="s">
        <v>137</v>
      </c>
      <c r="AU591" s="176" t="s">
        <v>138</v>
      </c>
    </row>
    <row r="592" spans="1:49" s="218" customFormat="1" ht="25.5" customHeight="1" outlineLevel="2">
      <c r="A592" s="215" t="s">
        <v>125</v>
      </c>
      <c r="B592" s="151">
        <v>31</v>
      </c>
      <c r="C592" s="151" t="s">
        <v>128</v>
      </c>
      <c r="D592" s="245" t="s">
        <v>164</v>
      </c>
      <c r="E592" s="151" t="s">
        <v>169</v>
      </c>
      <c r="F592" s="151" t="s">
        <v>140</v>
      </c>
      <c r="G592" s="151" t="s">
        <v>34</v>
      </c>
      <c r="H592" s="151" t="s">
        <v>56</v>
      </c>
      <c r="I592" s="256">
        <v>29</v>
      </c>
      <c r="J592" s="151" t="s">
        <v>80</v>
      </c>
      <c r="K592" s="176" t="s">
        <v>132</v>
      </c>
      <c r="L592" s="245">
        <v>30083335</v>
      </c>
      <c r="M592" s="855" t="s">
        <v>164</v>
      </c>
      <c r="N592" s="245" t="e">
        <v>#N/A</v>
      </c>
      <c r="O592" s="245" t="s">
        <v>913</v>
      </c>
      <c r="P592" s="245"/>
      <c r="Q592" s="176" t="s">
        <v>914</v>
      </c>
      <c r="R592" s="273"/>
      <c r="S592" s="274"/>
      <c r="T592" s="273"/>
      <c r="U592" s="273"/>
      <c r="V592" s="273"/>
      <c r="W592" s="273"/>
      <c r="X592" s="274"/>
      <c r="Y592" s="275">
        <v>2016128000</v>
      </c>
      <c r="Z592" s="275">
        <v>82700000</v>
      </c>
      <c r="AA592" s="296"/>
      <c r="AB592" s="297">
        <f>875000000-113353943-500000000</f>
        <v>261646057</v>
      </c>
      <c r="AC592" s="297">
        <f t="shared" si="218"/>
        <v>0</v>
      </c>
      <c r="AD592" s="297">
        <f t="shared" si="230"/>
        <v>261646057</v>
      </c>
      <c r="AE592" s="297">
        <v>0</v>
      </c>
      <c r="AF592" s="297">
        <v>0</v>
      </c>
      <c r="AG592" s="297">
        <v>0</v>
      </c>
      <c r="AH592" s="297">
        <v>0</v>
      </c>
      <c r="AI592" s="297">
        <v>0</v>
      </c>
      <c r="AJ592" s="297">
        <v>0</v>
      </c>
      <c r="AK592" s="297">
        <v>0</v>
      </c>
      <c r="AL592" s="297">
        <v>0</v>
      </c>
      <c r="AM592" s="297">
        <v>0</v>
      </c>
      <c r="AN592" s="297">
        <v>0</v>
      </c>
      <c r="AO592" s="297">
        <v>0</v>
      </c>
      <c r="AP592" s="297">
        <v>0</v>
      </c>
      <c r="AQ592" s="296"/>
      <c r="AR592" s="297">
        <f t="shared" si="231"/>
        <v>1671781943</v>
      </c>
      <c r="AS592" s="313" t="s">
        <v>137</v>
      </c>
      <c r="AT592" s="313" t="s">
        <v>137</v>
      </c>
      <c r="AU592" s="176" t="s">
        <v>138</v>
      </c>
    </row>
    <row r="593" spans="1:49" s="218" customFormat="1" ht="25.5" customHeight="1" outlineLevel="2">
      <c r="A593" s="215" t="s">
        <v>125</v>
      </c>
      <c r="B593" s="151">
        <v>31</v>
      </c>
      <c r="C593" s="151" t="s">
        <v>128</v>
      </c>
      <c r="D593" s="245" t="s">
        <v>139</v>
      </c>
      <c r="E593" s="151" t="s">
        <v>169</v>
      </c>
      <c r="F593" s="151" t="s">
        <v>140</v>
      </c>
      <c r="G593" s="151" t="s">
        <v>34</v>
      </c>
      <c r="H593" s="151" t="s">
        <v>56</v>
      </c>
      <c r="I593" s="256">
        <v>29</v>
      </c>
      <c r="J593" s="151" t="s">
        <v>81</v>
      </c>
      <c r="K593" s="176" t="s">
        <v>132</v>
      </c>
      <c r="L593" s="245">
        <v>30135059</v>
      </c>
      <c r="M593" s="855" t="s">
        <v>1608</v>
      </c>
      <c r="N593" s="245" t="s">
        <v>652</v>
      </c>
      <c r="O593" s="245" t="s">
        <v>915</v>
      </c>
      <c r="P593" s="245"/>
      <c r="Q593" s="176" t="s">
        <v>916</v>
      </c>
      <c r="R593" s="273"/>
      <c r="S593" s="274"/>
      <c r="T593" s="273"/>
      <c r="U593" s="273"/>
      <c r="V593" s="273"/>
      <c r="W593" s="273"/>
      <c r="X593" s="274"/>
      <c r="Y593" s="275">
        <v>6569829292</v>
      </c>
      <c r="Z593" s="275">
        <v>4873756899</v>
      </c>
      <c r="AA593" s="296"/>
      <c r="AB593" s="297">
        <f>1118791069+2629199+2352414+2905983</f>
        <v>1126678665</v>
      </c>
      <c r="AC593" s="297">
        <f t="shared" si="218"/>
        <v>1126678665</v>
      </c>
      <c r="AD593" s="297">
        <f t="shared" si="230"/>
        <v>0</v>
      </c>
      <c r="AE593" s="297">
        <v>0</v>
      </c>
      <c r="AF593" s="297">
        <v>0</v>
      </c>
      <c r="AG593" s="297">
        <v>0</v>
      </c>
      <c r="AH593" s="297">
        <v>0</v>
      </c>
      <c r="AI593" s="297">
        <v>0</v>
      </c>
      <c r="AJ593" s="297">
        <v>0</v>
      </c>
      <c r="AK593" s="297">
        <v>0</v>
      </c>
      <c r="AL593" s="297">
        <v>2905983</v>
      </c>
      <c r="AM593" s="297">
        <v>2352414</v>
      </c>
      <c r="AN593" s="297">
        <v>2629199</v>
      </c>
      <c r="AO593" s="297">
        <v>643170742</v>
      </c>
      <c r="AP593" s="297">
        <v>475620327</v>
      </c>
      <c r="AQ593" s="296"/>
      <c r="AR593" s="297">
        <f t="shared" si="231"/>
        <v>569393728</v>
      </c>
      <c r="AS593" s="313" t="s">
        <v>137</v>
      </c>
      <c r="AT593" s="313" t="s">
        <v>137</v>
      </c>
      <c r="AU593" s="176" t="s">
        <v>138</v>
      </c>
    </row>
    <row r="594" spans="1:49" s="218" customFormat="1" ht="25.5" customHeight="1" outlineLevel="2">
      <c r="A594" s="215" t="s">
        <v>125</v>
      </c>
      <c r="B594" s="151">
        <v>31</v>
      </c>
      <c r="C594" s="151" t="s">
        <v>128</v>
      </c>
      <c r="D594" s="245" t="s">
        <v>129</v>
      </c>
      <c r="E594" s="151" t="s">
        <v>169</v>
      </c>
      <c r="F594" s="151" t="s">
        <v>131</v>
      </c>
      <c r="G594" s="151" t="s">
        <v>34</v>
      </c>
      <c r="H594" s="151" t="s">
        <v>56</v>
      </c>
      <c r="I594" s="256">
        <v>29</v>
      </c>
      <c r="J594" s="151" t="s">
        <v>81</v>
      </c>
      <c r="K594" s="176" t="s">
        <v>132</v>
      </c>
      <c r="L594" s="245">
        <v>30453827</v>
      </c>
      <c r="M594" s="855"/>
      <c r="N594" s="245" t="e">
        <v>#N/A</v>
      </c>
      <c r="O594" s="245" t="s">
        <v>917</v>
      </c>
      <c r="P594" s="245"/>
      <c r="Q594" s="176" t="s">
        <v>918</v>
      </c>
      <c r="R594" s="273"/>
      <c r="S594" s="274"/>
      <c r="T594" s="273"/>
      <c r="U594" s="273"/>
      <c r="V594" s="273"/>
      <c r="W594" s="273"/>
      <c r="X594" s="274"/>
      <c r="Y594" s="275">
        <v>1298249800</v>
      </c>
      <c r="Z594" s="275">
        <v>418964479</v>
      </c>
      <c r="AA594" s="296"/>
      <c r="AB594" s="297">
        <f>578949880-2629199-2905983</f>
        <v>573414698</v>
      </c>
      <c r="AC594" s="297">
        <f t="shared" si="218"/>
        <v>374267567</v>
      </c>
      <c r="AD594" s="297">
        <f t="shared" si="230"/>
        <v>199147131</v>
      </c>
      <c r="AE594" s="297">
        <v>0</v>
      </c>
      <c r="AF594" s="297">
        <v>0</v>
      </c>
      <c r="AG594" s="297">
        <v>0</v>
      </c>
      <c r="AH594" s="297">
        <v>0</v>
      </c>
      <c r="AI594" s="297">
        <v>0</v>
      </c>
      <c r="AJ594" s="297">
        <v>0</v>
      </c>
      <c r="AK594" s="297">
        <v>0</v>
      </c>
      <c r="AL594" s="297">
        <v>0</v>
      </c>
      <c r="AM594" s="297">
        <v>0</v>
      </c>
      <c r="AN594" s="297">
        <v>131459259</v>
      </c>
      <c r="AO594" s="297">
        <v>52058476</v>
      </c>
      <c r="AP594" s="297">
        <v>190749832</v>
      </c>
      <c r="AQ594" s="296"/>
      <c r="AR594" s="297">
        <f t="shared" si="231"/>
        <v>305870623</v>
      </c>
      <c r="AS594" s="313" t="s">
        <v>148</v>
      </c>
      <c r="AT594" s="313" t="s">
        <v>1464</v>
      </c>
      <c r="AU594" s="176" t="s">
        <v>138</v>
      </c>
    </row>
    <row r="595" spans="1:49" s="218" customFormat="1" ht="25.5" customHeight="1" outlineLevel="2">
      <c r="A595" s="215" t="s">
        <v>125</v>
      </c>
      <c r="B595" s="151">
        <v>29</v>
      </c>
      <c r="C595" s="151" t="s">
        <v>196</v>
      </c>
      <c r="D595" s="245" t="s">
        <v>164</v>
      </c>
      <c r="E595" s="151" t="s">
        <v>130</v>
      </c>
      <c r="F595" s="151" t="s">
        <v>140</v>
      </c>
      <c r="G595" s="151" t="s">
        <v>34</v>
      </c>
      <c r="H595" s="151" t="s">
        <v>56</v>
      </c>
      <c r="I595" s="256">
        <v>29</v>
      </c>
      <c r="J595" s="151" t="s">
        <v>80</v>
      </c>
      <c r="K595" s="176" t="s">
        <v>132</v>
      </c>
      <c r="L595" s="245">
        <v>40023504</v>
      </c>
      <c r="M595" s="855"/>
      <c r="N595" s="245"/>
      <c r="O595" s="245" t="s">
        <v>924</v>
      </c>
      <c r="P595" s="245"/>
      <c r="Q595" s="176" t="s">
        <v>925</v>
      </c>
      <c r="R595" s="273" t="s">
        <v>926</v>
      </c>
      <c r="S595" s="274"/>
      <c r="T595" s="273"/>
      <c r="U595" s="273" t="s">
        <v>927</v>
      </c>
      <c r="V595" s="273">
        <v>165886000</v>
      </c>
      <c r="W595" s="273"/>
      <c r="X595" s="274"/>
      <c r="Y595" s="275">
        <v>165886000</v>
      </c>
      <c r="Z595" s="275">
        <v>0</v>
      </c>
      <c r="AA595" s="296"/>
      <c r="AB595" s="297">
        <v>165886000</v>
      </c>
      <c r="AC595" s="297">
        <f>SUBTOTAL(9,AE595:AP595)</f>
        <v>165886000</v>
      </c>
      <c r="AD595" s="297">
        <f t="shared" si="230"/>
        <v>0</v>
      </c>
      <c r="AE595" s="297"/>
      <c r="AF595" s="297"/>
      <c r="AG595" s="297"/>
      <c r="AH595" s="297"/>
      <c r="AI595" s="297"/>
      <c r="AJ595" s="297">
        <v>165886000</v>
      </c>
      <c r="AK595" s="297">
        <v>0</v>
      </c>
      <c r="AL595" s="297">
        <v>0</v>
      </c>
      <c r="AM595" s="297">
        <v>0</v>
      </c>
      <c r="AN595" s="297"/>
      <c r="AO595" s="297"/>
      <c r="AP595" s="297"/>
      <c r="AQ595" s="296"/>
      <c r="AR595" s="297">
        <f>+Y595-Z595-AC595-AD595</f>
        <v>0</v>
      </c>
      <c r="AS595" s="313" t="s">
        <v>148</v>
      </c>
      <c r="AT595" s="313" t="s">
        <v>1464</v>
      </c>
      <c r="AU595" s="176" t="s">
        <v>301</v>
      </c>
    </row>
    <row r="596" spans="1:49" s="217" customFormat="1" ht="25.5" customHeight="1" outlineLevel="1">
      <c r="A596" s="215" t="s">
        <v>125</v>
      </c>
      <c r="B596" s="151">
        <v>31</v>
      </c>
      <c r="C596" s="151" t="s">
        <v>196</v>
      </c>
      <c r="D596" s="245" t="s">
        <v>164</v>
      </c>
      <c r="E596" s="151" t="s">
        <v>169</v>
      </c>
      <c r="F596" s="151" t="s">
        <v>140</v>
      </c>
      <c r="G596" s="151" t="s">
        <v>34</v>
      </c>
      <c r="H596" s="151" t="s">
        <v>56</v>
      </c>
      <c r="I596" s="256">
        <v>29</v>
      </c>
      <c r="J596" s="151" t="s">
        <v>80</v>
      </c>
      <c r="K596" s="176" t="s">
        <v>363</v>
      </c>
      <c r="L596" s="245">
        <v>30098600</v>
      </c>
      <c r="M596" s="855"/>
      <c r="N596" s="245"/>
      <c r="O596" s="245" t="s">
        <v>919</v>
      </c>
      <c r="P596" s="245"/>
      <c r="Q596" s="176" t="s">
        <v>920</v>
      </c>
      <c r="R596" s="273"/>
      <c r="S596" s="274"/>
      <c r="T596" s="273"/>
      <c r="U596" s="273"/>
      <c r="V596" s="273"/>
      <c r="W596" s="273"/>
      <c r="X596" s="274"/>
      <c r="Y596" s="275">
        <v>178458516</v>
      </c>
      <c r="Z596" s="275">
        <v>178458516</v>
      </c>
      <c r="AA596" s="296"/>
      <c r="AB596" s="297">
        <f>+Y596-Z596</f>
        <v>0</v>
      </c>
      <c r="AC596" s="297">
        <f t="shared" si="218"/>
        <v>0</v>
      </c>
      <c r="AD596" s="297">
        <f t="shared" si="230"/>
        <v>0</v>
      </c>
      <c r="AE596" s="297">
        <v>0</v>
      </c>
      <c r="AF596" s="297">
        <v>0</v>
      </c>
      <c r="AG596" s="297">
        <v>0</v>
      </c>
      <c r="AH596" s="297">
        <v>0</v>
      </c>
      <c r="AI596" s="297">
        <v>0</v>
      </c>
      <c r="AJ596" s="297">
        <v>0</v>
      </c>
      <c r="AK596" s="297">
        <v>0</v>
      </c>
      <c r="AL596" s="297">
        <v>0</v>
      </c>
      <c r="AM596" s="297">
        <v>0</v>
      </c>
      <c r="AN596" s="297">
        <v>0</v>
      </c>
      <c r="AO596" s="297">
        <v>0</v>
      </c>
      <c r="AP596" s="297">
        <v>0</v>
      </c>
      <c r="AQ596" s="296"/>
      <c r="AR596" s="297">
        <f t="shared" si="231"/>
        <v>0</v>
      </c>
      <c r="AS596" s="313" t="s">
        <v>137</v>
      </c>
      <c r="AT596" s="313" t="s">
        <v>1623</v>
      </c>
      <c r="AU596" s="176" t="s">
        <v>301</v>
      </c>
    </row>
    <row r="597" spans="1:49" s="217" customFormat="1" ht="25.5" customHeight="1" outlineLevel="1">
      <c r="A597" s="215" t="s">
        <v>125</v>
      </c>
      <c r="B597" s="247"/>
      <c r="C597" s="247"/>
      <c r="D597" s="248"/>
      <c r="E597" s="249"/>
      <c r="F597" s="249"/>
      <c r="G597" s="249"/>
      <c r="H597" s="249"/>
      <c r="I597" s="249"/>
      <c r="J597" s="247"/>
      <c r="K597" s="259"/>
      <c r="L597" s="248"/>
      <c r="M597" s="248"/>
      <c r="N597" s="250"/>
      <c r="O597" s="250"/>
      <c r="P597" s="250"/>
      <c r="Q597" s="260" t="s">
        <v>187</v>
      </c>
      <c r="R597" s="280"/>
      <c r="S597" s="279"/>
      <c r="T597" s="279"/>
      <c r="U597" s="279"/>
      <c r="V597" s="279"/>
      <c r="W597" s="279"/>
      <c r="X597" s="281"/>
      <c r="Y597" s="286">
        <f>+Y591+Y592+Y593+Y594+Y596+Y595</f>
        <v>11756918608</v>
      </c>
      <c r="Z597" s="286">
        <f>+Z591+Z592+Z593+Z594+Z596+Z595</f>
        <v>5568179894</v>
      </c>
      <c r="AA597" s="303"/>
      <c r="AB597" s="286">
        <f t="shared" ref="AB597:AP597" si="232">+AB591+AB592+AB593+AB594+AB596+AB595</f>
        <v>2799256652</v>
      </c>
      <c r="AC597" s="286">
        <f t="shared" si="232"/>
        <v>2077463581</v>
      </c>
      <c r="AD597" s="286">
        <f t="shared" si="232"/>
        <v>721793071</v>
      </c>
      <c r="AE597" s="286">
        <f t="shared" si="232"/>
        <v>0</v>
      </c>
      <c r="AF597" s="286">
        <f t="shared" si="232"/>
        <v>0</v>
      </c>
      <c r="AG597" s="286">
        <f t="shared" si="232"/>
        <v>0</v>
      </c>
      <c r="AH597" s="286">
        <f t="shared" si="232"/>
        <v>0</v>
      </c>
      <c r="AI597" s="286">
        <f t="shared" si="232"/>
        <v>0</v>
      </c>
      <c r="AJ597" s="286">
        <f t="shared" si="232"/>
        <v>211332317</v>
      </c>
      <c r="AK597" s="286">
        <f t="shared" si="232"/>
        <v>45817668</v>
      </c>
      <c r="AL597" s="286">
        <f t="shared" si="232"/>
        <v>27863941</v>
      </c>
      <c r="AM597" s="286">
        <f t="shared" si="232"/>
        <v>29770059</v>
      </c>
      <c r="AN597" s="286">
        <f t="shared" si="232"/>
        <v>179918018</v>
      </c>
      <c r="AO597" s="286">
        <f t="shared" si="232"/>
        <v>767798466</v>
      </c>
      <c r="AP597" s="286">
        <f t="shared" si="232"/>
        <v>814963112</v>
      </c>
      <c r="AQ597" s="287"/>
      <c r="AR597" s="286">
        <f t="shared" si="231"/>
        <v>3389482062</v>
      </c>
      <c r="AS597" s="315"/>
      <c r="AT597" s="315"/>
      <c r="AU597" s="220"/>
    </row>
    <row r="598" spans="1:49" ht="18.75" customHeight="1" outlineLevel="1">
      <c r="A598" s="215" t="s">
        <v>125</v>
      </c>
      <c r="B598" s="249"/>
      <c r="C598" s="249"/>
      <c r="D598" s="250"/>
      <c r="E598" s="249"/>
      <c r="F598" s="249"/>
      <c r="G598" s="249"/>
      <c r="H598" s="249"/>
      <c r="I598" s="249"/>
      <c r="J598" s="249"/>
      <c r="K598" s="261"/>
      <c r="L598" s="250"/>
      <c r="M598" s="250"/>
      <c r="N598" s="250"/>
      <c r="O598" s="250"/>
      <c r="P598" s="250"/>
      <c r="Q598" s="261"/>
      <c r="R598" s="283"/>
      <c r="S598" s="283"/>
      <c r="T598" s="283"/>
      <c r="U598" s="283"/>
      <c r="V598" s="283"/>
      <c r="W598" s="283"/>
      <c r="X598" s="283"/>
      <c r="Y598" s="284"/>
      <c r="Z598" s="284"/>
      <c r="AA598" s="301"/>
      <c r="AB598" s="301"/>
      <c r="AC598" s="301"/>
      <c r="AD598" s="301"/>
      <c r="AE598" s="301"/>
      <c r="AF598" s="301"/>
      <c r="AG598" s="301"/>
      <c r="AH598" s="301"/>
      <c r="AI598" s="301"/>
      <c r="AJ598" s="301"/>
      <c r="AK598" s="301"/>
      <c r="AL598" s="301"/>
      <c r="AM598" s="301"/>
      <c r="AN598" s="301"/>
      <c r="AO598" s="301"/>
      <c r="AP598" s="301"/>
      <c r="AQ598" s="301"/>
      <c r="AR598" s="301"/>
      <c r="AS598" s="316"/>
      <c r="AT598" s="316"/>
      <c r="AU598" s="317"/>
    </row>
    <row r="599" spans="1:49" s="217" customFormat="1" ht="25.5" customHeight="1" outlineLevel="1">
      <c r="A599" s="215" t="s">
        <v>125</v>
      </c>
      <c r="B599" s="247"/>
      <c r="C599" s="247"/>
      <c r="D599" s="248"/>
      <c r="E599" s="249"/>
      <c r="F599" s="249"/>
      <c r="G599" s="249"/>
      <c r="H599" s="249"/>
      <c r="I599" s="249"/>
      <c r="J599" s="247"/>
      <c r="K599" s="259"/>
      <c r="L599" s="248"/>
      <c r="M599" s="248"/>
      <c r="N599" s="250"/>
      <c r="O599" s="250"/>
      <c r="P599" s="250"/>
      <c r="Q599" s="99" t="s">
        <v>188</v>
      </c>
      <c r="R599" s="283"/>
      <c r="S599" s="283"/>
      <c r="T599" s="283"/>
      <c r="U599" s="283"/>
      <c r="V599" s="283"/>
      <c r="W599" s="283"/>
      <c r="X599" s="283"/>
      <c r="Y599" s="285"/>
      <c r="Z599" s="285"/>
      <c r="AA599" s="302"/>
      <c r="AB599" s="302"/>
      <c r="AC599" s="302"/>
      <c r="AD599" s="302"/>
      <c r="AE599" s="302"/>
      <c r="AF599" s="302"/>
      <c r="AG599" s="302"/>
      <c r="AH599" s="301"/>
      <c r="AI599" s="301"/>
      <c r="AJ599" s="301"/>
      <c r="AK599" s="301"/>
      <c r="AL599" s="301"/>
      <c r="AM599" s="301"/>
      <c r="AN599" s="301"/>
      <c r="AO599" s="301"/>
      <c r="AP599" s="301"/>
      <c r="AQ599" s="302"/>
      <c r="AR599" s="302"/>
      <c r="AS599" s="315"/>
      <c r="AT599" s="315"/>
      <c r="AU599" s="220"/>
    </row>
    <row r="600" spans="1:49" s="218" customFormat="1" ht="25.5" customHeight="1" outlineLevel="2">
      <c r="A600" s="215" t="s">
        <v>125</v>
      </c>
      <c r="B600" s="151">
        <v>31</v>
      </c>
      <c r="C600" s="151" t="s">
        <v>128</v>
      </c>
      <c r="D600" s="245" t="s">
        <v>164</v>
      </c>
      <c r="E600" s="151" t="s">
        <v>169</v>
      </c>
      <c r="F600" s="151" t="s">
        <v>140</v>
      </c>
      <c r="G600" s="151" t="s">
        <v>34</v>
      </c>
      <c r="H600" s="151" t="s">
        <v>56</v>
      </c>
      <c r="I600" s="256">
        <v>29</v>
      </c>
      <c r="J600" s="151" t="s">
        <v>80</v>
      </c>
      <c r="K600" s="176" t="s">
        <v>132</v>
      </c>
      <c r="L600" s="245">
        <v>30083300</v>
      </c>
      <c r="M600" s="855" t="s">
        <v>164</v>
      </c>
      <c r="N600" s="245" t="s">
        <v>656</v>
      </c>
      <c r="O600" s="245" t="s">
        <v>921</v>
      </c>
      <c r="P600" s="813" t="s">
        <v>922</v>
      </c>
      <c r="Q600" s="176" t="s">
        <v>923</v>
      </c>
      <c r="R600" s="273"/>
      <c r="S600" s="274"/>
      <c r="T600" s="273"/>
      <c r="U600" s="273"/>
      <c r="V600" s="273"/>
      <c r="W600" s="273"/>
      <c r="X600" s="274"/>
      <c r="Y600" s="275">
        <v>4454843000</v>
      </c>
      <c r="Z600" s="275">
        <v>0</v>
      </c>
      <c r="AA600" s="296"/>
      <c r="AB600" s="297">
        <f>800000000-18791069-157564232</f>
        <v>623644699</v>
      </c>
      <c r="AC600" s="297">
        <f t="shared" si="218"/>
        <v>0</v>
      </c>
      <c r="AD600" s="297">
        <f>+AB600-AC600</f>
        <v>623644699</v>
      </c>
      <c r="AE600" s="297">
        <v>0</v>
      </c>
      <c r="AF600" s="297">
        <v>0</v>
      </c>
      <c r="AG600" s="297">
        <v>0</v>
      </c>
      <c r="AH600" s="297">
        <v>0</v>
      </c>
      <c r="AI600" s="297">
        <v>0</v>
      </c>
      <c r="AJ600" s="297">
        <v>0</v>
      </c>
      <c r="AK600" s="297">
        <v>0</v>
      </c>
      <c r="AL600" s="297">
        <v>0</v>
      </c>
      <c r="AM600" s="297">
        <v>0</v>
      </c>
      <c r="AN600" s="297">
        <v>0</v>
      </c>
      <c r="AO600" s="297">
        <v>0</v>
      </c>
      <c r="AP600" s="297">
        <v>0</v>
      </c>
      <c r="AQ600" s="296"/>
      <c r="AR600" s="297">
        <f>+Y600-Z600-AC600-AD600</f>
        <v>3831198301</v>
      </c>
      <c r="AS600" s="313" t="s">
        <v>137</v>
      </c>
      <c r="AT600" s="313" t="s">
        <v>137</v>
      </c>
      <c r="AU600" s="176" t="s">
        <v>1507</v>
      </c>
      <c r="AW600" s="393"/>
    </row>
    <row r="601" spans="1:49" s="218" customFormat="1" ht="25.5" customHeight="1" outlineLevel="2">
      <c r="A601" s="215" t="s">
        <v>125</v>
      </c>
      <c r="B601" s="151">
        <v>29</v>
      </c>
      <c r="C601" s="151" t="s">
        <v>196</v>
      </c>
      <c r="D601" s="245" t="s">
        <v>164</v>
      </c>
      <c r="E601" s="151" t="s">
        <v>130</v>
      </c>
      <c r="F601" s="151" t="s">
        <v>140</v>
      </c>
      <c r="G601" s="151" t="s">
        <v>34</v>
      </c>
      <c r="H601" s="151" t="s">
        <v>56</v>
      </c>
      <c r="I601" s="256">
        <v>29</v>
      </c>
      <c r="J601" s="151" t="s">
        <v>80</v>
      </c>
      <c r="K601" s="176" t="s">
        <v>132</v>
      </c>
      <c r="L601" s="245">
        <v>40023508</v>
      </c>
      <c r="M601" s="855"/>
      <c r="N601" s="245"/>
      <c r="O601" s="245" t="s">
        <v>928</v>
      </c>
      <c r="P601" s="245"/>
      <c r="Q601" s="176" t="s">
        <v>929</v>
      </c>
      <c r="R601" s="273" t="s">
        <v>930</v>
      </c>
      <c r="S601" s="274"/>
      <c r="T601" s="273"/>
      <c r="U601" s="273" t="s">
        <v>931</v>
      </c>
      <c r="V601" s="273">
        <v>487104000</v>
      </c>
      <c r="W601" s="273"/>
      <c r="X601" s="274"/>
      <c r="Y601" s="275">
        <v>487104000</v>
      </c>
      <c r="Z601" s="275">
        <v>0</v>
      </c>
      <c r="AA601" s="296"/>
      <c r="AB601" s="297">
        <v>0</v>
      </c>
      <c r="AC601" s="297">
        <f t="shared" si="218"/>
        <v>0</v>
      </c>
      <c r="AD601" s="297">
        <f>+AB601-AC601</f>
        <v>0</v>
      </c>
      <c r="AE601" s="297"/>
      <c r="AF601" s="297"/>
      <c r="AG601" s="297"/>
      <c r="AH601" s="297"/>
      <c r="AI601" s="297"/>
      <c r="AJ601" s="297">
        <v>0</v>
      </c>
      <c r="AK601" s="297">
        <v>0</v>
      </c>
      <c r="AL601" s="297">
        <v>0</v>
      </c>
      <c r="AM601" s="297">
        <v>0</v>
      </c>
      <c r="AN601" s="297"/>
      <c r="AO601" s="297"/>
      <c r="AP601" s="297"/>
      <c r="AQ601" s="296"/>
      <c r="AR601" s="297">
        <f>+Y601-Z601-AC601-AD601</f>
        <v>487104000</v>
      </c>
      <c r="AS601" s="313" t="s">
        <v>148</v>
      </c>
      <c r="AT601" s="313" t="s">
        <v>1464</v>
      </c>
      <c r="AU601" s="176" t="s">
        <v>195</v>
      </c>
    </row>
    <row r="602" spans="1:49" s="217" customFormat="1" ht="25.5" customHeight="1" outlineLevel="1">
      <c r="A602" s="215" t="s">
        <v>125</v>
      </c>
      <c r="B602" s="247"/>
      <c r="C602" s="247"/>
      <c r="D602" s="248"/>
      <c r="E602" s="249"/>
      <c r="F602" s="249"/>
      <c r="G602" s="249"/>
      <c r="H602" s="249"/>
      <c r="I602" s="249"/>
      <c r="J602" s="247"/>
      <c r="K602" s="259"/>
      <c r="L602" s="248"/>
      <c r="M602" s="248"/>
      <c r="N602" s="250"/>
      <c r="O602" s="250"/>
      <c r="P602" s="250"/>
      <c r="Q602" s="260" t="s">
        <v>201</v>
      </c>
      <c r="R602" s="280"/>
      <c r="S602" s="279"/>
      <c r="T602" s="279"/>
      <c r="U602" s="279"/>
      <c r="V602" s="279"/>
      <c r="W602" s="279"/>
      <c r="X602" s="281"/>
      <c r="Y602" s="286">
        <f>SUM(Y600:Y601)</f>
        <v>4941947000</v>
      </c>
      <c r="Z602" s="286">
        <f>SUM(Z600:Z601)</f>
        <v>0</v>
      </c>
      <c r="AA602" s="303"/>
      <c r="AB602" s="286">
        <f t="shared" ref="AB602:AP602" si="233">SUM(AB600:AB601)</f>
        <v>623644699</v>
      </c>
      <c r="AC602" s="286">
        <f t="shared" si="233"/>
        <v>0</v>
      </c>
      <c r="AD602" s="286">
        <f t="shared" si="233"/>
        <v>623644699</v>
      </c>
      <c r="AE602" s="286">
        <f t="shared" si="233"/>
        <v>0</v>
      </c>
      <c r="AF602" s="286">
        <f t="shared" si="233"/>
        <v>0</v>
      </c>
      <c r="AG602" s="286">
        <f t="shared" si="233"/>
        <v>0</v>
      </c>
      <c r="AH602" s="286">
        <f t="shared" si="233"/>
        <v>0</v>
      </c>
      <c r="AI602" s="286">
        <f t="shared" si="233"/>
        <v>0</v>
      </c>
      <c r="AJ602" s="286">
        <f t="shared" si="233"/>
        <v>0</v>
      </c>
      <c r="AK602" s="286">
        <f t="shared" si="233"/>
        <v>0</v>
      </c>
      <c r="AL602" s="286">
        <f t="shared" si="233"/>
        <v>0</v>
      </c>
      <c r="AM602" s="286">
        <f t="shared" si="233"/>
        <v>0</v>
      </c>
      <c r="AN602" s="286">
        <f t="shared" si="233"/>
        <v>0</v>
      </c>
      <c r="AO602" s="286">
        <f t="shared" si="233"/>
        <v>0</v>
      </c>
      <c r="AP602" s="286">
        <f t="shared" si="233"/>
        <v>0</v>
      </c>
      <c r="AQ602" s="287"/>
      <c r="AR602" s="286">
        <f>SUM(AR600:AR601)</f>
        <v>4318302301</v>
      </c>
      <c r="AS602" s="392"/>
      <c r="AT602" s="315"/>
      <c r="AU602" s="220"/>
    </row>
    <row r="603" spans="1:49" ht="18.75" customHeight="1" outlineLevel="1">
      <c r="A603" s="215" t="s">
        <v>125</v>
      </c>
      <c r="B603" s="249"/>
      <c r="C603" s="249"/>
      <c r="D603" s="250"/>
      <c r="E603" s="249"/>
      <c r="F603" s="249"/>
      <c r="G603" s="249"/>
      <c r="H603" s="249"/>
      <c r="I603" s="249"/>
      <c r="J603" s="249"/>
      <c r="K603" s="261"/>
      <c r="L603" s="250"/>
      <c r="M603" s="250"/>
      <c r="N603" s="250"/>
      <c r="O603" s="250"/>
      <c r="P603" s="250"/>
      <c r="Q603" s="261"/>
      <c r="R603" s="283"/>
      <c r="S603" s="283"/>
      <c r="T603" s="283"/>
      <c r="U603" s="283"/>
      <c r="V603" s="283"/>
      <c r="W603" s="283"/>
      <c r="X603" s="283"/>
      <c r="Y603" s="284"/>
      <c r="Z603" s="284"/>
      <c r="AA603" s="301"/>
      <c r="AB603" s="301"/>
      <c r="AC603" s="301"/>
      <c r="AD603" s="301"/>
      <c r="AE603" s="301"/>
      <c r="AF603" s="301"/>
      <c r="AG603" s="301"/>
      <c r="AH603" s="301"/>
      <c r="AI603" s="301"/>
      <c r="AJ603" s="301"/>
      <c r="AK603" s="301"/>
      <c r="AL603" s="301"/>
      <c r="AM603" s="301"/>
      <c r="AN603" s="301"/>
      <c r="AO603" s="301"/>
      <c r="AP603" s="301"/>
      <c r="AQ603" s="301"/>
      <c r="AR603" s="301"/>
      <c r="AS603" s="316"/>
      <c r="AT603" s="316"/>
      <c r="AU603" s="317"/>
    </row>
    <row r="604" spans="1:49" s="219" customFormat="1" ht="24.75" customHeight="1" outlineLevel="1">
      <c r="A604" s="215" t="s">
        <v>125</v>
      </c>
      <c r="B604" s="251"/>
      <c r="C604" s="249"/>
      <c r="D604" s="250"/>
      <c r="E604" s="249"/>
      <c r="F604" s="249"/>
      <c r="G604" s="249"/>
      <c r="H604" s="249"/>
      <c r="I604" s="249"/>
      <c r="J604" s="251"/>
      <c r="K604" s="263"/>
      <c r="L604" s="252"/>
      <c r="M604" s="252"/>
      <c r="N604" s="252"/>
      <c r="O604" s="252"/>
      <c r="P604" s="252"/>
      <c r="Q604" s="117" t="s">
        <v>933</v>
      </c>
      <c r="R604" s="288"/>
      <c r="S604" s="289"/>
      <c r="T604" s="289"/>
      <c r="U604" s="289"/>
      <c r="V604" s="289"/>
      <c r="W604" s="405"/>
      <c r="X604" s="290"/>
      <c r="Y604" s="118">
        <f>+Y597+Y602</f>
        <v>16698865608</v>
      </c>
      <c r="Z604" s="118">
        <f>+Z597+Z602</f>
        <v>5568179894</v>
      </c>
      <c r="AA604" s="304"/>
      <c r="AB604" s="118">
        <f t="shared" ref="AB604:AI604" si="234">+AB597+AB602</f>
        <v>3422901351</v>
      </c>
      <c r="AC604" s="118">
        <f t="shared" si="234"/>
        <v>2077463581</v>
      </c>
      <c r="AD604" s="118">
        <f t="shared" si="234"/>
        <v>1345437770</v>
      </c>
      <c r="AE604" s="118">
        <f t="shared" si="234"/>
        <v>0</v>
      </c>
      <c r="AF604" s="118">
        <f t="shared" si="234"/>
        <v>0</v>
      </c>
      <c r="AG604" s="118">
        <f t="shared" si="234"/>
        <v>0</v>
      </c>
      <c r="AH604" s="118">
        <f t="shared" si="234"/>
        <v>0</v>
      </c>
      <c r="AI604" s="118">
        <f t="shared" si="234"/>
        <v>0</v>
      </c>
      <c r="AJ604" s="118">
        <v>211332317</v>
      </c>
      <c r="AK604" s="118">
        <f t="shared" ref="AK604:AP604" si="235">+AK597+AK602</f>
        <v>45817668</v>
      </c>
      <c r="AL604" s="118">
        <f t="shared" si="235"/>
        <v>27863941</v>
      </c>
      <c r="AM604" s="118">
        <f t="shared" si="235"/>
        <v>29770059</v>
      </c>
      <c r="AN604" s="118">
        <f t="shared" si="235"/>
        <v>179918018</v>
      </c>
      <c r="AO604" s="118">
        <f t="shared" si="235"/>
        <v>767798466</v>
      </c>
      <c r="AP604" s="118">
        <f t="shared" si="235"/>
        <v>814963112</v>
      </c>
      <c r="AQ604" s="318"/>
      <c r="AR604" s="118">
        <f>+Y604-Z604-AC604-AD604</f>
        <v>7707784363</v>
      </c>
      <c r="AS604" s="333"/>
      <c r="AT604" s="333"/>
      <c r="AU604" s="320"/>
    </row>
    <row r="605" spans="1:49" ht="18.75" customHeight="1" outlineLevel="1">
      <c r="A605" s="215" t="s">
        <v>125</v>
      </c>
      <c r="B605" s="249"/>
      <c r="C605" s="249"/>
      <c r="D605" s="250"/>
      <c r="E605" s="249"/>
      <c r="F605" s="249"/>
      <c r="G605" s="249"/>
      <c r="H605" s="249"/>
      <c r="I605" s="249"/>
      <c r="J605" s="249"/>
      <c r="K605" s="261"/>
      <c r="L605" s="250"/>
      <c r="M605" s="250"/>
      <c r="N605" s="250"/>
      <c r="O605" s="250"/>
      <c r="P605" s="250"/>
      <c r="Q605" s="261"/>
      <c r="R605" s="283"/>
      <c r="S605" s="283"/>
      <c r="T605" s="283"/>
      <c r="U605" s="283"/>
      <c r="V605" s="283"/>
      <c r="W605" s="283"/>
      <c r="X605" s="283"/>
      <c r="Y605" s="284"/>
      <c r="Z605" s="284"/>
      <c r="AA605" s="301"/>
      <c r="AB605" s="301"/>
      <c r="AC605" s="301"/>
      <c r="AD605" s="301"/>
      <c r="AE605" s="301"/>
      <c r="AF605" s="301"/>
      <c r="AG605" s="301"/>
      <c r="AH605" s="301"/>
      <c r="AI605" s="301"/>
      <c r="AJ605" s="301"/>
      <c r="AK605" s="301"/>
      <c r="AL605" s="301"/>
      <c r="AM605" s="301"/>
      <c r="AN605" s="301"/>
      <c r="AO605" s="301"/>
      <c r="AP605" s="301"/>
      <c r="AQ605" s="301"/>
      <c r="AR605" s="301"/>
      <c r="AS605" s="316"/>
      <c r="AT605" s="316"/>
      <c r="AU605" s="317"/>
    </row>
    <row r="606" spans="1:49" s="219" customFormat="1" ht="24.75" customHeight="1" outlineLevel="1">
      <c r="A606" s="215" t="s">
        <v>125</v>
      </c>
      <c r="B606" s="251"/>
      <c r="C606" s="249"/>
      <c r="D606" s="250"/>
      <c r="E606" s="249"/>
      <c r="F606" s="249"/>
      <c r="G606" s="249"/>
      <c r="H606" s="249"/>
      <c r="I606" s="249"/>
      <c r="J606" s="251"/>
      <c r="K606" s="263"/>
      <c r="L606" s="252"/>
      <c r="M606" s="252"/>
      <c r="N606" s="252"/>
      <c r="O606" s="252"/>
      <c r="P606" s="252"/>
      <c r="Q606" s="117" t="s">
        <v>934</v>
      </c>
      <c r="R606" s="288"/>
      <c r="S606" s="289"/>
      <c r="T606" s="289"/>
      <c r="U606" s="289"/>
      <c r="V606" s="289"/>
      <c r="W606" s="405"/>
      <c r="X606" s="290"/>
      <c r="Y606" s="118">
        <f>+Y403+Y426+Y449+Y465+Y486+Y498+Y516+Y539+Y564+Y586+Y604</f>
        <v>64335175440</v>
      </c>
      <c r="Z606" s="118">
        <f>+Z403+Z426+Z449+Z465+Z486+Z498+Z516+Z539+Z564+Z586+Z604</f>
        <v>20510004027</v>
      </c>
      <c r="AA606" s="304"/>
      <c r="AB606" s="118">
        <f t="shared" ref="AB606:AI606" si="236">+AB403+AB426+AB449+AB465+AB486+AB498+AB516+AB539+AB564+AB586+AB604</f>
        <v>19920486762.333336</v>
      </c>
      <c r="AC606" s="118">
        <f t="shared" si="236"/>
        <v>9483088978</v>
      </c>
      <c r="AD606" s="118">
        <f t="shared" si="236"/>
        <v>10437397784.333336</v>
      </c>
      <c r="AE606" s="118">
        <f t="shared" si="236"/>
        <v>0</v>
      </c>
      <c r="AF606" s="118">
        <f t="shared" si="236"/>
        <v>0</v>
      </c>
      <c r="AG606" s="118">
        <f t="shared" si="236"/>
        <v>0</v>
      </c>
      <c r="AH606" s="118">
        <f t="shared" si="236"/>
        <v>0</v>
      </c>
      <c r="AI606" s="118">
        <f t="shared" si="236"/>
        <v>0</v>
      </c>
      <c r="AJ606" s="118">
        <v>905487531</v>
      </c>
      <c r="AK606" s="118">
        <f t="shared" ref="AK606:AP606" si="237">+AK403+AK426+AK449+AK465+AK486+AK498+AK516+AK539+AK564+AK586+AK604</f>
        <v>1307571406</v>
      </c>
      <c r="AL606" s="118">
        <f t="shared" si="237"/>
        <v>958223572</v>
      </c>
      <c r="AM606" s="118">
        <f t="shared" si="237"/>
        <v>1096816757</v>
      </c>
      <c r="AN606" s="118">
        <f t="shared" si="237"/>
        <v>1260699813</v>
      </c>
      <c r="AO606" s="118">
        <f t="shared" si="237"/>
        <v>1557393927</v>
      </c>
      <c r="AP606" s="118">
        <f t="shared" si="237"/>
        <v>2396895972</v>
      </c>
      <c r="AQ606" s="318"/>
      <c r="AR606" s="118">
        <f>+Y606-Z606-AC606-AD606</f>
        <v>23904684650.666664</v>
      </c>
      <c r="AS606" s="333"/>
      <c r="AT606" s="333"/>
      <c r="AU606" s="320"/>
    </row>
    <row r="607" spans="1:49" ht="18.75" customHeight="1" outlineLevel="1">
      <c r="A607" s="215" t="s">
        <v>125</v>
      </c>
      <c r="B607" s="249"/>
      <c r="C607" s="249"/>
      <c r="D607" s="250"/>
      <c r="E607" s="249"/>
      <c r="F607" s="249"/>
      <c r="G607" s="249"/>
      <c r="H607" s="249"/>
      <c r="I607" s="249"/>
      <c r="J607" s="249"/>
      <c r="K607" s="261"/>
      <c r="L607" s="250"/>
      <c r="M607" s="250"/>
      <c r="N607" s="250"/>
      <c r="O607" s="250"/>
      <c r="P607" s="250"/>
      <c r="Q607" s="261"/>
      <c r="R607" s="283"/>
      <c r="S607" s="283"/>
      <c r="T607" s="283"/>
      <c r="U607" s="283"/>
      <c r="V607" s="283"/>
      <c r="W607" s="283"/>
      <c r="X607" s="283"/>
      <c r="Y607" s="284"/>
      <c r="Z607" s="284"/>
      <c r="AA607" s="301"/>
      <c r="AB607" s="301"/>
      <c r="AC607" s="301"/>
      <c r="AD607" s="301"/>
      <c r="AE607" s="301"/>
      <c r="AF607" s="301"/>
      <c r="AG607" s="301"/>
      <c r="AH607" s="301"/>
      <c r="AI607" s="301"/>
      <c r="AJ607" s="301"/>
      <c r="AK607" s="301"/>
      <c r="AL607" s="301"/>
      <c r="AM607" s="301"/>
      <c r="AN607" s="301"/>
      <c r="AO607" s="301"/>
      <c r="AP607" s="301"/>
      <c r="AQ607" s="301"/>
      <c r="AR607" s="301"/>
      <c r="AS607" s="316"/>
      <c r="AT607" s="316"/>
      <c r="AU607" s="317"/>
    </row>
    <row r="608" spans="1:49" ht="26.25" customHeight="1" outlineLevel="1">
      <c r="A608" s="215" t="s">
        <v>125</v>
      </c>
      <c r="B608" s="249"/>
      <c r="C608" s="249"/>
      <c r="D608" s="250"/>
      <c r="E608" s="249"/>
      <c r="F608" s="249"/>
      <c r="G608" s="249"/>
      <c r="H608" s="249"/>
      <c r="I608" s="249"/>
      <c r="J608" s="249"/>
      <c r="K608" s="261"/>
      <c r="L608" s="250"/>
      <c r="M608" s="250"/>
      <c r="N608" s="250"/>
      <c r="O608" s="250"/>
      <c r="P608" s="250"/>
      <c r="Q608" s="264" t="s">
        <v>935</v>
      </c>
      <c r="R608" s="283"/>
      <c r="S608" s="283"/>
      <c r="T608" s="283"/>
      <c r="U608" s="283"/>
      <c r="V608" s="283"/>
      <c r="W608" s="283"/>
      <c r="X608" s="283"/>
      <c r="Y608" s="284"/>
      <c r="Z608" s="284"/>
      <c r="AA608" s="301"/>
      <c r="AB608" s="301"/>
      <c r="AC608" s="301"/>
      <c r="AD608" s="301"/>
      <c r="AE608" s="301"/>
      <c r="AF608" s="301"/>
      <c r="AG608" s="301"/>
      <c r="AH608" s="301"/>
      <c r="AI608" s="301"/>
      <c r="AJ608" s="301"/>
      <c r="AK608" s="301"/>
      <c r="AL608" s="301"/>
      <c r="AM608" s="301"/>
      <c r="AN608" s="301"/>
      <c r="AO608" s="301"/>
      <c r="AP608" s="301"/>
      <c r="AQ608" s="301"/>
      <c r="AR608" s="301"/>
      <c r="AS608" s="316"/>
      <c r="AT608" s="316"/>
      <c r="AU608" s="317"/>
    </row>
    <row r="609" spans="1:47" s="216" customFormat="1" ht="15" customHeight="1" outlineLevel="1">
      <c r="A609" s="215" t="s">
        <v>125</v>
      </c>
      <c r="B609" s="249"/>
      <c r="C609" s="249"/>
      <c r="D609" s="250"/>
      <c r="E609" s="249"/>
      <c r="F609" s="249"/>
      <c r="G609" s="249"/>
      <c r="H609" s="249"/>
      <c r="I609" s="249"/>
      <c r="J609" s="249"/>
      <c r="K609" s="261"/>
      <c r="L609" s="250"/>
      <c r="M609" s="250"/>
      <c r="N609" s="250"/>
      <c r="O609" s="250"/>
      <c r="P609" s="250"/>
      <c r="Q609" s="255"/>
      <c r="R609" s="283"/>
      <c r="S609" s="283"/>
      <c r="T609" s="283"/>
      <c r="U609" s="283"/>
      <c r="V609" s="283"/>
      <c r="W609" s="283"/>
      <c r="X609" s="283"/>
      <c r="Y609" s="284"/>
      <c r="Z609" s="284"/>
      <c r="AA609" s="301"/>
      <c r="AB609" s="301"/>
      <c r="AC609" s="301"/>
      <c r="AD609" s="301"/>
      <c r="AE609" s="301"/>
      <c r="AF609" s="301"/>
      <c r="AG609" s="301"/>
      <c r="AH609" s="301"/>
      <c r="AI609" s="301"/>
      <c r="AJ609" s="301"/>
      <c r="AK609" s="301"/>
      <c r="AL609" s="301"/>
      <c r="AM609" s="301"/>
      <c r="AN609" s="301"/>
      <c r="AO609" s="301"/>
      <c r="AP609" s="301"/>
      <c r="AQ609" s="301"/>
      <c r="AR609" s="301"/>
      <c r="AS609" s="316"/>
      <c r="AT609" s="316"/>
      <c r="AU609" s="317"/>
    </row>
    <row r="610" spans="1:47" s="217" customFormat="1" ht="25.5" customHeight="1" outlineLevel="1">
      <c r="A610" s="215" t="s">
        <v>125</v>
      </c>
      <c r="B610" s="247"/>
      <c r="C610" s="247"/>
      <c r="D610" s="248"/>
      <c r="E610" s="249"/>
      <c r="F610" s="249"/>
      <c r="G610" s="249"/>
      <c r="H610" s="249"/>
      <c r="I610" s="249"/>
      <c r="J610" s="247"/>
      <c r="K610" s="259"/>
      <c r="L610" s="248"/>
      <c r="M610" s="248"/>
      <c r="N610" s="250"/>
      <c r="O610" s="250"/>
      <c r="P610" s="250"/>
      <c r="Q610" s="99" t="s">
        <v>127</v>
      </c>
      <c r="R610" s="283"/>
      <c r="S610" s="283"/>
      <c r="T610" s="283"/>
      <c r="U610" s="283"/>
      <c r="V610" s="283"/>
      <c r="W610" s="283"/>
      <c r="X610" s="283"/>
      <c r="Y610" s="285"/>
      <c r="Z610" s="285"/>
      <c r="AA610" s="302"/>
      <c r="AB610" s="302"/>
      <c r="AC610" s="302"/>
      <c r="AD610" s="302"/>
      <c r="AE610" s="302"/>
      <c r="AF610" s="302"/>
      <c r="AG610" s="302"/>
      <c r="AH610" s="301"/>
      <c r="AI610" s="301"/>
      <c r="AJ610" s="301"/>
      <c r="AK610" s="301"/>
      <c r="AL610" s="301"/>
      <c r="AM610" s="301"/>
      <c r="AN610" s="301"/>
      <c r="AO610" s="301"/>
      <c r="AP610" s="301"/>
      <c r="AQ610" s="302"/>
      <c r="AR610" s="302"/>
      <c r="AS610" s="315"/>
      <c r="AT610" s="315"/>
      <c r="AU610" s="220"/>
    </row>
    <row r="611" spans="1:47" s="218" customFormat="1" ht="25.5" customHeight="1" outlineLevel="2">
      <c r="A611" s="215" t="s">
        <v>125</v>
      </c>
      <c r="B611" s="151">
        <v>24</v>
      </c>
      <c r="C611" s="151" t="s">
        <v>196</v>
      </c>
      <c r="D611" s="245" t="s">
        <v>251</v>
      </c>
      <c r="E611" s="151" t="s">
        <v>169</v>
      </c>
      <c r="F611" s="151" t="s">
        <v>251</v>
      </c>
      <c r="G611" s="151" t="s">
        <v>35</v>
      </c>
      <c r="H611" s="151" t="s">
        <v>68</v>
      </c>
      <c r="I611" s="256">
        <v>30</v>
      </c>
      <c r="J611" s="151" t="s">
        <v>84</v>
      </c>
      <c r="K611" s="176" t="s">
        <v>132</v>
      </c>
      <c r="L611" s="245">
        <v>30322174</v>
      </c>
      <c r="M611" s="855"/>
      <c r="N611" s="245"/>
      <c r="O611" s="245" t="s">
        <v>1456</v>
      </c>
      <c r="P611" s="245"/>
      <c r="Q611" s="176" t="s">
        <v>936</v>
      </c>
      <c r="R611" s="273"/>
      <c r="S611" s="274"/>
      <c r="T611" s="273"/>
      <c r="U611" s="273"/>
      <c r="V611" s="273"/>
      <c r="W611" s="273"/>
      <c r="X611" s="274"/>
      <c r="Y611" s="275">
        <v>422170000</v>
      </c>
      <c r="Z611" s="275">
        <v>0</v>
      </c>
      <c r="AA611" s="296"/>
      <c r="AB611" s="297">
        <v>422170000</v>
      </c>
      <c r="AC611" s="297">
        <f t="shared" ref="AC611:AC653" si="238">SUBTOTAL(9,AE611:AP611)</f>
        <v>90430146</v>
      </c>
      <c r="AD611" s="297">
        <f>+AB611-AC611</f>
        <v>331739854</v>
      </c>
      <c r="AE611" s="297">
        <v>0</v>
      </c>
      <c r="AF611" s="297">
        <v>0</v>
      </c>
      <c r="AG611" s="297">
        <v>0</v>
      </c>
      <c r="AH611" s="297">
        <v>0</v>
      </c>
      <c r="AI611" s="297">
        <v>0</v>
      </c>
      <c r="AJ611" s="297">
        <v>0</v>
      </c>
      <c r="AK611" s="297">
        <v>33955636</v>
      </c>
      <c r="AL611" s="297">
        <v>32645953</v>
      </c>
      <c r="AM611" s="297">
        <v>0</v>
      </c>
      <c r="AN611" s="297">
        <v>0</v>
      </c>
      <c r="AO611" s="297">
        <v>22052099</v>
      </c>
      <c r="AP611" s="297">
        <v>1776458</v>
      </c>
      <c r="AQ611" s="296"/>
      <c r="AR611" s="297">
        <f t="shared" ref="AR611:AR616" si="239">+Y611-Z611-AC611-AD611</f>
        <v>0</v>
      </c>
      <c r="AS611" s="313" t="s">
        <v>415</v>
      </c>
      <c r="AT611" s="313" t="s">
        <v>1480</v>
      </c>
      <c r="AU611" s="176" t="s">
        <v>138</v>
      </c>
    </row>
    <row r="612" spans="1:47" s="218" customFormat="1" ht="25.5" customHeight="1" outlineLevel="2">
      <c r="A612" s="215" t="s">
        <v>125</v>
      </c>
      <c r="B612" s="151">
        <v>24</v>
      </c>
      <c r="C612" s="151" t="s">
        <v>196</v>
      </c>
      <c r="D612" s="245" t="s">
        <v>251</v>
      </c>
      <c r="E612" s="151" t="s">
        <v>169</v>
      </c>
      <c r="F612" s="151" t="s">
        <v>251</v>
      </c>
      <c r="G612" s="151" t="s">
        <v>35</v>
      </c>
      <c r="H612" s="151" t="s">
        <v>68</v>
      </c>
      <c r="I612" s="256">
        <v>30</v>
      </c>
      <c r="J612" s="151" t="s">
        <v>84</v>
      </c>
      <c r="K612" s="176" t="s">
        <v>132</v>
      </c>
      <c r="L612" s="245">
        <v>30483010</v>
      </c>
      <c r="M612" s="855"/>
      <c r="N612" s="245"/>
      <c r="O612" s="245" t="s">
        <v>1457</v>
      </c>
      <c r="P612" s="245"/>
      <c r="Q612" s="176" t="s">
        <v>937</v>
      </c>
      <c r="R612" s="273"/>
      <c r="S612" s="274"/>
      <c r="T612" s="273"/>
      <c r="U612" s="273"/>
      <c r="V612" s="273"/>
      <c r="W612" s="273"/>
      <c r="X612" s="274"/>
      <c r="Y612" s="275">
        <f>+AC612</f>
        <v>103882152</v>
      </c>
      <c r="Z612" s="275">
        <v>0</v>
      </c>
      <c r="AA612" s="296"/>
      <c r="AB612" s="297">
        <f>+AC612</f>
        <v>103882152</v>
      </c>
      <c r="AC612" s="297">
        <f t="shared" si="238"/>
        <v>103882152</v>
      </c>
      <c r="AD612" s="297">
        <f>+AB612-AC612</f>
        <v>0</v>
      </c>
      <c r="AE612" s="297"/>
      <c r="AF612" s="297"/>
      <c r="AG612" s="297"/>
      <c r="AH612" s="297"/>
      <c r="AI612" s="297"/>
      <c r="AJ612" s="297">
        <v>0</v>
      </c>
      <c r="AK612" s="297">
        <v>0</v>
      </c>
      <c r="AL612" s="297">
        <v>0</v>
      </c>
      <c r="AM612" s="297">
        <v>103882152</v>
      </c>
      <c r="AN612" s="297"/>
      <c r="AO612" s="297"/>
      <c r="AP612" s="297"/>
      <c r="AQ612" s="296"/>
      <c r="AR612" s="297">
        <f t="shared" si="239"/>
        <v>0</v>
      </c>
      <c r="AS612" s="313" t="s">
        <v>415</v>
      </c>
      <c r="AT612" s="313" t="s">
        <v>1480</v>
      </c>
      <c r="AU612" s="176" t="s">
        <v>138</v>
      </c>
    </row>
    <row r="613" spans="1:47" s="218" customFormat="1" ht="25.5" customHeight="1" outlineLevel="2">
      <c r="A613" s="215" t="s">
        <v>125</v>
      </c>
      <c r="B613" s="151">
        <v>31</v>
      </c>
      <c r="C613" s="151" t="s">
        <v>128</v>
      </c>
      <c r="D613" s="245" t="s">
        <v>149</v>
      </c>
      <c r="E613" s="151" t="s">
        <v>130</v>
      </c>
      <c r="F613" s="151" t="s">
        <v>140</v>
      </c>
      <c r="G613" s="151" t="s">
        <v>35</v>
      </c>
      <c r="H613" s="151" t="s">
        <v>68</v>
      </c>
      <c r="I613" s="256">
        <v>30</v>
      </c>
      <c r="J613" s="151" t="s">
        <v>80</v>
      </c>
      <c r="K613" s="176" t="s">
        <v>202</v>
      </c>
      <c r="L613" s="245">
        <v>30103541</v>
      </c>
      <c r="M613" s="855" t="s">
        <v>1609</v>
      </c>
      <c r="N613" s="245" t="e">
        <v>#N/A</v>
      </c>
      <c r="O613" s="245" t="s">
        <v>938</v>
      </c>
      <c r="P613" s="245"/>
      <c r="Q613" s="176" t="s">
        <v>939</v>
      </c>
      <c r="R613" s="273"/>
      <c r="S613" s="274"/>
      <c r="T613" s="273"/>
      <c r="U613" s="273"/>
      <c r="V613" s="273"/>
      <c r="W613" s="273"/>
      <c r="X613" s="274"/>
      <c r="Y613" s="275">
        <v>137807000</v>
      </c>
      <c r="Z613" s="275">
        <v>7407000</v>
      </c>
      <c r="AA613" s="296"/>
      <c r="AB613" s="297">
        <v>107580000</v>
      </c>
      <c r="AC613" s="297">
        <f t="shared" si="238"/>
        <v>64900000</v>
      </c>
      <c r="AD613" s="297">
        <f>+AB613-AC613</f>
        <v>42680000</v>
      </c>
      <c r="AE613" s="297">
        <v>0</v>
      </c>
      <c r="AF613" s="297">
        <v>0</v>
      </c>
      <c r="AG613" s="297">
        <v>0</v>
      </c>
      <c r="AH613" s="297">
        <v>0</v>
      </c>
      <c r="AI613" s="297">
        <v>0</v>
      </c>
      <c r="AJ613" s="297">
        <v>0</v>
      </c>
      <c r="AK613" s="297">
        <v>23600000</v>
      </c>
      <c r="AL613" s="297">
        <v>23600000</v>
      </c>
      <c r="AM613" s="297">
        <v>0</v>
      </c>
      <c r="AN613" s="297">
        <v>0</v>
      </c>
      <c r="AO613" s="297">
        <v>17700000</v>
      </c>
      <c r="AP613" s="297">
        <v>0</v>
      </c>
      <c r="AQ613" s="296"/>
      <c r="AR613" s="297">
        <f t="shared" si="239"/>
        <v>22820000</v>
      </c>
      <c r="AS613" s="313" t="s">
        <v>137</v>
      </c>
      <c r="AT613" s="313" t="s">
        <v>137</v>
      </c>
      <c r="AU613" s="176" t="s">
        <v>138</v>
      </c>
    </row>
    <row r="614" spans="1:47" s="218" customFormat="1" ht="25.5" customHeight="1" outlineLevel="2">
      <c r="A614" s="215" t="s">
        <v>125</v>
      </c>
      <c r="B614" s="191">
        <v>33</v>
      </c>
      <c r="C614" s="191" t="s">
        <v>128</v>
      </c>
      <c r="D614" s="246" t="s">
        <v>149</v>
      </c>
      <c r="E614" s="191" t="s">
        <v>130</v>
      </c>
      <c r="F614" s="191" t="s">
        <v>140</v>
      </c>
      <c r="G614" s="191" t="s">
        <v>35</v>
      </c>
      <c r="H614" s="191" t="s">
        <v>68</v>
      </c>
      <c r="I614" s="258">
        <v>30</v>
      </c>
      <c r="J614" s="191" t="s">
        <v>83</v>
      </c>
      <c r="K614" s="192" t="s">
        <v>132</v>
      </c>
      <c r="L614" s="246" t="s">
        <v>83</v>
      </c>
      <c r="M614" s="861" t="s">
        <v>1604</v>
      </c>
      <c r="N614" s="246"/>
      <c r="O614" s="245" t="s">
        <v>183</v>
      </c>
      <c r="P614" s="246"/>
      <c r="Q614" s="192" t="s">
        <v>184</v>
      </c>
      <c r="R614" s="276"/>
      <c r="S614" s="277"/>
      <c r="T614" s="276"/>
      <c r="U614" s="276"/>
      <c r="V614" s="276"/>
      <c r="W614" s="276"/>
      <c r="X614" s="277"/>
      <c r="Y614" s="194">
        <v>100000000</v>
      </c>
      <c r="Z614" s="194">
        <f>+FRIL!J870</f>
        <v>0</v>
      </c>
      <c r="AA614" s="298"/>
      <c r="AB614" s="299">
        <v>100000000</v>
      </c>
      <c r="AC614" s="299">
        <f t="shared" si="238"/>
        <v>0</v>
      </c>
      <c r="AD614" s="299">
        <f>+AB614-AC614</f>
        <v>100000000</v>
      </c>
      <c r="AE614" s="299">
        <v>0</v>
      </c>
      <c r="AF614" s="299">
        <v>0</v>
      </c>
      <c r="AG614" s="299">
        <v>0</v>
      </c>
      <c r="AH614" s="299">
        <v>0</v>
      </c>
      <c r="AI614" s="299">
        <v>0</v>
      </c>
      <c r="AJ614" s="297">
        <v>0</v>
      </c>
      <c r="AK614" s="299">
        <v>0</v>
      </c>
      <c r="AL614" s="299">
        <v>0</v>
      </c>
      <c r="AM614" s="299">
        <v>0</v>
      </c>
      <c r="AN614" s="299">
        <v>0</v>
      </c>
      <c r="AO614" s="297">
        <v>0</v>
      </c>
      <c r="AP614" s="299">
        <v>0</v>
      </c>
      <c r="AQ614" s="298"/>
      <c r="AR614" s="299">
        <f t="shared" si="239"/>
        <v>0</v>
      </c>
      <c r="AS614" s="314" t="s">
        <v>185</v>
      </c>
      <c r="AT614" s="314" t="s">
        <v>83</v>
      </c>
      <c r="AU614" s="192" t="s">
        <v>138</v>
      </c>
    </row>
    <row r="615" spans="1:47" s="218" customFormat="1" ht="25.5" customHeight="1" outlineLevel="2">
      <c r="A615" s="215" t="s">
        <v>125</v>
      </c>
      <c r="B615" s="151">
        <v>33</v>
      </c>
      <c r="C615" s="151" t="s">
        <v>128</v>
      </c>
      <c r="D615" s="245" t="s">
        <v>149</v>
      </c>
      <c r="E615" s="151" t="s">
        <v>130</v>
      </c>
      <c r="F615" s="151" t="s">
        <v>140</v>
      </c>
      <c r="G615" s="151" t="s">
        <v>35</v>
      </c>
      <c r="H615" s="151" t="s">
        <v>68</v>
      </c>
      <c r="I615" s="256">
        <v>30</v>
      </c>
      <c r="J615" s="151" t="s">
        <v>83</v>
      </c>
      <c r="K615" s="176" t="s">
        <v>132</v>
      </c>
      <c r="L615" s="245" t="s">
        <v>83</v>
      </c>
      <c r="M615" s="855"/>
      <c r="N615" s="245"/>
      <c r="O615" s="245" t="s">
        <v>183</v>
      </c>
      <c r="P615" s="245"/>
      <c r="Q615" s="176" t="s">
        <v>940</v>
      </c>
      <c r="R615" s="273"/>
      <c r="S615" s="274"/>
      <c r="T615" s="273"/>
      <c r="U615" s="273"/>
      <c r="V615" s="273"/>
      <c r="W615" s="273"/>
      <c r="X615" s="274"/>
      <c r="Y615" s="275">
        <v>200000000</v>
      </c>
      <c r="Z615" s="275">
        <f>+FRIL!J871</f>
        <v>0</v>
      </c>
      <c r="AA615" s="296"/>
      <c r="AB615" s="297">
        <v>200000000</v>
      </c>
      <c r="AC615" s="297">
        <f t="shared" si="238"/>
        <v>157023311</v>
      </c>
      <c r="AD615" s="297">
        <f>+AB615-AC615</f>
        <v>42976689</v>
      </c>
      <c r="AE615" s="297">
        <v>0</v>
      </c>
      <c r="AF615" s="297">
        <v>0</v>
      </c>
      <c r="AG615" s="297">
        <v>0</v>
      </c>
      <c r="AH615" s="297">
        <v>0</v>
      </c>
      <c r="AI615" s="297">
        <v>0</v>
      </c>
      <c r="AJ615" s="297">
        <v>0</v>
      </c>
      <c r="AK615" s="297">
        <v>0</v>
      </c>
      <c r="AL615" s="297">
        <v>35106063</v>
      </c>
      <c r="AM615" s="297">
        <v>12610419</v>
      </c>
      <c r="AN615" s="297">
        <v>58504051</v>
      </c>
      <c r="AO615" s="297">
        <f>+FRIL!L314</f>
        <v>50802778</v>
      </c>
      <c r="AP615" s="297">
        <v>0</v>
      </c>
      <c r="AQ615" s="296"/>
      <c r="AR615" s="297">
        <f t="shared" si="239"/>
        <v>0</v>
      </c>
      <c r="AS615" s="313" t="s">
        <v>185</v>
      </c>
      <c r="AT615" s="313" t="s">
        <v>83</v>
      </c>
      <c r="AU615" s="176" t="s">
        <v>138</v>
      </c>
    </row>
    <row r="616" spans="1:47" s="217" customFormat="1" ht="25.5" customHeight="1" outlineLevel="1">
      <c r="A616" s="215" t="s">
        <v>125</v>
      </c>
      <c r="B616" s="247"/>
      <c r="C616" s="247"/>
      <c r="D616" s="248"/>
      <c r="E616" s="249"/>
      <c r="F616" s="249"/>
      <c r="G616" s="249"/>
      <c r="H616" s="249"/>
      <c r="I616" s="249"/>
      <c r="J616" s="247"/>
      <c r="K616" s="259"/>
      <c r="L616" s="248"/>
      <c r="M616" s="248"/>
      <c r="N616" s="250"/>
      <c r="O616" s="250"/>
      <c r="P616" s="250"/>
      <c r="Q616" s="260" t="s">
        <v>187</v>
      </c>
      <c r="R616" s="278"/>
      <c r="S616" s="279"/>
      <c r="T616" s="279"/>
      <c r="U616" s="279"/>
      <c r="V616" s="279"/>
      <c r="W616" s="279"/>
      <c r="X616" s="281"/>
      <c r="Y616" s="286">
        <f>+Y611+Y614+Y615+Y613+Y612</f>
        <v>963859152</v>
      </c>
      <c r="Z616" s="286">
        <f>+Z611+Z614+Z615+Z613+Z612</f>
        <v>7407000</v>
      </c>
      <c r="AA616" s="303"/>
      <c r="AB616" s="286">
        <f t="shared" ref="AB616:AP616" si="240">+AB611+AB614+AB615+AB613+AB612</f>
        <v>933632152</v>
      </c>
      <c r="AC616" s="286">
        <f t="shared" si="238"/>
        <v>416235609</v>
      </c>
      <c r="AD616" s="286">
        <f t="shared" si="240"/>
        <v>517396543</v>
      </c>
      <c r="AE616" s="286">
        <f t="shared" si="240"/>
        <v>0</v>
      </c>
      <c r="AF616" s="286">
        <f t="shared" si="240"/>
        <v>0</v>
      </c>
      <c r="AG616" s="286">
        <f t="shared" si="240"/>
        <v>0</v>
      </c>
      <c r="AH616" s="286">
        <f t="shared" si="240"/>
        <v>0</v>
      </c>
      <c r="AI616" s="286">
        <f t="shared" si="240"/>
        <v>0</v>
      </c>
      <c r="AJ616" s="286">
        <v>0</v>
      </c>
      <c r="AK616" s="286">
        <v>57555636</v>
      </c>
      <c r="AL616" s="286">
        <v>91352016</v>
      </c>
      <c r="AM616" s="286">
        <f t="shared" si="240"/>
        <v>116492571</v>
      </c>
      <c r="AN616" s="286">
        <f t="shared" si="240"/>
        <v>58504051</v>
      </c>
      <c r="AO616" s="286">
        <f t="shared" si="240"/>
        <v>90554877</v>
      </c>
      <c r="AP616" s="286">
        <f t="shared" si="240"/>
        <v>1776458</v>
      </c>
      <c r="AQ616" s="287"/>
      <c r="AR616" s="286">
        <f t="shared" si="239"/>
        <v>22820000</v>
      </c>
      <c r="AS616" s="315"/>
      <c r="AT616" s="315"/>
      <c r="AU616" s="220"/>
    </row>
    <row r="617" spans="1:47" ht="18.75" customHeight="1" outlineLevel="1">
      <c r="A617" s="215" t="s">
        <v>125</v>
      </c>
      <c r="B617" s="249"/>
      <c r="C617" s="249"/>
      <c r="D617" s="250"/>
      <c r="E617" s="249"/>
      <c r="F617" s="249"/>
      <c r="G617" s="249"/>
      <c r="H617" s="249"/>
      <c r="I617" s="249"/>
      <c r="J617" s="249"/>
      <c r="K617" s="261"/>
      <c r="L617" s="250"/>
      <c r="M617" s="250"/>
      <c r="N617" s="250"/>
      <c r="O617" s="250"/>
      <c r="P617" s="250"/>
      <c r="Q617" s="261"/>
      <c r="R617" s="283"/>
      <c r="S617" s="283"/>
      <c r="T617" s="283"/>
      <c r="U617" s="283"/>
      <c r="V617" s="283"/>
      <c r="W617" s="283"/>
      <c r="X617" s="283"/>
      <c r="Y617" s="284"/>
      <c r="Z617" s="284"/>
      <c r="AA617" s="301"/>
      <c r="AB617" s="301"/>
      <c r="AC617" s="301"/>
      <c r="AD617" s="301"/>
      <c r="AE617" s="301"/>
      <c r="AF617" s="301"/>
      <c r="AG617" s="301"/>
      <c r="AH617" s="301"/>
      <c r="AI617" s="301"/>
      <c r="AJ617" s="301"/>
      <c r="AK617" s="301"/>
      <c r="AL617" s="301"/>
      <c r="AM617" s="301"/>
      <c r="AN617" s="301"/>
      <c r="AO617" s="301"/>
      <c r="AP617" s="301"/>
      <c r="AQ617" s="301"/>
      <c r="AR617" s="301"/>
      <c r="AS617" s="316"/>
      <c r="AT617" s="316"/>
      <c r="AU617" s="317"/>
    </row>
    <row r="618" spans="1:47" s="217" customFormat="1" ht="25.5" customHeight="1" outlineLevel="1">
      <c r="A618" s="215" t="s">
        <v>125</v>
      </c>
      <c r="B618" s="247"/>
      <c r="C618" s="247"/>
      <c r="D618" s="248"/>
      <c r="E618" s="249"/>
      <c r="F618" s="249"/>
      <c r="G618" s="249"/>
      <c r="H618" s="249"/>
      <c r="I618" s="249"/>
      <c r="J618" s="247"/>
      <c r="K618" s="259"/>
      <c r="L618" s="248"/>
      <c r="M618" s="248"/>
      <c r="N618" s="250"/>
      <c r="O618" s="250"/>
      <c r="P618" s="250"/>
      <c r="Q618" s="99" t="s">
        <v>188</v>
      </c>
      <c r="R618" s="283"/>
      <c r="S618" s="283"/>
      <c r="T618" s="283"/>
      <c r="U618" s="283"/>
      <c r="V618" s="283"/>
      <c r="W618" s="283"/>
      <c r="X618" s="283"/>
      <c r="Y618" s="285"/>
      <c r="Z618" s="285"/>
      <c r="AA618" s="302"/>
      <c r="AB618" s="302"/>
      <c r="AC618" s="302"/>
      <c r="AD618" s="302"/>
      <c r="AE618" s="302"/>
      <c r="AF618" s="302"/>
      <c r="AG618" s="302"/>
      <c r="AH618" s="301"/>
      <c r="AI618" s="301"/>
      <c r="AJ618" s="301"/>
      <c r="AK618" s="301"/>
      <c r="AL618" s="301"/>
      <c r="AM618" s="301"/>
      <c r="AN618" s="301"/>
      <c r="AO618" s="301"/>
      <c r="AP618" s="301"/>
      <c r="AQ618" s="302"/>
      <c r="AR618" s="302"/>
      <c r="AS618" s="315"/>
      <c r="AT618" s="315"/>
      <c r="AU618" s="220"/>
    </row>
    <row r="619" spans="1:47" s="218" customFormat="1" ht="25.5" customHeight="1" outlineLevel="2">
      <c r="A619" s="215" t="s">
        <v>125</v>
      </c>
      <c r="B619" s="151">
        <v>31</v>
      </c>
      <c r="C619" s="151" t="s">
        <v>128</v>
      </c>
      <c r="D619" s="245" t="s">
        <v>164</v>
      </c>
      <c r="E619" s="151" t="s">
        <v>130</v>
      </c>
      <c r="F619" s="151" t="s">
        <v>164</v>
      </c>
      <c r="G619" s="151" t="s">
        <v>35</v>
      </c>
      <c r="H619" s="151" t="s">
        <v>68</v>
      </c>
      <c r="I619" s="256">
        <v>30</v>
      </c>
      <c r="J619" s="151" t="s">
        <v>82</v>
      </c>
      <c r="K619" s="176" t="s">
        <v>132</v>
      </c>
      <c r="L619" s="245">
        <v>30060589</v>
      </c>
      <c r="M619" s="855" t="s">
        <v>164</v>
      </c>
      <c r="N619" s="245" t="e">
        <v>#N/A</v>
      </c>
      <c r="O619" s="245" t="s">
        <v>941</v>
      </c>
      <c r="P619" s="813" t="s">
        <v>1492</v>
      </c>
      <c r="Q619" s="176" t="s">
        <v>942</v>
      </c>
      <c r="R619" s="273" t="s">
        <v>943</v>
      </c>
      <c r="S619" s="274"/>
      <c r="T619" s="273"/>
      <c r="U619" s="273" t="s">
        <v>1493</v>
      </c>
      <c r="V619" s="273">
        <v>13680509000</v>
      </c>
      <c r="W619" s="273"/>
      <c r="X619" s="274"/>
      <c r="Y619" s="275">
        <v>14945793000</v>
      </c>
      <c r="Z619" s="275">
        <v>0</v>
      </c>
      <c r="AA619" s="296"/>
      <c r="AB619" s="297">
        <f>1391719573-271542850-100888405-44742626-124000000+124000000</f>
        <v>974545692</v>
      </c>
      <c r="AC619" s="297">
        <f t="shared" si="238"/>
        <v>0</v>
      </c>
      <c r="AD619" s="297">
        <f>+AB619-AC619</f>
        <v>974545692</v>
      </c>
      <c r="AE619" s="297">
        <v>0</v>
      </c>
      <c r="AF619" s="297">
        <v>0</v>
      </c>
      <c r="AG619" s="297">
        <v>0</v>
      </c>
      <c r="AH619" s="297">
        <v>0</v>
      </c>
      <c r="AI619" s="297">
        <v>0</v>
      </c>
      <c r="AJ619" s="297">
        <v>0</v>
      </c>
      <c r="AK619" s="297">
        <v>0</v>
      </c>
      <c r="AL619" s="297">
        <v>0</v>
      </c>
      <c r="AM619" s="297">
        <v>0</v>
      </c>
      <c r="AN619" s="297">
        <v>0</v>
      </c>
      <c r="AO619" s="297">
        <v>0</v>
      </c>
      <c r="AP619" s="297">
        <v>0</v>
      </c>
      <c r="AQ619" s="296"/>
      <c r="AR619" s="297">
        <f>+Y619-Z619-AC619-AD619</f>
        <v>13971247308</v>
      </c>
      <c r="AS619" s="313" t="s">
        <v>137</v>
      </c>
      <c r="AT619" s="313" t="s">
        <v>137</v>
      </c>
      <c r="AU619" s="176" t="s">
        <v>1497</v>
      </c>
    </row>
    <row r="620" spans="1:47" s="217" customFormat="1" ht="25.5" customHeight="1" outlineLevel="1">
      <c r="A620" s="215" t="s">
        <v>125</v>
      </c>
      <c r="B620" s="151">
        <v>29</v>
      </c>
      <c r="C620" s="151" t="s">
        <v>196</v>
      </c>
      <c r="D620" s="245" t="s">
        <v>149</v>
      </c>
      <c r="E620" s="151" t="s">
        <v>169</v>
      </c>
      <c r="F620" s="151" t="s">
        <v>140</v>
      </c>
      <c r="G620" s="151" t="s">
        <v>35</v>
      </c>
      <c r="H620" s="151" t="s">
        <v>68</v>
      </c>
      <c r="I620" s="256">
        <v>30</v>
      </c>
      <c r="J620" s="151" t="s">
        <v>81</v>
      </c>
      <c r="K620" s="176" t="s">
        <v>132</v>
      </c>
      <c r="L620" s="245">
        <v>40016557</v>
      </c>
      <c r="M620" s="855"/>
      <c r="N620" s="245"/>
      <c r="O620" s="245" t="s">
        <v>944</v>
      </c>
      <c r="P620" s="813" t="s">
        <v>1495</v>
      </c>
      <c r="Q620" s="176" t="s">
        <v>945</v>
      </c>
      <c r="R620" s="273" t="s">
        <v>946</v>
      </c>
      <c r="S620" s="274"/>
      <c r="T620" s="273"/>
      <c r="U620" s="273" t="s">
        <v>1494</v>
      </c>
      <c r="V620" s="273">
        <v>435285000</v>
      </c>
      <c r="W620" s="273"/>
      <c r="X620" s="274"/>
      <c r="Y620" s="326">
        <v>435285000</v>
      </c>
      <c r="Z620" s="275">
        <v>0</v>
      </c>
      <c r="AA620" s="296"/>
      <c r="AB620" s="297">
        <v>435285000</v>
      </c>
      <c r="AC620" s="297">
        <f t="shared" si="238"/>
        <v>0</v>
      </c>
      <c r="AD620" s="297">
        <f>+AB620-AC620</f>
        <v>435285000</v>
      </c>
      <c r="AE620" s="297">
        <v>0</v>
      </c>
      <c r="AF620" s="297">
        <v>0</v>
      </c>
      <c r="AG620" s="297">
        <v>0</v>
      </c>
      <c r="AH620" s="297">
        <v>0</v>
      </c>
      <c r="AI620" s="297">
        <v>0</v>
      </c>
      <c r="AJ620" s="297">
        <v>0</v>
      </c>
      <c r="AK620" s="297">
        <v>0</v>
      </c>
      <c r="AL620" s="297">
        <v>0</v>
      </c>
      <c r="AM620" s="297">
        <v>0</v>
      </c>
      <c r="AN620" s="297">
        <v>0</v>
      </c>
      <c r="AO620" s="297">
        <v>0</v>
      </c>
      <c r="AP620" s="297">
        <v>0</v>
      </c>
      <c r="AQ620" s="296"/>
      <c r="AR620" s="297">
        <f>+Y620-Z620-AC620-AD620</f>
        <v>0</v>
      </c>
      <c r="AS620" s="313" t="s">
        <v>148</v>
      </c>
      <c r="AT620" s="313" t="s">
        <v>1464</v>
      </c>
      <c r="AU620" s="176" t="s">
        <v>1496</v>
      </c>
    </row>
    <row r="621" spans="1:47" s="218" customFormat="1" ht="25.5" customHeight="1" outlineLevel="2">
      <c r="A621" s="215" t="s">
        <v>125</v>
      </c>
      <c r="B621" s="151">
        <v>31</v>
      </c>
      <c r="C621" s="151" t="s">
        <v>128</v>
      </c>
      <c r="D621" s="245" t="s">
        <v>129</v>
      </c>
      <c r="E621" s="151" t="s">
        <v>130</v>
      </c>
      <c r="F621" s="151" t="s">
        <v>131</v>
      </c>
      <c r="G621" s="151" t="s">
        <v>35</v>
      </c>
      <c r="H621" s="151" t="s">
        <v>68</v>
      </c>
      <c r="I621" s="256">
        <v>30</v>
      </c>
      <c r="J621" s="151" t="s">
        <v>80</v>
      </c>
      <c r="K621" s="176" t="s">
        <v>363</v>
      </c>
      <c r="L621" s="245">
        <v>30186523</v>
      </c>
      <c r="M621" s="855" t="s">
        <v>1609</v>
      </c>
      <c r="N621" s="245" t="e">
        <v>#N/A</v>
      </c>
      <c r="O621" s="245" t="s">
        <v>947</v>
      </c>
      <c r="P621" s="407" t="s">
        <v>948</v>
      </c>
      <c r="Q621" s="176" t="s">
        <v>949</v>
      </c>
      <c r="R621" s="273" t="s">
        <v>950</v>
      </c>
      <c r="S621" s="274"/>
      <c r="T621" s="273"/>
      <c r="U621" s="273"/>
      <c r="V621" s="273"/>
      <c r="W621" s="273"/>
      <c r="X621" s="274"/>
      <c r="Y621" s="275">
        <v>491402000</v>
      </c>
      <c r="Z621" s="275">
        <v>0</v>
      </c>
      <c r="AA621" s="296"/>
      <c r="AB621" s="297">
        <f>491402000-100000000-226264227</f>
        <v>165137773</v>
      </c>
      <c r="AC621" s="297">
        <f t="shared" si="238"/>
        <v>0</v>
      </c>
      <c r="AD621" s="297">
        <f>+AB621-AC621</f>
        <v>165137773</v>
      </c>
      <c r="AE621" s="297">
        <v>0</v>
      </c>
      <c r="AF621" s="297">
        <v>0</v>
      </c>
      <c r="AG621" s="297">
        <v>0</v>
      </c>
      <c r="AH621" s="297">
        <v>0</v>
      </c>
      <c r="AI621" s="297">
        <v>0</v>
      </c>
      <c r="AJ621" s="297">
        <v>0</v>
      </c>
      <c r="AK621" s="297">
        <v>0</v>
      </c>
      <c r="AL621" s="297">
        <v>0</v>
      </c>
      <c r="AM621" s="297">
        <v>0</v>
      </c>
      <c r="AN621" s="297">
        <v>0</v>
      </c>
      <c r="AO621" s="297">
        <v>0</v>
      </c>
      <c r="AP621" s="297">
        <v>0</v>
      </c>
      <c r="AQ621" s="296"/>
      <c r="AR621" s="297">
        <f>+Y621-Z621-AC621-AD621</f>
        <v>326264227</v>
      </c>
      <c r="AS621" s="313" t="s">
        <v>137</v>
      </c>
      <c r="AT621" s="313" t="s">
        <v>137</v>
      </c>
      <c r="AU621" s="176" t="s">
        <v>394</v>
      </c>
    </row>
    <row r="622" spans="1:47" s="217" customFormat="1" ht="25.5" customHeight="1" outlineLevel="1">
      <c r="A622" s="215" t="s">
        <v>125</v>
      </c>
      <c r="B622" s="247"/>
      <c r="C622" s="247"/>
      <c r="D622" s="248"/>
      <c r="E622" s="249"/>
      <c r="F622" s="249"/>
      <c r="G622" s="249"/>
      <c r="H622" s="249"/>
      <c r="I622" s="249"/>
      <c r="J622" s="247"/>
      <c r="K622" s="259"/>
      <c r="L622" s="248"/>
      <c r="M622" s="248"/>
      <c r="N622" s="250"/>
      <c r="O622" s="250"/>
      <c r="P622" s="250"/>
      <c r="Q622" s="260" t="s">
        <v>201</v>
      </c>
      <c r="R622" s="278"/>
      <c r="S622" s="279"/>
      <c r="T622" s="279"/>
      <c r="U622" s="279"/>
      <c r="V622" s="279"/>
      <c r="W622" s="279"/>
      <c r="X622" s="281"/>
      <c r="Y622" s="286">
        <f>SUM(Y619:Y621)</f>
        <v>15872480000</v>
      </c>
      <c r="Z622" s="286">
        <f t="shared" ref="Z622:AP622" si="241">SUM(Z619:Z621)</f>
        <v>0</v>
      </c>
      <c r="AA622" s="303"/>
      <c r="AB622" s="286">
        <f t="shared" si="241"/>
        <v>1574968465</v>
      </c>
      <c r="AC622" s="286">
        <f t="shared" si="238"/>
        <v>0</v>
      </c>
      <c r="AD622" s="286">
        <f t="shared" si="241"/>
        <v>1574968465</v>
      </c>
      <c r="AE622" s="286">
        <f t="shared" si="241"/>
        <v>0</v>
      </c>
      <c r="AF622" s="286">
        <f t="shared" si="241"/>
        <v>0</v>
      </c>
      <c r="AG622" s="286">
        <f t="shared" si="241"/>
        <v>0</v>
      </c>
      <c r="AH622" s="286">
        <f t="shared" si="241"/>
        <v>0</v>
      </c>
      <c r="AI622" s="286">
        <f t="shared" si="241"/>
        <v>0</v>
      </c>
      <c r="AJ622" s="286">
        <v>0</v>
      </c>
      <c r="AK622" s="286">
        <v>0</v>
      </c>
      <c r="AL622" s="286">
        <v>0</v>
      </c>
      <c r="AM622" s="286">
        <f t="shared" si="241"/>
        <v>0</v>
      </c>
      <c r="AN622" s="286">
        <f t="shared" si="241"/>
        <v>0</v>
      </c>
      <c r="AO622" s="286">
        <f t="shared" si="241"/>
        <v>0</v>
      </c>
      <c r="AP622" s="286">
        <f t="shared" si="241"/>
        <v>0</v>
      </c>
      <c r="AQ622" s="287"/>
      <c r="AR622" s="286">
        <f>+Y622-Z622-AC622-AD622</f>
        <v>14297511535</v>
      </c>
      <c r="AS622" s="315"/>
      <c r="AT622" s="315"/>
      <c r="AU622" s="220"/>
    </row>
    <row r="623" spans="1:47" ht="18.75" customHeight="1" outlineLevel="1">
      <c r="A623" s="215" t="s">
        <v>125</v>
      </c>
      <c r="B623" s="249"/>
      <c r="C623" s="249"/>
      <c r="D623" s="250"/>
      <c r="E623" s="249"/>
      <c r="F623" s="249"/>
      <c r="G623" s="249"/>
      <c r="H623" s="249"/>
      <c r="I623" s="249"/>
      <c r="J623" s="249"/>
      <c r="K623" s="261"/>
      <c r="L623" s="250"/>
      <c r="M623" s="250"/>
      <c r="N623" s="250"/>
      <c r="O623" s="250"/>
      <c r="P623" s="250"/>
      <c r="Q623" s="261"/>
      <c r="R623" s="283"/>
      <c r="S623" s="283"/>
      <c r="T623" s="283"/>
      <c r="U623" s="283"/>
      <c r="V623" s="283"/>
      <c r="W623" s="283"/>
      <c r="X623" s="283"/>
      <c r="Y623" s="284"/>
      <c r="Z623" s="284"/>
      <c r="AA623" s="301"/>
      <c r="AB623" s="301"/>
      <c r="AC623" s="301"/>
      <c r="AD623" s="301"/>
      <c r="AE623" s="301"/>
      <c r="AF623" s="301"/>
      <c r="AG623" s="301"/>
      <c r="AH623" s="301"/>
      <c r="AI623" s="301"/>
      <c r="AJ623" s="301"/>
      <c r="AK623" s="301"/>
      <c r="AL623" s="301"/>
      <c r="AM623" s="301"/>
      <c r="AN623" s="301"/>
      <c r="AO623" s="301"/>
      <c r="AP623" s="301"/>
      <c r="AQ623" s="301"/>
      <c r="AR623" s="301"/>
      <c r="AS623" s="316"/>
      <c r="AT623" s="316"/>
      <c r="AU623" s="317"/>
    </row>
    <row r="624" spans="1:47" s="219" customFormat="1" ht="24.75" customHeight="1" outlineLevel="1">
      <c r="A624" s="215" t="s">
        <v>125</v>
      </c>
      <c r="B624" s="251"/>
      <c r="C624" s="249"/>
      <c r="D624" s="250"/>
      <c r="E624" s="249"/>
      <c r="F624" s="249"/>
      <c r="G624" s="249"/>
      <c r="H624" s="249"/>
      <c r="I624" s="249"/>
      <c r="J624" s="251"/>
      <c r="K624" s="263"/>
      <c r="L624" s="252"/>
      <c r="M624" s="252"/>
      <c r="N624" s="252"/>
      <c r="O624" s="252"/>
      <c r="P624" s="252"/>
      <c r="Q624" s="117" t="s">
        <v>951</v>
      </c>
      <c r="R624" s="288"/>
      <c r="S624" s="289"/>
      <c r="T624" s="289"/>
      <c r="U624" s="289"/>
      <c r="V624" s="289"/>
      <c r="W624" s="289"/>
      <c r="X624" s="290"/>
      <c r="Y624" s="118">
        <f>+Y616+Y622</f>
        <v>16836339152</v>
      </c>
      <c r="Z624" s="118">
        <f>+Z616+Z622</f>
        <v>7407000</v>
      </c>
      <c r="AA624" s="304"/>
      <c r="AB624" s="118">
        <f t="shared" ref="AB624:AD624" si="242">+AB616+AB622</f>
        <v>2508600617</v>
      </c>
      <c r="AC624" s="118">
        <f t="shared" si="242"/>
        <v>416235609</v>
      </c>
      <c r="AD624" s="118">
        <f t="shared" si="242"/>
        <v>2092365008</v>
      </c>
      <c r="AE624" s="118">
        <f>+AE616+AE622</f>
        <v>0</v>
      </c>
      <c r="AF624" s="118">
        <f t="shared" ref="AF624:AP624" si="243">+AF616+AF622</f>
        <v>0</v>
      </c>
      <c r="AG624" s="118">
        <f t="shared" si="243"/>
        <v>0</v>
      </c>
      <c r="AH624" s="118">
        <f t="shared" si="243"/>
        <v>0</v>
      </c>
      <c r="AI624" s="118">
        <f t="shared" si="243"/>
        <v>0</v>
      </c>
      <c r="AJ624" s="118">
        <v>0</v>
      </c>
      <c r="AK624" s="118">
        <f t="shared" si="243"/>
        <v>57555636</v>
      </c>
      <c r="AL624" s="118">
        <f t="shared" si="243"/>
        <v>91352016</v>
      </c>
      <c r="AM624" s="118">
        <f t="shared" si="243"/>
        <v>116492571</v>
      </c>
      <c r="AN624" s="118">
        <f t="shared" si="243"/>
        <v>58504051</v>
      </c>
      <c r="AO624" s="118">
        <f t="shared" si="243"/>
        <v>90554877</v>
      </c>
      <c r="AP624" s="118">
        <f t="shared" si="243"/>
        <v>1776458</v>
      </c>
      <c r="AQ624" s="318"/>
      <c r="AR624" s="118">
        <f>+Y624-Z624-AC624-AD624</f>
        <v>14320331535</v>
      </c>
      <c r="AS624" s="333"/>
      <c r="AT624" s="333"/>
      <c r="AU624" s="320"/>
    </row>
    <row r="625" spans="1:47" ht="18.75" customHeight="1" outlineLevel="1">
      <c r="A625" s="215" t="s">
        <v>125</v>
      </c>
      <c r="B625" s="249"/>
      <c r="C625" s="249"/>
      <c r="D625" s="250"/>
      <c r="E625" s="249"/>
      <c r="F625" s="249"/>
      <c r="G625" s="249"/>
      <c r="H625" s="249"/>
      <c r="I625" s="249"/>
      <c r="J625" s="249"/>
      <c r="K625" s="261"/>
      <c r="L625" s="250"/>
      <c r="M625" s="250"/>
      <c r="N625" s="250"/>
      <c r="O625" s="250"/>
      <c r="P625" s="250"/>
      <c r="Q625" s="261"/>
      <c r="R625" s="283"/>
      <c r="S625" s="283"/>
      <c r="T625" s="283"/>
      <c r="U625" s="283"/>
      <c r="V625" s="283"/>
      <c r="W625" s="283"/>
      <c r="X625" s="283"/>
      <c r="Y625" s="284"/>
      <c r="Z625" s="284"/>
      <c r="AA625" s="301"/>
      <c r="AB625" s="301"/>
      <c r="AC625" s="301"/>
      <c r="AD625" s="301"/>
      <c r="AE625" s="301"/>
      <c r="AF625" s="301"/>
      <c r="AG625" s="301"/>
      <c r="AH625" s="301"/>
      <c r="AI625" s="301"/>
      <c r="AJ625" s="301"/>
      <c r="AK625" s="301"/>
      <c r="AL625" s="301"/>
      <c r="AM625" s="301"/>
      <c r="AN625" s="301"/>
      <c r="AO625" s="301"/>
      <c r="AP625" s="301"/>
      <c r="AQ625" s="301"/>
      <c r="AR625" s="301"/>
      <c r="AS625" s="316"/>
      <c r="AT625" s="316"/>
      <c r="AU625" s="317"/>
    </row>
    <row r="626" spans="1:47" ht="26.25" customHeight="1" outlineLevel="1">
      <c r="A626" s="215" t="s">
        <v>125</v>
      </c>
      <c r="B626" s="249"/>
      <c r="C626" s="249"/>
      <c r="D626" s="250"/>
      <c r="E626" s="249"/>
      <c r="F626" s="249"/>
      <c r="G626" s="249"/>
      <c r="H626" s="249"/>
      <c r="I626" s="249"/>
      <c r="J626" s="249"/>
      <c r="K626" s="261"/>
      <c r="L626" s="250"/>
      <c r="M626" s="250"/>
      <c r="N626" s="250"/>
      <c r="O626" s="250"/>
      <c r="P626" s="250"/>
      <c r="Q626" s="264" t="s">
        <v>952</v>
      </c>
      <c r="R626" s="283"/>
      <c r="S626" s="283"/>
      <c r="T626" s="283"/>
      <c r="U626" s="283"/>
      <c r="V626" s="283"/>
      <c r="W626" s="283"/>
      <c r="X626" s="283"/>
      <c r="Y626" s="284"/>
      <c r="Z626" s="284"/>
      <c r="AA626" s="301"/>
      <c r="AB626" s="301"/>
      <c r="AC626" s="301"/>
      <c r="AD626" s="301"/>
      <c r="AE626" s="301"/>
      <c r="AF626" s="301"/>
      <c r="AG626" s="301"/>
      <c r="AH626" s="301"/>
      <c r="AI626" s="301"/>
      <c r="AJ626" s="301"/>
      <c r="AK626" s="301"/>
      <c r="AL626" s="301"/>
      <c r="AM626" s="301"/>
      <c r="AN626" s="301"/>
      <c r="AO626" s="301"/>
      <c r="AP626" s="301"/>
      <c r="AQ626" s="301"/>
      <c r="AR626" s="301"/>
      <c r="AS626" s="316"/>
      <c r="AT626" s="316"/>
      <c r="AU626" s="317"/>
    </row>
    <row r="627" spans="1:47" s="216" customFormat="1" ht="15" customHeight="1" outlineLevel="1">
      <c r="A627" s="215" t="s">
        <v>125</v>
      </c>
      <c r="B627" s="249"/>
      <c r="C627" s="249"/>
      <c r="D627" s="250"/>
      <c r="E627" s="249"/>
      <c r="F627" s="249"/>
      <c r="G627" s="249"/>
      <c r="H627" s="249"/>
      <c r="I627" s="249"/>
      <c r="J627" s="249"/>
      <c r="K627" s="261"/>
      <c r="L627" s="250"/>
      <c r="M627" s="250"/>
      <c r="N627" s="250"/>
      <c r="O627" s="250"/>
      <c r="P627" s="250"/>
      <c r="Q627" s="255"/>
      <c r="R627" s="283"/>
      <c r="S627" s="283"/>
      <c r="T627" s="283"/>
      <c r="U627" s="283"/>
      <c r="V627" s="283"/>
      <c r="W627" s="283"/>
      <c r="X627" s="283"/>
      <c r="Y627" s="284"/>
      <c r="Z627" s="284"/>
      <c r="AA627" s="301"/>
      <c r="AB627" s="301"/>
      <c r="AC627" s="301"/>
      <c r="AD627" s="301"/>
      <c r="AE627" s="301"/>
      <c r="AF627" s="301"/>
      <c r="AG627" s="301"/>
      <c r="AH627" s="301"/>
      <c r="AI627" s="301"/>
      <c r="AJ627" s="301"/>
      <c r="AK627" s="301"/>
      <c r="AL627" s="301"/>
      <c r="AM627" s="301"/>
      <c r="AN627" s="301"/>
      <c r="AO627" s="301"/>
      <c r="AP627" s="301"/>
      <c r="AQ627" s="301"/>
      <c r="AR627" s="301"/>
      <c r="AS627" s="316"/>
      <c r="AT627" s="316"/>
      <c r="AU627" s="317"/>
    </row>
    <row r="628" spans="1:47" s="217" customFormat="1" ht="25.5" customHeight="1" outlineLevel="1">
      <c r="A628" s="215" t="s">
        <v>125</v>
      </c>
      <c r="B628" s="247"/>
      <c r="C628" s="247"/>
      <c r="D628" s="248"/>
      <c r="E628" s="249"/>
      <c r="F628" s="249"/>
      <c r="G628" s="249"/>
      <c r="H628" s="249"/>
      <c r="I628" s="249"/>
      <c r="J628" s="247"/>
      <c r="K628" s="259"/>
      <c r="L628" s="248"/>
      <c r="M628" s="248"/>
      <c r="N628" s="250"/>
      <c r="O628" s="250"/>
      <c r="P628" s="250"/>
      <c r="Q628" s="99" t="s">
        <v>127</v>
      </c>
      <c r="R628" s="283"/>
      <c r="S628" s="283"/>
      <c r="T628" s="283"/>
      <c r="U628" s="283"/>
      <c r="V628" s="283"/>
      <c r="W628" s="283"/>
      <c r="X628" s="283"/>
      <c r="Y628" s="285"/>
      <c r="Z628" s="285"/>
      <c r="AA628" s="302"/>
      <c r="AB628" s="302"/>
      <c r="AC628" s="302"/>
      <c r="AD628" s="302"/>
      <c r="AE628" s="302"/>
      <c r="AF628" s="302"/>
      <c r="AG628" s="302"/>
      <c r="AH628" s="301"/>
      <c r="AI628" s="301"/>
      <c r="AJ628" s="301"/>
      <c r="AK628" s="301"/>
      <c r="AL628" s="301"/>
      <c r="AM628" s="301"/>
      <c r="AN628" s="301"/>
      <c r="AO628" s="301"/>
      <c r="AP628" s="301"/>
      <c r="AQ628" s="302"/>
      <c r="AR628" s="302"/>
      <c r="AS628" s="315"/>
      <c r="AT628" s="315"/>
      <c r="AU628" s="220"/>
    </row>
    <row r="629" spans="1:47" s="218" customFormat="1" ht="25.5" customHeight="1" outlineLevel="2">
      <c r="A629" s="215" t="s">
        <v>125</v>
      </c>
      <c r="B629" s="151">
        <v>31</v>
      </c>
      <c r="C629" s="151" t="s">
        <v>128</v>
      </c>
      <c r="D629" s="245" t="s">
        <v>139</v>
      </c>
      <c r="E629" s="151" t="s">
        <v>169</v>
      </c>
      <c r="F629" s="151" t="s">
        <v>140</v>
      </c>
      <c r="G629" s="151" t="s">
        <v>35</v>
      </c>
      <c r="H629" s="151" t="s">
        <v>69</v>
      </c>
      <c r="I629" s="256">
        <v>31</v>
      </c>
      <c r="J629" s="151" t="s">
        <v>82</v>
      </c>
      <c r="K629" s="176" t="s">
        <v>132</v>
      </c>
      <c r="L629" s="245">
        <v>30072372</v>
      </c>
      <c r="M629" s="855" t="s">
        <v>1609</v>
      </c>
      <c r="N629" s="245" t="s">
        <v>953</v>
      </c>
      <c r="O629" s="245" t="s">
        <v>954</v>
      </c>
      <c r="P629" s="245"/>
      <c r="Q629" s="176" t="s">
        <v>955</v>
      </c>
      <c r="R629" s="273"/>
      <c r="S629" s="274"/>
      <c r="T629" s="273"/>
      <c r="U629" s="273"/>
      <c r="V629" s="273"/>
      <c r="W629" s="273"/>
      <c r="X629" s="274"/>
      <c r="Y629" s="275">
        <v>3944224378</v>
      </c>
      <c r="Z629" s="275">
        <v>3810001601</v>
      </c>
      <c r="AA629" s="296"/>
      <c r="AB629" s="297">
        <v>95507000</v>
      </c>
      <c r="AC629" s="297">
        <f t="shared" si="238"/>
        <v>0</v>
      </c>
      <c r="AD629" s="297">
        <f t="shared" ref="AD629:AD634" si="244">+AB629-AC629</f>
        <v>95507000</v>
      </c>
      <c r="AE629" s="297">
        <v>0</v>
      </c>
      <c r="AF629" s="297">
        <v>0</v>
      </c>
      <c r="AG629" s="297">
        <v>0</v>
      </c>
      <c r="AH629" s="297">
        <v>0</v>
      </c>
      <c r="AI629" s="297">
        <v>0</v>
      </c>
      <c r="AJ629" s="297">
        <v>0</v>
      </c>
      <c r="AK629" s="297">
        <v>0</v>
      </c>
      <c r="AL629" s="297">
        <v>0</v>
      </c>
      <c r="AM629" s="297">
        <v>0</v>
      </c>
      <c r="AN629" s="297">
        <v>0</v>
      </c>
      <c r="AO629" s="297">
        <v>0</v>
      </c>
      <c r="AP629" s="297">
        <v>0</v>
      </c>
      <c r="AQ629" s="296"/>
      <c r="AR629" s="297">
        <f t="shared" ref="AR629:AR635" si="245">+Y629-Z629-AC629-AD629</f>
        <v>38715777</v>
      </c>
      <c r="AS629" s="313" t="s">
        <v>137</v>
      </c>
      <c r="AT629" s="313" t="s">
        <v>137</v>
      </c>
      <c r="AU629" s="176" t="s">
        <v>138</v>
      </c>
    </row>
    <row r="630" spans="1:47" s="218" customFormat="1" ht="25.5" customHeight="1" outlineLevel="2">
      <c r="A630" s="215" t="s">
        <v>125</v>
      </c>
      <c r="B630" s="151">
        <v>31</v>
      </c>
      <c r="C630" s="151" t="s">
        <v>128</v>
      </c>
      <c r="D630" s="245" t="s">
        <v>129</v>
      </c>
      <c r="E630" s="151" t="s">
        <v>169</v>
      </c>
      <c r="F630" s="151" t="s">
        <v>131</v>
      </c>
      <c r="G630" s="151" t="s">
        <v>35</v>
      </c>
      <c r="H630" s="151" t="s">
        <v>69</v>
      </c>
      <c r="I630" s="256">
        <v>31</v>
      </c>
      <c r="J630" s="151" t="s">
        <v>82</v>
      </c>
      <c r="K630" s="176" t="s">
        <v>132</v>
      </c>
      <c r="L630" s="245">
        <v>30102779</v>
      </c>
      <c r="M630" s="855" t="s">
        <v>1609</v>
      </c>
      <c r="N630" s="245" t="s">
        <v>953</v>
      </c>
      <c r="O630" s="245" t="s">
        <v>956</v>
      </c>
      <c r="P630" s="245"/>
      <c r="Q630" s="176" t="s">
        <v>957</v>
      </c>
      <c r="R630" s="273" t="s">
        <v>958</v>
      </c>
      <c r="S630" s="274"/>
      <c r="T630" s="273"/>
      <c r="U630" s="273"/>
      <c r="V630" s="273"/>
      <c r="W630" s="273"/>
      <c r="X630" s="274"/>
      <c r="Y630" s="275">
        <v>703415000</v>
      </c>
      <c r="Z630" s="275">
        <v>539174204</v>
      </c>
      <c r="AA630" s="296"/>
      <c r="AB630" s="297">
        <f>+Y630-Z630</f>
        <v>164240796</v>
      </c>
      <c r="AC630" s="297">
        <f t="shared" si="238"/>
        <v>16983173</v>
      </c>
      <c r="AD630" s="297">
        <f t="shared" si="244"/>
        <v>147257623</v>
      </c>
      <c r="AE630" s="297">
        <v>0</v>
      </c>
      <c r="AF630" s="297">
        <v>0</v>
      </c>
      <c r="AG630" s="297">
        <v>0</v>
      </c>
      <c r="AH630" s="297">
        <v>0</v>
      </c>
      <c r="AI630" s="297">
        <v>0</v>
      </c>
      <c r="AJ630" s="297">
        <v>0</v>
      </c>
      <c r="AK630" s="297">
        <v>0</v>
      </c>
      <c r="AL630" s="297">
        <v>0</v>
      </c>
      <c r="AM630" s="297">
        <v>0</v>
      </c>
      <c r="AN630" s="297">
        <v>0</v>
      </c>
      <c r="AO630" s="297">
        <v>0</v>
      </c>
      <c r="AP630" s="297">
        <v>16983173</v>
      </c>
      <c r="AQ630" s="296"/>
      <c r="AR630" s="297">
        <f t="shared" si="245"/>
        <v>0</v>
      </c>
      <c r="AS630" s="313" t="s">
        <v>137</v>
      </c>
      <c r="AT630" s="313" t="s">
        <v>137</v>
      </c>
      <c r="AU630" s="176" t="s">
        <v>138</v>
      </c>
    </row>
    <row r="631" spans="1:47" s="218" customFormat="1" ht="25.5" customHeight="1" outlineLevel="2">
      <c r="A631" s="215" t="s">
        <v>125</v>
      </c>
      <c r="B631" s="151">
        <v>31</v>
      </c>
      <c r="C631" s="151" t="s">
        <v>128</v>
      </c>
      <c r="D631" s="245" t="s">
        <v>159</v>
      </c>
      <c r="E631" s="151" t="s">
        <v>169</v>
      </c>
      <c r="F631" s="151" t="s">
        <v>140</v>
      </c>
      <c r="G631" s="151" t="s">
        <v>35</v>
      </c>
      <c r="H631" s="151" t="s">
        <v>69</v>
      </c>
      <c r="I631" s="256">
        <v>31</v>
      </c>
      <c r="J631" s="151" t="s">
        <v>82</v>
      </c>
      <c r="K631" s="176" t="s">
        <v>132</v>
      </c>
      <c r="L631" s="245">
        <v>30086361</v>
      </c>
      <c r="M631" s="855" t="s">
        <v>1609</v>
      </c>
      <c r="N631" s="245" t="s">
        <v>953</v>
      </c>
      <c r="O631" s="245" t="s">
        <v>959</v>
      </c>
      <c r="P631" s="245"/>
      <c r="Q631" s="176" t="s">
        <v>960</v>
      </c>
      <c r="R631" s="273"/>
      <c r="S631" s="274"/>
      <c r="T631" s="273"/>
      <c r="U631" s="273"/>
      <c r="V631" s="273"/>
      <c r="W631" s="273"/>
      <c r="X631" s="274"/>
      <c r="Y631" s="275">
        <v>3900581000</v>
      </c>
      <c r="Z631" s="275">
        <v>3137883323</v>
      </c>
      <c r="AA631" s="296"/>
      <c r="AB631" s="297">
        <v>454656000</v>
      </c>
      <c r="AC631" s="297">
        <f t="shared" si="238"/>
        <v>299734525</v>
      </c>
      <c r="AD631" s="297">
        <f t="shared" si="244"/>
        <v>154921475</v>
      </c>
      <c r="AE631" s="297">
        <v>0</v>
      </c>
      <c r="AF631" s="297">
        <v>0</v>
      </c>
      <c r="AG631" s="297">
        <v>0</v>
      </c>
      <c r="AH631" s="297">
        <v>0</v>
      </c>
      <c r="AI631" s="297">
        <v>0</v>
      </c>
      <c r="AJ631" s="297">
        <v>0</v>
      </c>
      <c r="AK631" s="297">
        <v>0</v>
      </c>
      <c r="AL631" s="297">
        <v>0</v>
      </c>
      <c r="AM631" s="297">
        <v>295509359</v>
      </c>
      <c r="AN631" s="297">
        <v>0</v>
      </c>
      <c r="AO631" s="297">
        <v>2112583</v>
      </c>
      <c r="AP631" s="297">
        <v>2112583</v>
      </c>
      <c r="AQ631" s="296"/>
      <c r="AR631" s="297">
        <f t="shared" si="245"/>
        <v>308041677</v>
      </c>
      <c r="AS631" s="313" t="s">
        <v>137</v>
      </c>
      <c r="AT631" s="313" t="s">
        <v>137</v>
      </c>
      <c r="AU631" s="176" t="s">
        <v>138</v>
      </c>
    </row>
    <row r="632" spans="1:47" s="218" customFormat="1" ht="25.5" customHeight="1" outlineLevel="2">
      <c r="A632" s="215" t="s">
        <v>125</v>
      </c>
      <c r="B632" s="151">
        <v>31</v>
      </c>
      <c r="C632" s="151" t="s">
        <v>128</v>
      </c>
      <c r="D632" s="245" t="s">
        <v>129</v>
      </c>
      <c r="E632" s="151" t="s">
        <v>169</v>
      </c>
      <c r="F632" s="151" t="s">
        <v>140</v>
      </c>
      <c r="G632" s="151" t="s">
        <v>35</v>
      </c>
      <c r="H632" s="151" t="s">
        <v>69</v>
      </c>
      <c r="I632" s="256">
        <v>31</v>
      </c>
      <c r="J632" s="151" t="s">
        <v>80</v>
      </c>
      <c r="K632" s="176" t="s">
        <v>202</v>
      </c>
      <c r="L632" s="245">
        <v>30352430</v>
      </c>
      <c r="M632" s="855" t="s">
        <v>1609</v>
      </c>
      <c r="N632" s="245" t="s">
        <v>953</v>
      </c>
      <c r="O632" s="245" t="s">
        <v>961</v>
      </c>
      <c r="P632" s="245"/>
      <c r="Q632" s="176" t="s">
        <v>962</v>
      </c>
      <c r="R632" s="273"/>
      <c r="S632" s="274"/>
      <c r="T632" s="273"/>
      <c r="U632" s="273"/>
      <c r="V632" s="273"/>
      <c r="W632" s="273"/>
      <c r="X632" s="274"/>
      <c r="Y632" s="275">
        <v>118160000</v>
      </c>
      <c r="Z632" s="275">
        <v>48000000</v>
      </c>
      <c r="AA632" s="296"/>
      <c r="AB632" s="297">
        <v>70160000</v>
      </c>
      <c r="AC632" s="297">
        <f t="shared" si="238"/>
        <v>26000000</v>
      </c>
      <c r="AD632" s="297">
        <f t="shared" si="244"/>
        <v>44160000</v>
      </c>
      <c r="AE632" s="297">
        <v>0</v>
      </c>
      <c r="AF632" s="297">
        <v>0</v>
      </c>
      <c r="AG632" s="297">
        <v>0</v>
      </c>
      <c r="AH632" s="297">
        <v>0</v>
      </c>
      <c r="AI632" s="297">
        <v>0</v>
      </c>
      <c r="AJ632" s="297">
        <v>0</v>
      </c>
      <c r="AK632" s="297">
        <v>0</v>
      </c>
      <c r="AL632" s="297">
        <v>0</v>
      </c>
      <c r="AM632" s="297">
        <v>26000000</v>
      </c>
      <c r="AN632" s="297">
        <v>0</v>
      </c>
      <c r="AO632" s="297">
        <v>0</v>
      </c>
      <c r="AP632" s="297">
        <v>0</v>
      </c>
      <c r="AQ632" s="296"/>
      <c r="AR632" s="297">
        <f t="shared" si="245"/>
        <v>0</v>
      </c>
      <c r="AS632" s="313" t="s">
        <v>137</v>
      </c>
      <c r="AT632" s="313" t="s">
        <v>137</v>
      </c>
      <c r="AU632" s="176" t="s">
        <v>138</v>
      </c>
    </row>
    <row r="633" spans="1:47" s="218" customFormat="1" ht="25.5" customHeight="1" outlineLevel="2">
      <c r="A633" s="215" t="s">
        <v>125</v>
      </c>
      <c r="B633" s="191">
        <v>33</v>
      </c>
      <c r="C633" s="191" t="s">
        <v>128</v>
      </c>
      <c r="D633" s="246" t="s">
        <v>149</v>
      </c>
      <c r="E633" s="191" t="s">
        <v>130</v>
      </c>
      <c r="F633" s="191" t="s">
        <v>140</v>
      </c>
      <c r="G633" s="191" t="s">
        <v>35</v>
      </c>
      <c r="H633" s="191" t="s">
        <v>69</v>
      </c>
      <c r="I633" s="258">
        <v>31</v>
      </c>
      <c r="J633" s="191" t="s">
        <v>83</v>
      </c>
      <c r="K633" s="192" t="s">
        <v>132</v>
      </c>
      <c r="L633" s="246" t="s">
        <v>83</v>
      </c>
      <c r="M633" s="861" t="s">
        <v>1604</v>
      </c>
      <c r="N633" s="246"/>
      <c r="O633" s="245" t="s">
        <v>183</v>
      </c>
      <c r="P633" s="246"/>
      <c r="Q633" s="192" t="s">
        <v>184</v>
      </c>
      <c r="R633" s="276"/>
      <c r="S633" s="277"/>
      <c r="T633" s="276"/>
      <c r="U633" s="276"/>
      <c r="V633" s="276"/>
      <c r="W633" s="276"/>
      <c r="X633" s="277"/>
      <c r="Y633" s="194">
        <v>100000000</v>
      </c>
      <c r="Z633" s="194">
        <f>+FRIL!J895</f>
        <v>0</v>
      </c>
      <c r="AA633" s="298"/>
      <c r="AB633" s="299">
        <v>100000000</v>
      </c>
      <c r="AC633" s="299">
        <f t="shared" si="238"/>
        <v>0</v>
      </c>
      <c r="AD633" s="299">
        <f t="shared" si="244"/>
        <v>100000000</v>
      </c>
      <c r="AE633" s="299">
        <v>0</v>
      </c>
      <c r="AF633" s="299">
        <v>0</v>
      </c>
      <c r="AG633" s="299">
        <v>0</v>
      </c>
      <c r="AH633" s="299">
        <v>0</v>
      </c>
      <c r="AI633" s="299">
        <v>0</v>
      </c>
      <c r="AJ633" s="297">
        <v>0</v>
      </c>
      <c r="AK633" s="299">
        <v>0</v>
      </c>
      <c r="AL633" s="299">
        <v>0</v>
      </c>
      <c r="AM633" s="299">
        <v>0</v>
      </c>
      <c r="AN633" s="299">
        <v>0</v>
      </c>
      <c r="AO633" s="297">
        <v>0</v>
      </c>
      <c r="AP633" s="299">
        <v>0</v>
      </c>
      <c r="AQ633" s="298"/>
      <c r="AR633" s="299">
        <f t="shared" si="245"/>
        <v>0</v>
      </c>
      <c r="AS633" s="314" t="s">
        <v>185</v>
      </c>
      <c r="AT633" s="314" t="s">
        <v>83</v>
      </c>
      <c r="AU633" s="192" t="s">
        <v>138</v>
      </c>
    </row>
    <row r="634" spans="1:47" s="218" customFormat="1" ht="25.5" customHeight="1" outlineLevel="2">
      <c r="A634" s="215" t="s">
        <v>125</v>
      </c>
      <c r="B634" s="151">
        <v>33</v>
      </c>
      <c r="C634" s="151" t="s">
        <v>128</v>
      </c>
      <c r="D634" s="245" t="s">
        <v>149</v>
      </c>
      <c r="E634" s="151" t="s">
        <v>130</v>
      </c>
      <c r="F634" s="151" t="s">
        <v>140</v>
      </c>
      <c r="G634" s="151" t="s">
        <v>35</v>
      </c>
      <c r="H634" s="151" t="s">
        <v>69</v>
      </c>
      <c r="I634" s="256">
        <v>31</v>
      </c>
      <c r="J634" s="151" t="s">
        <v>83</v>
      </c>
      <c r="K634" s="176" t="s">
        <v>132</v>
      </c>
      <c r="L634" s="245" t="s">
        <v>83</v>
      </c>
      <c r="M634" s="855"/>
      <c r="N634" s="245"/>
      <c r="O634" s="245" t="s">
        <v>183</v>
      </c>
      <c r="P634" s="245"/>
      <c r="Q634" s="176" t="s">
        <v>940</v>
      </c>
      <c r="R634" s="273"/>
      <c r="S634" s="274"/>
      <c r="T634" s="273"/>
      <c r="U634" s="273"/>
      <c r="V634" s="273"/>
      <c r="W634" s="273"/>
      <c r="X634" s="274"/>
      <c r="Y634" s="275">
        <v>200000000</v>
      </c>
      <c r="Z634" s="275">
        <f>+FRIL!J896</f>
        <v>0</v>
      </c>
      <c r="AA634" s="296"/>
      <c r="AB634" s="297">
        <v>200000000</v>
      </c>
      <c r="AC634" s="297">
        <f t="shared" si="238"/>
        <v>88878654</v>
      </c>
      <c r="AD634" s="297">
        <f t="shared" si="244"/>
        <v>111121346</v>
      </c>
      <c r="AE634" s="297">
        <v>0</v>
      </c>
      <c r="AF634" s="297">
        <v>0</v>
      </c>
      <c r="AG634" s="297">
        <v>0</v>
      </c>
      <c r="AH634" s="297">
        <v>0</v>
      </c>
      <c r="AI634" s="297">
        <v>0</v>
      </c>
      <c r="AJ634" s="297">
        <v>0</v>
      </c>
      <c r="AK634" s="297">
        <v>7460516</v>
      </c>
      <c r="AL634" s="297">
        <v>0</v>
      </c>
      <c r="AM634" s="297">
        <v>29074441</v>
      </c>
      <c r="AN634" s="297">
        <v>52343697</v>
      </c>
      <c r="AO634" s="297">
        <f>+FRIL!L326</f>
        <v>0</v>
      </c>
      <c r="AP634" s="297">
        <v>0</v>
      </c>
      <c r="AQ634" s="296"/>
      <c r="AR634" s="297">
        <f t="shared" si="245"/>
        <v>0</v>
      </c>
      <c r="AS634" s="313" t="s">
        <v>185</v>
      </c>
      <c r="AT634" s="313" t="s">
        <v>83</v>
      </c>
      <c r="AU634" s="176" t="s">
        <v>138</v>
      </c>
    </row>
    <row r="635" spans="1:47" s="217" customFormat="1" ht="25.5" customHeight="1" outlineLevel="1">
      <c r="A635" s="215" t="s">
        <v>125</v>
      </c>
      <c r="B635" s="247"/>
      <c r="C635" s="247"/>
      <c r="D635" s="248"/>
      <c r="E635" s="249"/>
      <c r="F635" s="249"/>
      <c r="G635" s="249"/>
      <c r="H635" s="249"/>
      <c r="I635" s="249"/>
      <c r="J635" s="247"/>
      <c r="K635" s="259"/>
      <c r="L635" s="248"/>
      <c r="M635" s="248"/>
      <c r="N635" s="250"/>
      <c r="O635" s="250"/>
      <c r="P635" s="250"/>
      <c r="Q635" s="260" t="s">
        <v>187</v>
      </c>
      <c r="R635" s="278"/>
      <c r="S635" s="279"/>
      <c r="T635" s="279"/>
      <c r="U635" s="279"/>
      <c r="V635" s="279"/>
      <c r="W635" s="279"/>
      <c r="X635" s="281"/>
      <c r="Y635" s="286">
        <f>+Y629+Y630+Y631+Y632+Y633+Y634</f>
        <v>8966380378</v>
      </c>
      <c r="Z635" s="286">
        <f t="shared" ref="Z635:AP635" si="246">+Z629+Z630+Z631+Z632+Z633+Z634</f>
        <v>7535059128</v>
      </c>
      <c r="AA635" s="303"/>
      <c r="AB635" s="286">
        <f t="shared" si="246"/>
        <v>1084563796</v>
      </c>
      <c r="AC635" s="286">
        <f t="shared" si="238"/>
        <v>431596352</v>
      </c>
      <c r="AD635" s="286">
        <f t="shared" si="246"/>
        <v>652967444</v>
      </c>
      <c r="AE635" s="286">
        <f>+AE629+AE630+AE631+AE632+AE633+AE634</f>
        <v>0</v>
      </c>
      <c r="AF635" s="286">
        <f t="shared" si="246"/>
        <v>0</v>
      </c>
      <c r="AG635" s="286">
        <f t="shared" si="246"/>
        <v>0</v>
      </c>
      <c r="AH635" s="286">
        <f t="shared" si="246"/>
        <v>0</v>
      </c>
      <c r="AI635" s="286">
        <f t="shared" si="246"/>
        <v>0</v>
      </c>
      <c r="AJ635" s="286">
        <v>0</v>
      </c>
      <c r="AK635" s="286">
        <v>7460516</v>
      </c>
      <c r="AL635" s="286">
        <v>0</v>
      </c>
      <c r="AM635" s="286">
        <f t="shared" si="246"/>
        <v>350583800</v>
      </c>
      <c r="AN635" s="286">
        <f t="shared" si="246"/>
        <v>52343697</v>
      </c>
      <c r="AO635" s="286">
        <f t="shared" si="246"/>
        <v>2112583</v>
      </c>
      <c r="AP635" s="286">
        <f t="shared" si="246"/>
        <v>19095756</v>
      </c>
      <c r="AQ635" s="287"/>
      <c r="AR635" s="286">
        <f t="shared" si="245"/>
        <v>346757454</v>
      </c>
      <c r="AS635" s="315"/>
      <c r="AT635" s="315"/>
      <c r="AU635" s="220"/>
    </row>
    <row r="636" spans="1:47" ht="18.75" customHeight="1" outlineLevel="1">
      <c r="A636" s="215" t="s">
        <v>125</v>
      </c>
      <c r="B636" s="249"/>
      <c r="C636" s="249"/>
      <c r="D636" s="250"/>
      <c r="E636" s="249"/>
      <c r="F636" s="249"/>
      <c r="G636" s="249"/>
      <c r="H636" s="249"/>
      <c r="I636" s="249"/>
      <c r="J636" s="249"/>
      <c r="K636" s="261"/>
      <c r="L636" s="250"/>
      <c r="M636" s="250"/>
      <c r="N636" s="250"/>
      <c r="O636" s="250"/>
      <c r="P636" s="250"/>
      <c r="Q636" s="261"/>
      <c r="R636" s="283"/>
      <c r="S636" s="283"/>
      <c r="T636" s="283"/>
      <c r="U636" s="283"/>
      <c r="V636" s="283"/>
      <c r="W636" s="283"/>
      <c r="X636" s="283"/>
      <c r="Y636" s="408"/>
      <c r="Z636" s="284"/>
      <c r="AA636" s="301"/>
      <c r="AB636" s="301"/>
      <c r="AC636" s="301"/>
      <c r="AD636" s="301"/>
      <c r="AE636" s="301"/>
      <c r="AF636" s="301"/>
      <c r="AG636" s="301"/>
      <c r="AH636" s="301"/>
      <c r="AI636" s="301"/>
      <c r="AJ636" s="301"/>
      <c r="AK636" s="301"/>
      <c r="AL636" s="301"/>
      <c r="AM636" s="301"/>
      <c r="AN636" s="301"/>
      <c r="AO636" s="301"/>
      <c r="AP636" s="301"/>
      <c r="AQ636" s="301"/>
      <c r="AR636" s="301"/>
      <c r="AS636" s="316"/>
      <c r="AT636" s="316"/>
      <c r="AU636" s="317"/>
    </row>
    <row r="637" spans="1:47" s="217" customFormat="1" ht="25.5" customHeight="1" outlineLevel="1">
      <c r="A637" s="215" t="s">
        <v>125</v>
      </c>
      <c r="B637" s="247"/>
      <c r="C637" s="247"/>
      <c r="D637" s="248"/>
      <c r="E637" s="249"/>
      <c r="F637" s="249"/>
      <c r="G637" s="249"/>
      <c r="H637" s="249"/>
      <c r="I637" s="249"/>
      <c r="J637" s="247"/>
      <c r="K637" s="259"/>
      <c r="L637" s="248"/>
      <c r="M637" s="248"/>
      <c r="N637" s="250"/>
      <c r="O637" s="250"/>
      <c r="P637" s="250"/>
      <c r="Q637" s="99" t="s">
        <v>188</v>
      </c>
      <c r="R637" s="283"/>
      <c r="S637" s="283"/>
      <c r="T637" s="283"/>
      <c r="U637" s="283"/>
      <c r="V637" s="283"/>
      <c r="W637" s="283"/>
      <c r="X637" s="283"/>
      <c r="Y637" s="285"/>
      <c r="Z637" s="285"/>
      <c r="AA637" s="302"/>
      <c r="AB637" s="302"/>
      <c r="AC637" s="302"/>
      <c r="AD637" s="302"/>
      <c r="AE637" s="302"/>
      <c r="AF637" s="302"/>
      <c r="AG637" s="302"/>
      <c r="AH637" s="301"/>
      <c r="AI637" s="301"/>
      <c r="AJ637" s="301"/>
      <c r="AK637" s="301"/>
      <c r="AL637" s="301"/>
      <c r="AM637" s="301"/>
      <c r="AN637" s="301"/>
      <c r="AO637" s="301"/>
      <c r="AP637" s="301"/>
      <c r="AQ637" s="302"/>
      <c r="AR637" s="302"/>
      <c r="AS637" s="315"/>
      <c r="AT637" s="315"/>
      <c r="AU637" s="220"/>
    </row>
    <row r="638" spans="1:47" s="218" customFormat="1" ht="25.5" customHeight="1" outlineLevel="2">
      <c r="A638" s="215" t="s">
        <v>125</v>
      </c>
      <c r="B638" s="151">
        <v>22</v>
      </c>
      <c r="C638" s="151" t="s">
        <v>128</v>
      </c>
      <c r="D638" s="245" t="s">
        <v>149</v>
      </c>
      <c r="E638" s="151" t="s">
        <v>169</v>
      </c>
      <c r="F638" s="151" t="s">
        <v>140</v>
      </c>
      <c r="G638" s="151" t="s">
        <v>35</v>
      </c>
      <c r="H638" s="151" t="s">
        <v>69</v>
      </c>
      <c r="I638" s="256">
        <v>31</v>
      </c>
      <c r="J638" s="151" t="s">
        <v>80</v>
      </c>
      <c r="K638" s="176" t="s">
        <v>132</v>
      </c>
      <c r="L638" s="245">
        <v>30341678</v>
      </c>
      <c r="M638" s="855" t="s">
        <v>1609</v>
      </c>
      <c r="N638" s="245" t="e">
        <v>#N/A</v>
      </c>
      <c r="O638" s="245" t="s">
        <v>963</v>
      </c>
      <c r="P638" s="245"/>
      <c r="Q638" s="176" t="s">
        <v>964</v>
      </c>
      <c r="R638" s="273"/>
      <c r="S638" s="274"/>
      <c r="T638" s="273"/>
      <c r="U638" s="273" t="s">
        <v>965</v>
      </c>
      <c r="V638" s="273">
        <v>120000000</v>
      </c>
      <c r="W638" s="273"/>
      <c r="X638" s="274"/>
      <c r="Y638" s="275">
        <v>126058000</v>
      </c>
      <c r="Z638" s="275">
        <v>0</v>
      </c>
      <c r="AA638" s="296"/>
      <c r="AB638" s="297">
        <v>126058000</v>
      </c>
      <c r="AC638" s="297">
        <f t="shared" si="238"/>
        <v>0</v>
      </c>
      <c r="AD638" s="297">
        <f>+AB638-AC638</f>
        <v>126058000</v>
      </c>
      <c r="AE638" s="297">
        <v>0</v>
      </c>
      <c r="AF638" s="297">
        <v>0</v>
      </c>
      <c r="AG638" s="297">
        <v>0</v>
      </c>
      <c r="AH638" s="297">
        <v>0</v>
      </c>
      <c r="AI638" s="297">
        <v>0</v>
      </c>
      <c r="AJ638" s="297">
        <v>0</v>
      </c>
      <c r="AK638" s="297">
        <v>0</v>
      </c>
      <c r="AL638" s="297">
        <v>0</v>
      </c>
      <c r="AM638" s="297">
        <v>0</v>
      </c>
      <c r="AN638" s="297">
        <v>0</v>
      </c>
      <c r="AO638" s="297">
        <v>0</v>
      </c>
      <c r="AP638" s="297">
        <v>0</v>
      </c>
      <c r="AQ638" s="296"/>
      <c r="AR638" s="297">
        <f>+Y638-Z638-AC638-AD638</f>
        <v>0</v>
      </c>
      <c r="AS638" s="313" t="s">
        <v>148</v>
      </c>
      <c r="AT638" s="313" t="s">
        <v>1464</v>
      </c>
      <c r="AU638" s="176" t="s">
        <v>195</v>
      </c>
    </row>
    <row r="639" spans="1:47" s="218" customFormat="1" ht="25.5" customHeight="1" outlineLevel="2">
      <c r="A639" s="215" t="s">
        <v>125</v>
      </c>
      <c r="B639" s="151">
        <v>29</v>
      </c>
      <c r="C639" s="151" t="s">
        <v>128</v>
      </c>
      <c r="D639" s="245" t="s">
        <v>144</v>
      </c>
      <c r="E639" s="151" t="s">
        <v>130</v>
      </c>
      <c r="F639" s="151" t="s">
        <v>140</v>
      </c>
      <c r="G639" s="151" t="s">
        <v>35</v>
      </c>
      <c r="H639" s="151" t="s">
        <v>69</v>
      </c>
      <c r="I639" s="256">
        <v>31</v>
      </c>
      <c r="J639" s="151" t="s">
        <v>81</v>
      </c>
      <c r="K639" s="176" t="s">
        <v>132</v>
      </c>
      <c r="L639" s="245">
        <v>40006627</v>
      </c>
      <c r="M639" s="855"/>
      <c r="N639" s="245" t="e">
        <v>#N/A</v>
      </c>
      <c r="O639" s="245" t="s">
        <v>966</v>
      </c>
      <c r="P639" s="257" t="s">
        <v>967</v>
      </c>
      <c r="Q639" s="176" t="s">
        <v>968</v>
      </c>
      <c r="R639" s="273" t="s">
        <v>969</v>
      </c>
      <c r="S639" s="274"/>
      <c r="T639" s="273"/>
      <c r="U639" s="273" t="s">
        <v>1518</v>
      </c>
      <c r="V639" s="273">
        <v>285807000</v>
      </c>
      <c r="W639" s="273"/>
      <c r="X639" s="274"/>
      <c r="Y639" s="275">
        <v>285806507</v>
      </c>
      <c r="Z639" s="275">
        <v>0</v>
      </c>
      <c r="AA639" s="296"/>
      <c r="AB639" s="297">
        <v>285806507</v>
      </c>
      <c r="AC639" s="297">
        <f t="shared" si="238"/>
        <v>15658020</v>
      </c>
      <c r="AD639" s="297">
        <f>+AB639-AC639</f>
        <v>270148487</v>
      </c>
      <c r="AE639" s="297">
        <v>0</v>
      </c>
      <c r="AF639" s="297">
        <v>0</v>
      </c>
      <c r="AG639" s="297">
        <v>0</v>
      </c>
      <c r="AH639" s="297">
        <v>0</v>
      </c>
      <c r="AI639" s="297">
        <v>0</v>
      </c>
      <c r="AJ639" s="297">
        <v>0</v>
      </c>
      <c r="AK639" s="297">
        <v>15658020</v>
      </c>
      <c r="AL639" s="297">
        <v>0</v>
      </c>
      <c r="AM639" s="297">
        <v>0</v>
      </c>
      <c r="AN639" s="297">
        <v>0</v>
      </c>
      <c r="AO639" s="297">
        <v>0</v>
      </c>
      <c r="AP639" s="297">
        <v>0</v>
      </c>
      <c r="AQ639" s="296"/>
      <c r="AR639" s="297">
        <f>+Y639-Z639-AC639-AD639</f>
        <v>0</v>
      </c>
      <c r="AS639" s="313" t="s">
        <v>148</v>
      </c>
      <c r="AT639" s="313" t="s">
        <v>1464</v>
      </c>
      <c r="AU639" s="176" t="s">
        <v>1517</v>
      </c>
    </row>
    <row r="640" spans="1:47" s="217" customFormat="1" ht="25.5" customHeight="1" outlineLevel="1">
      <c r="A640" s="215" t="s">
        <v>125</v>
      </c>
      <c r="B640" s="247"/>
      <c r="C640" s="247"/>
      <c r="D640" s="248"/>
      <c r="E640" s="249"/>
      <c r="F640" s="249"/>
      <c r="G640" s="249"/>
      <c r="H640" s="249"/>
      <c r="I640" s="249"/>
      <c r="J640" s="247"/>
      <c r="K640" s="259"/>
      <c r="L640" s="248"/>
      <c r="M640" s="248"/>
      <c r="N640" s="250"/>
      <c r="O640" s="250"/>
      <c r="P640" s="250"/>
      <c r="Q640" s="260" t="s">
        <v>201</v>
      </c>
      <c r="R640" s="278"/>
      <c r="S640" s="279"/>
      <c r="T640" s="279"/>
      <c r="U640" s="279"/>
      <c r="V640" s="279"/>
      <c r="W640" s="279"/>
      <c r="X640" s="281"/>
      <c r="Y640" s="286">
        <f>SUM(Y638:Y639)</f>
        <v>411864507</v>
      </c>
      <c r="Z640" s="286">
        <f t="shared" ref="Z640:AP640" si="247">SUM(Z638:Z639)</f>
        <v>0</v>
      </c>
      <c r="AA640" s="303"/>
      <c r="AB640" s="286">
        <f t="shared" si="247"/>
        <v>411864507</v>
      </c>
      <c r="AC640" s="286">
        <f t="shared" si="238"/>
        <v>15658020</v>
      </c>
      <c r="AD640" s="286">
        <f>SUM(AD638:AD639)</f>
        <v>396206487</v>
      </c>
      <c r="AE640" s="286">
        <f t="shared" si="247"/>
        <v>0</v>
      </c>
      <c r="AF640" s="286">
        <f t="shared" si="247"/>
        <v>0</v>
      </c>
      <c r="AG640" s="286">
        <f t="shared" si="247"/>
        <v>0</v>
      </c>
      <c r="AH640" s="286">
        <f t="shared" si="247"/>
        <v>0</v>
      </c>
      <c r="AI640" s="286">
        <f t="shared" si="247"/>
        <v>0</v>
      </c>
      <c r="AJ640" s="286">
        <v>0</v>
      </c>
      <c r="AK640" s="286">
        <v>15658020</v>
      </c>
      <c r="AL640" s="286">
        <v>0</v>
      </c>
      <c r="AM640" s="286">
        <f t="shared" si="247"/>
        <v>0</v>
      </c>
      <c r="AN640" s="286">
        <f t="shared" si="247"/>
        <v>0</v>
      </c>
      <c r="AO640" s="286">
        <f t="shared" si="247"/>
        <v>0</v>
      </c>
      <c r="AP640" s="286">
        <f t="shared" si="247"/>
        <v>0</v>
      </c>
      <c r="AQ640" s="287"/>
      <c r="AR640" s="286">
        <f>+Y640-Z640-AC640-AD640</f>
        <v>0</v>
      </c>
      <c r="AS640" s="315"/>
      <c r="AT640" s="315"/>
      <c r="AU640" s="220"/>
    </row>
    <row r="641" spans="1:47" ht="18.75" customHeight="1" outlineLevel="1">
      <c r="A641" s="215" t="s">
        <v>125</v>
      </c>
      <c r="B641" s="249"/>
      <c r="C641" s="249"/>
      <c r="D641" s="250"/>
      <c r="E641" s="249"/>
      <c r="F641" s="249"/>
      <c r="G641" s="249"/>
      <c r="H641" s="249"/>
      <c r="I641" s="249"/>
      <c r="J641" s="249"/>
      <c r="K641" s="261"/>
      <c r="L641" s="250"/>
      <c r="M641" s="250"/>
      <c r="N641" s="250"/>
      <c r="O641" s="250"/>
      <c r="P641" s="250"/>
      <c r="Q641" s="261"/>
      <c r="R641" s="283"/>
      <c r="S641" s="283"/>
      <c r="T641" s="283"/>
      <c r="U641" s="283"/>
      <c r="V641" s="283"/>
      <c r="W641" s="283"/>
      <c r="X641" s="283"/>
      <c r="Y641" s="284"/>
      <c r="Z641" s="284"/>
      <c r="AA641" s="301"/>
      <c r="AB641" s="301"/>
      <c r="AC641" s="301"/>
      <c r="AD641" s="301"/>
      <c r="AE641" s="301"/>
      <c r="AF641" s="301"/>
      <c r="AG641" s="301"/>
      <c r="AH641" s="301"/>
      <c r="AI641" s="301"/>
      <c r="AJ641" s="301"/>
      <c r="AK641" s="301"/>
      <c r="AL641" s="301"/>
      <c r="AM641" s="301"/>
      <c r="AN641" s="301"/>
      <c r="AO641" s="301"/>
      <c r="AP641" s="301"/>
      <c r="AQ641" s="301"/>
      <c r="AR641" s="301"/>
      <c r="AS641" s="316"/>
      <c r="AT641" s="316"/>
      <c r="AU641" s="317"/>
    </row>
    <row r="642" spans="1:47" s="219" customFormat="1" ht="24.75" customHeight="1" outlineLevel="1">
      <c r="A642" s="215" t="s">
        <v>125</v>
      </c>
      <c r="B642" s="251"/>
      <c r="C642" s="249"/>
      <c r="D642" s="250"/>
      <c r="E642" s="249"/>
      <c r="F642" s="249"/>
      <c r="G642" s="249"/>
      <c r="H642" s="249"/>
      <c r="I642" s="249"/>
      <c r="J642" s="251"/>
      <c r="K642" s="263"/>
      <c r="L642" s="252"/>
      <c r="M642" s="252"/>
      <c r="N642" s="252"/>
      <c r="O642" s="252"/>
      <c r="P642" s="252"/>
      <c r="Q642" s="117" t="s">
        <v>970</v>
      </c>
      <c r="R642" s="288"/>
      <c r="S642" s="289"/>
      <c r="T642" s="289"/>
      <c r="U642" s="289"/>
      <c r="V642" s="289"/>
      <c r="W642" s="289"/>
      <c r="X642" s="290"/>
      <c r="Y642" s="118">
        <f>+Y635+Y640</f>
        <v>9378244885</v>
      </c>
      <c r="Z642" s="118">
        <f>+Z635+Z640</f>
        <v>7535059128</v>
      </c>
      <c r="AA642" s="304"/>
      <c r="AB642" s="118">
        <f t="shared" ref="AB642:AD642" si="248">+AB635+AB640</f>
        <v>1496428303</v>
      </c>
      <c r="AC642" s="118">
        <f t="shared" si="248"/>
        <v>447254372</v>
      </c>
      <c r="AD642" s="118">
        <f t="shared" si="248"/>
        <v>1049173931</v>
      </c>
      <c r="AE642" s="118">
        <f>+AE635+AE640</f>
        <v>0</v>
      </c>
      <c r="AF642" s="118">
        <f t="shared" ref="AF642:AP642" si="249">+AF635+AF640</f>
        <v>0</v>
      </c>
      <c r="AG642" s="118">
        <f t="shared" si="249"/>
        <v>0</v>
      </c>
      <c r="AH642" s="118">
        <f t="shared" si="249"/>
        <v>0</v>
      </c>
      <c r="AI642" s="118">
        <f t="shared" si="249"/>
        <v>0</v>
      </c>
      <c r="AJ642" s="118">
        <v>0</v>
      </c>
      <c r="AK642" s="118">
        <f t="shared" si="249"/>
        <v>23118536</v>
      </c>
      <c r="AL642" s="118">
        <f t="shared" si="249"/>
        <v>0</v>
      </c>
      <c r="AM642" s="118">
        <f t="shared" si="249"/>
        <v>350583800</v>
      </c>
      <c r="AN642" s="118">
        <f t="shared" si="249"/>
        <v>52343697</v>
      </c>
      <c r="AO642" s="118">
        <f t="shared" si="249"/>
        <v>2112583</v>
      </c>
      <c r="AP642" s="118">
        <f t="shared" si="249"/>
        <v>19095756</v>
      </c>
      <c r="AQ642" s="318"/>
      <c r="AR642" s="118">
        <f>+Y642-Z642-AC642-AD642</f>
        <v>346757454</v>
      </c>
      <c r="AS642" s="333"/>
      <c r="AT642" s="333"/>
      <c r="AU642" s="320"/>
    </row>
    <row r="643" spans="1:47" ht="18.75" customHeight="1" outlineLevel="1">
      <c r="A643" s="215" t="s">
        <v>125</v>
      </c>
      <c r="B643" s="249"/>
      <c r="C643" s="249"/>
      <c r="D643" s="250"/>
      <c r="E643" s="249"/>
      <c r="F643" s="249"/>
      <c r="G643" s="249"/>
      <c r="H643" s="249"/>
      <c r="I643" s="249"/>
      <c r="J643" s="249"/>
      <c r="K643" s="261"/>
      <c r="L643" s="250"/>
      <c r="M643" s="250"/>
      <c r="N643" s="250"/>
      <c r="O643" s="250"/>
      <c r="P643" s="250"/>
      <c r="Q643" s="261"/>
      <c r="R643" s="283"/>
      <c r="S643" s="283"/>
      <c r="T643" s="283"/>
      <c r="U643" s="283"/>
      <c r="V643" s="283"/>
      <c r="W643" s="283"/>
      <c r="X643" s="283"/>
      <c r="Y643" s="284"/>
      <c r="Z643" s="284"/>
      <c r="AA643" s="301"/>
      <c r="AB643" s="301"/>
      <c r="AC643" s="301"/>
      <c r="AD643" s="301"/>
      <c r="AE643" s="301"/>
      <c r="AF643" s="301"/>
      <c r="AG643" s="301"/>
      <c r="AH643" s="301"/>
      <c r="AI643" s="301"/>
      <c r="AJ643" s="301"/>
      <c r="AK643" s="301"/>
      <c r="AL643" s="301"/>
      <c r="AM643" s="301"/>
      <c r="AN643" s="301"/>
      <c r="AO643" s="301"/>
      <c r="AP643" s="301"/>
      <c r="AQ643" s="301"/>
      <c r="AR643" s="301"/>
      <c r="AS643" s="316"/>
      <c r="AT643" s="316"/>
      <c r="AU643" s="317"/>
    </row>
    <row r="644" spans="1:47" ht="26.25" customHeight="1" outlineLevel="1">
      <c r="A644" s="215" t="s">
        <v>125</v>
      </c>
      <c r="B644" s="249"/>
      <c r="C644" s="249"/>
      <c r="D644" s="250"/>
      <c r="E644" s="249"/>
      <c r="F644" s="249"/>
      <c r="G644" s="249"/>
      <c r="H644" s="249"/>
      <c r="I644" s="249"/>
      <c r="J644" s="249"/>
      <c r="K644" s="261"/>
      <c r="L644" s="250"/>
      <c r="M644" s="250"/>
      <c r="N644" s="250"/>
      <c r="O644" s="250"/>
      <c r="P644" s="250"/>
      <c r="Q644" s="264" t="s">
        <v>971</v>
      </c>
      <c r="R644" s="283"/>
      <c r="S644" s="283"/>
      <c r="T644" s="283"/>
      <c r="U644" s="283"/>
      <c r="V644" s="283"/>
      <c r="W644" s="283"/>
      <c r="X644" s="283"/>
      <c r="Y644" s="284"/>
      <c r="Z644" s="284"/>
      <c r="AA644" s="301"/>
      <c r="AB644" s="301"/>
      <c r="AC644" s="301"/>
      <c r="AD644" s="301"/>
      <c r="AE644" s="301"/>
      <c r="AF644" s="301"/>
      <c r="AG644" s="301"/>
      <c r="AH644" s="301"/>
      <c r="AI644" s="301"/>
      <c r="AJ644" s="301"/>
      <c r="AK644" s="301"/>
      <c r="AL644" s="301"/>
      <c r="AM644" s="301"/>
      <c r="AN644" s="301"/>
      <c r="AO644" s="301"/>
      <c r="AP644" s="301"/>
      <c r="AQ644" s="301"/>
      <c r="AR644" s="301"/>
      <c r="AS644" s="316"/>
      <c r="AT644" s="316"/>
      <c r="AU644" s="317"/>
    </row>
    <row r="645" spans="1:47" s="216" customFormat="1" ht="15" customHeight="1" outlineLevel="1">
      <c r="A645" s="215" t="s">
        <v>125</v>
      </c>
      <c r="B645" s="249"/>
      <c r="C645" s="249"/>
      <c r="D645" s="250"/>
      <c r="E645" s="249"/>
      <c r="F645" s="249"/>
      <c r="G645" s="249"/>
      <c r="H645" s="249"/>
      <c r="I645" s="249"/>
      <c r="J645" s="249"/>
      <c r="K645" s="261"/>
      <c r="L645" s="250"/>
      <c r="M645" s="250"/>
      <c r="N645" s="250"/>
      <c r="O645" s="250"/>
      <c r="P645" s="250"/>
      <c r="Q645" s="255"/>
      <c r="R645" s="283"/>
      <c r="S645" s="283"/>
      <c r="T645" s="283"/>
      <c r="U645" s="283"/>
      <c r="V645" s="283"/>
      <c r="W645" s="283"/>
      <c r="X645" s="283"/>
      <c r="Y645" s="284"/>
      <c r="Z645" s="284"/>
      <c r="AA645" s="301"/>
      <c r="AB645" s="301"/>
      <c r="AC645" s="301"/>
      <c r="AD645" s="301"/>
      <c r="AE645" s="301"/>
      <c r="AF645" s="301"/>
      <c r="AG645" s="301"/>
      <c r="AH645" s="301"/>
      <c r="AI645" s="301"/>
      <c r="AJ645" s="301"/>
      <c r="AK645" s="301"/>
      <c r="AL645" s="301"/>
      <c r="AM645" s="301"/>
      <c r="AN645" s="301"/>
      <c r="AO645" s="301"/>
      <c r="AP645" s="301"/>
      <c r="AQ645" s="301"/>
      <c r="AR645" s="301"/>
      <c r="AS645" s="316"/>
      <c r="AT645" s="316"/>
      <c r="AU645" s="317"/>
    </row>
    <row r="646" spans="1:47" s="217" customFormat="1" ht="25.5" customHeight="1" outlineLevel="1">
      <c r="A646" s="215" t="s">
        <v>125</v>
      </c>
      <c r="B646" s="247"/>
      <c r="C646" s="247"/>
      <c r="D646" s="248"/>
      <c r="E646" s="249"/>
      <c r="F646" s="249"/>
      <c r="G646" s="249"/>
      <c r="H646" s="249"/>
      <c r="I646" s="249"/>
      <c r="J646" s="247"/>
      <c r="K646" s="259"/>
      <c r="L646" s="248"/>
      <c r="M646" s="248"/>
      <c r="N646" s="250"/>
      <c r="O646" s="250"/>
      <c r="P646" s="250"/>
      <c r="Q646" s="99" t="s">
        <v>127</v>
      </c>
      <c r="R646" s="283"/>
      <c r="S646" s="283"/>
      <c r="T646" s="283"/>
      <c r="U646" s="283"/>
      <c r="V646" s="283"/>
      <c r="W646" s="283"/>
      <c r="X646" s="283"/>
      <c r="Y646" s="285"/>
      <c r="Z646" s="285"/>
      <c r="AA646" s="302"/>
      <c r="AB646" s="302"/>
      <c r="AC646" s="302"/>
      <c r="AD646" s="302"/>
      <c r="AE646" s="302"/>
      <c r="AF646" s="302"/>
      <c r="AG646" s="302"/>
      <c r="AH646" s="301"/>
      <c r="AI646" s="301"/>
      <c r="AJ646" s="301"/>
      <c r="AK646" s="301"/>
      <c r="AL646" s="301"/>
      <c r="AM646" s="301"/>
      <c r="AN646" s="301"/>
      <c r="AO646" s="301"/>
      <c r="AP646" s="301"/>
      <c r="AQ646" s="302"/>
      <c r="AR646" s="302"/>
      <c r="AS646" s="315"/>
      <c r="AT646" s="315"/>
      <c r="AU646" s="220"/>
    </row>
    <row r="647" spans="1:47" s="218" customFormat="1" ht="25.5" customHeight="1" outlineLevel="2">
      <c r="A647" s="215" t="s">
        <v>125</v>
      </c>
      <c r="B647" s="151">
        <v>31</v>
      </c>
      <c r="C647" s="151" t="s">
        <v>128</v>
      </c>
      <c r="D647" s="245" t="s">
        <v>164</v>
      </c>
      <c r="E647" s="151" t="s">
        <v>169</v>
      </c>
      <c r="F647" s="151" t="s">
        <v>140</v>
      </c>
      <c r="G647" s="151" t="s">
        <v>35</v>
      </c>
      <c r="H647" s="151" t="s">
        <v>70</v>
      </c>
      <c r="I647" s="256">
        <v>32</v>
      </c>
      <c r="J647" s="151" t="s">
        <v>82</v>
      </c>
      <c r="K647" s="176" t="s">
        <v>132</v>
      </c>
      <c r="L647" s="245">
        <v>30311722</v>
      </c>
      <c r="M647" s="855" t="s">
        <v>164</v>
      </c>
      <c r="N647" s="245" t="s">
        <v>953</v>
      </c>
      <c r="O647" s="245" t="s">
        <v>972</v>
      </c>
      <c r="P647" s="245"/>
      <c r="Q647" s="176" t="s">
        <v>973</v>
      </c>
      <c r="R647" s="273" t="s">
        <v>974</v>
      </c>
      <c r="S647" s="274"/>
      <c r="T647" s="273"/>
      <c r="U647" s="273"/>
      <c r="V647" s="273"/>
      <c r="W647" s="273"/>
      <c r="X647" s="274"/>
      <c r="Y647" s="275">
        <v>576755000</v>
      </c>
      <c r="Z647" s="275">
        <v>93181304</v>
      </c>
      <c r="AA647" s="296"/>
      <c r="AB647" s="297">
        <f>+Y647-Z647</f>
        <v>483573696</v>
      </c>
      <c r="AC647" s="297">
        <f t="shared" si="238"/>
        <v>260868687</v>
      </c>
      <c r="AD647" s="297">
        <f t="shared" ref="AD647:AD652" si="250">+AB647-AC647</f>
        <v>222705009</v>
      </c>
      <c r="AE647" s="297">
        <v>0</v>
      </c>
      <c r="AF647" s="297">
        <v>0</v>
      </c>
      <c r="AG647" s="297">
        <v>0</v>
      </c>
      <c r="AH647" s="297">
        <v>0</v>
      </c>
      <c r="AI647" s="297">
        <v>0</v>
      </c>
      <c r="AJ647" s="297">
        <v>110119883</v>
      </c>
      <c r="AK647" s="297">
        <v>0</v>
      </c>
      <c r="AL647" s="297">
        <v>50599291</v>
      </c>
      <c r="AM647" s="297">
        <v>36014549</v>
      </c>
      <c r="AN647" s="297">
        <v>55602939</v>
      </c>
      <c r="AO647" s="297">
        <v>8532025</v>
      </c>
      <c r="AP647" s="297">
        <v>0</v>
      </c>
      <c r="AQ647" s="296"/>
      <c r="AR647" s="297">
        <f t="shared" ref="AR647:AR653" si="251">+Y647-Z647-AC647-AD647</f>
        <v>0</v>
      </c>
      <c r="AS647" s="313" t="s">
        <v>137</v>
      </c>
      <c r="AT647" s="313" t="s">
        <v>137</v>
      </c>
      <c r="AU647" s="176" t="s">
        <v>138</v>
      </c>
    </row>
    <row r="648" spans="1:47" s="218" customFormat="1" ht="25.5" customHeight="1" outlineLevel="2">
      <c r="A648" s="215" t="s">
        <v>125</v>
      </c>
      <c r="B648" s="151">
        <v>31</v>
      </c>
      <c r="C648" s="151" t="s">
        <v>128</v>
      </c>
      <c r="D648" s="245" t="s">
        <v>139</v>
      </c>
      <c r="E648" s="151" t="s">
        <v>169</v>
      </c>
      <c r="F648" s="151" t="s">
        <v>140</v>
      </c>
      <c r="G648" s="151" t="s">
        <v>35</v>
      </c>
      <c r="H648" s="151" t="s">
        <v>70</v>
      </c>
      <c r="I648" s="256">
        <v>32</v>
      </c>
      <c r="J648" s="151" t="s">
        <v>80</v>
      </c>
      <c r="K648" s="176" t="s">
        <v>132</v>
      </c>
      <c r="L648" s="245">
        <v>30277425</v>
      </c>
      <c r="M648" s="855" t="s">
        <v>1609</v>
      </c>
      <c r="N648" s="245" t="s">
        <v>953</v>
      </c>
      <c r="O648" s="245" t="s">
        <v>975</v>
      </c>
      <c r="P648" s="245"/>
      <c r="Q648" s="176" t="s">
        <v>976</v>
      </c>
      <c r="R648" s="273"/>
      <c r="S648" s="274"/>
      <c r="T648" s="273"/>
      <c r="U648" s="273"/>
      <c r="V648" s="273"/>
      <c r="W648" s="273"/>
      <c r="X648" s="274"/>
      <c r="Y648" s="275">
        <v>231709000</v>
      </c>
      <c r="Z648" s="275">
        <v>217737229</v>
      </c>
      <c r="AA648" s="296"/>
      <c r="AB648" s="297">
        <v>7243423</v>
      </c>
      <c r="AC648" s="297">
        <f t="shared" si="238"/>
        <v>0</v>
      </c>
      <c r="AD648" s="297">
        <f t="shared" si="250"/>
        <v>7243423</v>
      </c>
      <c r="AE648" s="297">
        <v>0</v>
      </c>
      <c r="AF648" s="297">
        <v>0</v>
      </c>
      <c r="AG648" s="297">
        <v>0</v>
      </c>
      <c r="AH648" s="297">
        <v>0</v>
      </c>
      <c r="AI648" s="297">
        <v>0</v>
      </c>
      <c r="AJ648" s="297">
        <v>0</v>
      </c>
      <c r="AK648" s="297">
        <v>0</v>
      </c>
      <c r="AL648" s="297">
        <v>0</v>
      </c>
      <c r="AM648" s="297">
        <v>0</v>
      </c>
      <c r="AN648" s="297">
        <v>0</v>
      </c>
      <c r="AO648" s="297">
        <v>0</v>
      </c>
      <c r="AP648" s="297">
        <v>0</v>
      </c>
      <c r="AQ648" s="296"/>
      <c r="AR648" s="297">
        <f t="shared" si="251"/>
        <v>6728348</v>
      </c>
      <c r="AS648" s="313" t="s">
        <v>148</v>
      </c>
      <c r="AT648" s="313" t="s">
        <v>1464</v>
      </c>
      <c r="AU648" s="176" t="s">
        <v>138</v>
      </c>
    </row>
    <row r="649" spans="1:47" s="218" customFormat="1" ht="25.5" customHeight="1" outlineLevel="2">
      <c r="A649" s="215" t="s">
        <v>125</v>
      </c>
      <c r="B649" s="151">
        <v>31</v>
      </c>
      <c r="C649" s="151" t="s">
        <v>128</v>
      </c>
      <c r="D649" s="245" t="s">
        <v>129</v>
      </c>
      <c r="E649" s="151" t="s">
        <v>169</v>
      </c>
      <c r="F649" s="151" t="s">
        <v>131</v>
      </c>
      <c r="G649" s="151" t="s">
        <v>35</v>
      </c>
      <c r="H649" s="151" t="s">
        <v>70</v>
      </c>
      <c r="I649" s="256">
        <v>32</v>
      </c>
      <c r="J649" s="151" t="s">
        <v>81</v>
      </c>
      <c r="K649" s="176" t="s">
        <v>132</v>
      </c>
      <c r="L649" s="245">
        <v>30471092</v>
      </c>
      <c r="M649" s="855"/>
      <c r="N649" s="245" t="e">
        <v>#N/A</v>
      </c>
      <c r="O649" s="245" t="s">
        <v>977</v>
      </c>
      <c r="P649" s="245"/>
      <c r="Q649" s="176" t="s">
        <v>978</v>
      </c>
      <c r="R649" s="273" t="s">
        <v>979</v>
      </c>
      <c r="S649" s="274"/>
      <c r="T649" s="273"/>
      <c r="U649" s="273"/>
      <c r="V649" s="273"/>
      <c r="W649" s="273"/>
      <c r="X649" s="274"/>
      <c r="Y649" s="275">
        <v>364878000</v>
      </c>
      <c r="Z649" s="275">
        <v>60000000</v>
      </c>
      <c r="AA649" s="296"/>
      <c r="AB649" s="297">
        <f>214878000+77673048</f>
        <v>292551048</v>
      </c>
      <c r="AC649" s="297">
        <f t="shared" si="238"/>
        <v>292551048</v>
      </c>
      <c r="AD649" s="297">
        <f t="shared" si="250"/>
        <v>0</v>
      </c>
      <c r="AE649" s="297">
        <v>0</v>
      </c>
      <c r="AF649" s="297">
        <v>0</v>
      </c>
      <c r="AG649" s="297">
        <v>0</v>
      </c>
      <c r="AH649" s="297">
        <v>0</v>
      </c>
      <c r="AI649" s="297">
        <v>0</v>
      </c>
      <c r="AJ649" s="297">
        <v>0</v>
      </c>
      <c r="AK649" s="297">
        <v>224567831</v>
      </c>
      <c r="AL649" s="297">
        <v>0</v>
      </c>
      <c r="AM649" s="297">
        <v>0</v>
      </c>
      <c r="AN649" s="297">
        <v>0</v>
      </c>
      <c r="AO649" s="297">
        <v>67983217</v>
      </c>
      <c r="AP649" s="297">
        <v>0</v>
      </c>
      <c r="AQ649" s="296"/>
      <c r="AR649" s="297">
        <f t="shared" si="251"/>
        <v>12326952</v>
      </c>
      <c r="AS649" s="313" t="s">
        <v>148</v>
      </c>
      <c r="AT649" s="313" t="s">
        <v>1464</v>
      </c>
      <c r="AU649" s="176" t="s">
        <v>138</v>
      </c>
    </row>
    <row r="650" spans="1:47" s="218" customFormat="1" ht="25.5" customHeight="1" outlineLevel="2">
      <c r="A650" s="215" t="s">
        <v>125</v>
      </c>
      <c r="B650" s="191">
        <v>33</v>
      </c>
      <c r="C650" s="191" t="s">
        <v>128</v>
      </c>
      <c r="D650" s="246" t="s">
        <v>149</v>
      </c>
      <c r="E650" s="191" t="s">
        <v>130</v>
      </c>
      <c r="F650" s="191" t="s">
        <v>140</v>
      </c>
      <c r="G650" s="191" t="s">
        <v>35</v>
      </c>
      <c r="H650" s="191" t="s">
        <v>70</v>
      </c>
      <c r="I650" s="258">
        <v>32</v>
      </c>
      <c r="J650" s="191" t="s">
        <v>83</v>
      </c>
      <c r="K650" s="192" t="s">
        <v>132</v>
      </c>
      <c r="L650" s="246" t="s">
        <v>83</v>
      </c>
      <c r="M650" s="861" t="s">
        <v>1604</v>
      </c>
      <c r="N650" s="246"/>
      <c r="O650" s="245" t="s">
        <v>183</v>
      </c>
      <c r="P650" s="246"/>
      <c r="Q650" s="192" t="s">
        <v>184</v>
      </c>
      <c r="R650" s="276"/>
      <c r="S650" s="277"/>
      <c r="T650" s="276"/>
      <c r="U650" s="276"/>
      <c r="V650" s="276"/>
      <c r="W650" s="276"/>
      <c r="X650" s="277"/>
      <c r="Y650" s="194">
        <v>100000000</v>
      </c>
      <c r="Z650" s="194">
        <f>+FRIL!J917</f>
        <v>0</v>
      </c>
      <c r="AA650" s="298"/>
      <c r="AB650" s="299">
        <v>100000000</v>
      </c>
      <c r="AC650" s="299">
        <f t="shared" si="238"/>
        <v>0</v>
      </c>
      <c r="AD650" s="299">
        <f t="shared" si="250"/>
        <v>100000000</v>
      </c>
      <c r="AE650" s="299">
        <v>0</v>
      </c>
      <c r="AF650" s="299">
        <v>0</v>
      </c>
      <c r="AG650" s="299">
        <v>0</v>
      </c>
      <c r="AH650" s="299">
        <v>0</v>
      </c>
      <c r="AI650" s="299">
        <v>0</v>
      </c>
      <c r="AJ650" s="297">
        <v>0</v>
      </c>
      <c r="AK650" s="299">
        <v>0</v>
      </c>
      <c r="AL650" s="299">
        <v>0</v>
      </c>
      <c r="AM650" s="299">
        <v>0</v>
      </c>
      <c r="AN650" s="299">
        <v>0</v>
      </c>
      <c r="AO650" s="297">
        <v>0</v>
      </c>
      <c r="AP650" s="299">
        <v>0</v>
      </c>
      <c r="AQ650" s="298"/>
      <c r="AR650" s="299">
        <f t="shared" si="251"/>
        <v>0</v>
      </c>
      <c r="AS650" s="314" t="s">
        <v>185</v>
      </c>
      <c r="AT650" s="314" t="s">
        <v>83</v>
      </c>
      <c r="AU650" s="192" t="s">
        <v>138</v>
      </c>
    </row>
    <row r="651" spans="1:47" s="218" customFormat="1" ht="25.5" customHeight="1" outlineLevel="2">
      <c r="A651" s="215" t="s">
        <v>125</v>
      </c>
      <c r="B651" s="151">
        <v>33</v>
      </c>
      <c r="C651" s="151" t="s">
        <v>128</v>
      </c>
      <c r="D651" s="245" t="s">
        <v>149</v>
      </c>
      <c r="E651" s="151" t="s">
        <v>130</v>
      </c>
      <c r="F651" s="151" t="s">
        <v>140</v>
      </c>
      <c r="G651" s="151" t="s">
        <v>35</v>
      </c>
      <c r="H651" s="151" t="s">
        <v>70</v>
      </c>
      <c r="I651" s="256">
        <v>32</v>
      </c>
      <c r="J651" s="151" t="s">
        <v>83</v>
      </c>
      <c r="K651" s="176" t="s">
        <v>132</v>
      </c>
      <c r="L651" s="245" t="s">
        <v>83</v>
      </c>
      <c r="M651" s="855"/>
      <c r="N651" s="245"/>
      <c r="O651" s="245" t="s">
        <v>183</v>
      </c>
      <c r="P651" s="245"/>
      <c r="Q651" s="176" t="s">
        <v>940</v>
      </c>
      <c r="R651" s="273"/>
      <c r="S651" s="274"/>
      <c r="T651" s="273"/>
      <c r="U651" s="273"/>
      <c r="V651" s="273"/>
      <c r="W651" s="273"/>
      <c r="X651" s="274"/>
      <c r="Y651" s="275">
        <v>200000000</v>
      </c>
      <c r="Z651" s="275">
        <f>+FRIL!J918</f>
        <v>0</v>
      </c>
      <c r="AA651" s="296"/>
      <c r="AB651" s="297">
        <v>200000000</v>
      </c>
      <c r="AC651" s="297">
        <f t="shared" si="238"/>
        <v>160906939</v>
      </c>
      <c r="AD651" s="297">
        <f t="shared" si="250"/>
        <v>39093061</v>
      </c>
      <c r="AE651" s="297">
        <v>0</v>
      </c>
      <c r="AF651" s="297">
        <v>0</v>
      </c>
      <c r="AG651" s="297">
        <v>0</v>
      </c>
      <c r="AH651" s="297">
        <v>0</v>
      </c>
      <c r="AI651" s="297">
        <v>0</v>
      </c>
      <c r="AJ651" s="297">
        <v>4685187</v>
      </c>
      <c r="AK651" s="297">
        <v>33276208</v>
      </c>
      <c r="AL651" s="297">
        <v>0</v>
      </c>
      <c r="AM651" s="297">
        <v>69112102</v>
      </c>
      <c r="AN651" s="297">
        <v>0</v>
      </c>
      <c r="AO651" s="297">
        <f>+FRIL!L335</f>
        <v>53833442</v>
      </c>
      <c r="AP651" s="297">
        <v>0</v>
      </c>
      <c r="AQ651" s="296"/>
      <c r="AR651" s="297">
        <f t="shared" si="251"/>
        <v>0</v>
      </c>
      <c r="AS651" s="313" t="s">
        <v>185</v>
      </c>
      <c r="AT651" s="313" t="s">
        <v>83</v>
      </c>
      <c r="AU651" s="176" t="s">
        <v>138</v>
      </c>
    </row>
    <row r="652" spans="1:47" s="218" customFormat="1" ht="25.5" customHeight="1" outlineLevel="2">
      <c r="A652" s="215" t="s">
        <v>125</v>
      </c>
      <c r="B652" s="151">
        <v>31</v>
      </c>
      <c r="C652" s="151" t="s">
        <v>128</v>
      </c>
      <c r="D652" s="245" t="s">
        <v>164</v>
      </c>
      <c r="E652" s="151" t="s">
        <v>169</v>
      </c>
      <c r="F652" s="151" t="s">
        <v>140</v>
      </c>
      <c r="G652" s="151" t="s">
        <v>35</v>
      </c>
      <c r="H652" s="151" t="s">
        <v>70</v>
      </c>
      <c r="I652" s="256">
        <v>32</v>
      </c>
      <c r="J652" s="151" t="s">
        <v>80</v>
      </c>
      <c r="K652" s="176" t="s">
        <v>132</v>
      </c>
      <c r="L652" s="245">
        <v>30455973</v>
      </c>
      <c r="M652" s="855"/>
      <c r="N652" s="245" t="e">
        <v>#N/A</v>
      </c>
      <c r="O652" s="245" t="s">
        <v>980</v>
      </c>
      <c r="P652" s="245"/>
      <c r="Q652" s="176" t="s">
        <v>981</v>
      </c>
      <c r="R652" s="273"/>
      <c r="S652" s="274"/>
      <c r="T652" s="273"/>
      <c r="U652" s="273"/>
      <c r="V652" s="273"/>
      <c r="W652" s="273"/>
      <c r="X652" s="274"/>
      <c r="Y652" s="275">
        <v>90272885</v>
      </c>
      <c r="Z652" s="275">
        <v>73838905</v>
      </c>
      <c r="AA652" s="296"/>
      <c r="AB652" s="297">
        <v>16433980</v>
      </c>
      <c r="AC652" s="297">
        <f t="shared" si="238"/>
        <v>0</v>
      </c>
      <c r="AD652" s="297">
        <f t="shared" si="250"/>
        <v>16433980</v>
      </c>
      <c r="AE652" s="297">
        <v>0</v>
      </c>
      <c r="AF652" s="297">
        <v>0</v>
      </c>
      <c r="AG652" s="297">
        <v>0</v>
      </c>
      <c r="AH652" s="297">
        <v>0</v>
      </c>
      <c r="AI652" s="297">
        <v>0</v>
      </c>
      <c r="AJ652" s="297">
        <v>0</v>
      </c>
      <c r="AK652" s="297">
        <v>0</v>
      </c>
      <c r="AL652" s="297">
        <v>0</v>
      </c>
      <c r="AM652" s="297">
        <v>0</v>
      </c>
      <c r="AN652" s="297">
        <v>0</v>
      </c>
      <c r="AO652" s="297">
        <v>0</v>
      </c>
      <c r="AP652" s="297">
        <v>0</v>
      </c>
      <c r="AQ652" s="296"/>
      <c r="AR652" s="297">
        <f t="shared" si="251"/>
        <v>0</v>
      </c>
      <c r="AS652" s="313" t="s">
        <v>137</v>
      </c>
      <c r="AT652" s="313" t="s">
        <v>137</v>
      </c>
      <c r="AU652" s="176" t="s">
        <v>214</v>
      </c>
    </row>
    <row r="653" spans="1:47" s="217" customFormat="1" ht="25.5" customHeight="1" outlineLevel="1">
      <c r="A653" s="215" t="s">
        <v>125</v>
      </c>
      <c r="B653" s="247"/>
      <c r="C653" s="247"/>
      <c r="D653" s="248"/>
      <c r="E653" s="249"/>
      <c r="F653" s="249"/>
      <c r="G653" s="249"/>
      <c r="H653" s="249"/>
      <c r="I653" s="249"/>
      <c r="J653" s="247"/>
      <c r="K653" s="259"/>
      <c r="L653" s="248"/>
      <c r="M653" s="248"/>
      <c r="N653" s="250"/>
      <c r="O653" s="250"/>
      <c r="P653" s="250"/>
      <c r="Q653" s="260" t="s">
        <v>187</v>
      </c>
      <c r="R653" s="278"/>
      <c r="S653" s="279"/>
      <c r="T653" s="279"/>
      <c r="U653" s="279"/>
      <c r="V653" s="279"/>
      <c r="W653" s="279"/>
      <c r="X653" s="281"/>
      <c r="Y653" s="286">
        <f>+Y647+Y648+Y649+Y650+Y651+Y652</f>
        <v>1563614885</v>
      </c>
      <c r="Z653" s="286">
        <f t="shared" ref="Z653:AP653" si="252">+Z647+Z648+Z649+Z650+Z651+Z652</f>
        <v>444757438</v>
      </c>
      <c r="AA653" s="303"/>
      <c r="AB653" s="286">
        <f t="shared" si="252"/>
        <v>1099802147</v>
      </c>
      <c r="AC653" s="286">
        <f t="shared" si="238"/>
        <v>714326674</v>
      </c>
      <c r="AD653" s="286">
        <f t="shared" si="252"/>
        <v>385475473</v>
      </c>
      <c r="AE653" s="286">
        <f t="shared" si="252"/>
        <v>0</v>
      </c>
      <c r="AF653" s="286">
        <f t="shared" si="252"/>
        <v>0</v>
      </c>
      <c r="AG653" s="286">
        <f t="shared" si="252"/>
        <v>0</v>
      </c>
      <c r="AH653" s="286">
        <f t="shared" si="252"/>
        <v>0</v>
      </c>
      <c r="AI653" s="286">
        <f t="shared" si="252"/>
        <v>0</v>
      </c>
      <c r="AJ653" s="286">
        <v>114805070</v>
      </c>
      <c r="AK653" s="286">
        <v>257844039</v>
      </c>
      <c r="AL653" s="286">
        <v>50599291</v>
      </c>
      <c r="AM653" s="286">
        <f t="shared" si="252"/>
        <v>105126651</v>
      </c>
      <c r="AN653" s="286">
        <f t="shared" si="252"/>
        <v>55602939</v>
      </c>
      <c r="AO653" s="286">
        <f t="shared" si="252"/>
        <v>130348684</v>
      </c>
      <c r="AP653" s="286">
        <f t="shared" si="252"/>
        <v>0</v>
      </c>
      <c r="AQ653" s="287"/>
      <c r="AR653" s="394">
        <f t="shared" si="251"/>
        <v>19055300</v>
      </c>
      <c r="AS653" s="315"/>
      <c r="AT653" s="315"/>
      <c r="AU653" s="220"/>
    </row>
    <row r="654" spans="1:47" ht="18.75" customHeight="1" outlineLevel="1">
      <c r="A654" s="215" t="s">
        <v>125</v>
      </c>
      <c r="B654" s="249"/>
      <c r="C654" s="249"/>
      <c r="D654" s="250"/>
      <c r="E654" s="249"/>
      <c r="F654" s="249"/>
      <c r="G654" s="249"/>
      <c r="H654" s="249"/>
      <c r="I654" s="249"/>
      <c r="J654" s="249"/>
      <c r="K654" s="261"/>
      <c r="L654" s="250"/>
      <c r="M654" s="250"/>
      <c r="N654" s="250"/>
      <c r="O654" s="250"/>
      <c r="P654" s="250"/>
      <c r="Q654" s="261"/>
      <c r="R654" s="283"/>
      <c r="S654" s="283"/>
      <c r="T654" s="283"/>
      <c r="U654" s="283"/>
      <c r="V654" s="283"/>
      <c r="W654" s="283"/>
      <c r="X654" s="283"/>
      <c r="Y654" s="284"/>
      <c r="Z654" s="284"/>
      <c r="AA654" s="301"/>
      <c r="AB654" s="301"/>
      <c r="AC654" s="301"/>
      <c r="AD654" s="301"/>
      <c r="AE654" s="301"/>
      <c r="AF654" s="301"/>
      <c r="AG654" s="301"/>
      <c r="AH654" s="301"/>
      <c r="AI654" s="301"/>
      <c r="AJ654" s="301"/>
      <c r="AK654" s="301"/>
      <c r="AL654" s="301"/>
      <c r="AM654" s="301"/>
      <c r="AN654" s="301"/>
      <c r="AO654" s="301"/>
      <c r="AP654" s="301"/>
      <c r="AQ654" s="301"/>
      <c r="AR654" s="301"/>
      <c r="AS654" s="316"/>
      <c r="AT654" s="316"/>
      <c r="AU654" s="317"/>
    </row>
    <row r="655" spans="1:47" s="217" customFormat="1" ht="25.5" customHeight="1" outlineLevel="1">
      <c r="A655" s="215" t="s">
        <v>125</v>
      </c>
      <c r="B655" s="247"/>
      <c r="C655" s="247"/>
      <c r="D655" s="248"/>
      <c r="E655" s="249"/>
      <c r="F655" s="249"/>
      <c r="G655" s="249"/>
      <c r="H655" s="249"/>
      <c r="I655" s="249"/>
      <c r="J655" s="247"/>
      <c r="K655" s="259"/>
      <c r="L655" s="248"/>
      <c r="M655" s="248"/>
      <c r="N655" s="250"/>
      <c r="O655" s="250"/>
      <c r="P655" s="250"/>
      <c r="Q655" s="99" t="s">
        <v>188</v>
      </c>
      <c r="R655" s="283"/>
      <c r="S655" s="283"/>
      <c r="T655" s="283"/>
      <c r="U655" s="283"/>
      <c r="V655" s="283"/>
      <c r="W655" s="283"/>
      <c r="X655" s="283"/>
      <c r="Y655" s="285"/>
      <c r="Z655" s="285"/>
      <c r="AA655" s="302"/>
      <c r="AB655" s="302"/>
      <c r="AC655" s="302"/>
      <c r="AD655" s="302"/>
      <c r="AE655" s="302"/>
      <c r="AF655" s="302"/>
      <c r="AG655" s="302"/>
      <c r="AH655" s="301"/>
      <c r="AI655" s="301"/>
      <c r="AJ655" s="301"/>
      <c r="AK655" s="301"/>
      <c r="AL655" s="301"/>
      <c r="AM655" s="301"/>
      <c r="AN655" s="301"/>
      <c r="AO655" s="301"/>
      <c r="AP655" s="301"/>
      <c r="AQ655" s="302"/>
      <c r="AR655" s="302"/>
      <c r="AS655" s="315"/>
      <c r="AT655" s="315"/>
      <c r="AU655" s="220"/>
    </row>
    <row r="656" spans="1:47" s="218" customFormat="1" ht="25.5" customHeight="1" outlineLevel="2">
      <c r="A656" s="215" t="s">
        <v>125</v>
      </c>
      <c r="B656" s="151">
        <v>31</v>
      </c>
      <c r="C656" s="151" t="s">
        <v>128</v>
      </c>
      <c r="D656" s="245" t="s">
        <v>168</v>
      </c>
      <c r="E656" s="151" t="s">
        <v>169</v>
      </c>
      <c r="F656" s="151" t="s">
        <v>207</v>
      </c>
      <c r="G656" s="151" t="s">
        <v>35</v>
      </c>
      <c r="H656" s="151" t="s">
        <v>70</v>
      </c>
      <c r="I656" s="256">
        <v>32</v>
      </c>
      <c r="J656" s="151" t="s">
        <v>80</v>
      </c>
      <c r="K656" s="176" t="s">
        <v>202</v>
      </c>
      <c r="L656" s="390">
        <v>30338024</v>
      </c>
      <c r="M656" s="855" t="s">
        <v>1609</v>
      </c>
      <c r="N656" s="245" t="s">
        <v>953</v>
      </c>
      <c r="O656" s="245" t="s">
        <v>982</v>
      </c>
      <c r="P656" s="257" t="s">
        <v>983</v>
      </c>
      <c r="Q656" s="176" t="s">
        <v>984</v>
      </c>
      <c r="R656" s="273"/>
      <c r="S656" s="274"/>
      <c r="T656" s="273"/>
      <c r="U656" s="273"/>
      <c r="V656" s="273"/>
      <c r="W656" s="273"/>
      <c r="X656" s="274"/>
      <c r="Y656" s="275">
        <v>33986000</v>
      </c>
      <c r="Z656" s="275">
        <v>0</v>
      </c>
      <c r="AA656" s="296"/>
      <c r="AB656" s="297">
        <v>28986000</v>
      </c>
      <c r="AC656" s="297">
        <f t="shared" ref="AC656:AC701" si="253">SUBTOTAL(9,AE656:AP656)</f>
        <v>0</v>
      </c>
      <c r="AD656" s="297">
        <f t="shared" ref="AD656:AD662" si="254">+AB656-AC656</f>
        <v>28986000</v>
      </c>
      <c r="AE656" s="297">
        <v>0</v>
      </c>
      <c r="AF656" s="297">
        <v>0</v>
      </c>
      <c r="AG656" s="297">
        <v>0</v>
      </c>
      <c r="AH656" s="297">
        <v>0</v>
      </c>
      <c r="AI656" s="297">
        <v>0</v>
      </c>
      <c r="AJ656" s="297">
        <v>0</v>
      </c>
      <c r="AK656" s="297">
        <v>0</v>
      </c>
      <c r="AL656" s="297">
        <v>0</v>
      </c>
      <c r="AM656" s="297">
        <v>0</v>
      </c>
      <c r="AN656" s="297">
        <v>0</v>
      </c>
      <c r="AO656" s="297">
        <v>0</v>
      </c>
      <c r="AP656" s="297">
        <v>0</v>
      </c>
      <c r="AQ656" s="296"/>
      <c r="AR656" s="297">
        <f t="shared" ref="AR656:AR663" si="255">+Y656-Z656-AC656-AD656</f>
        <v>5000000</v>
      </c>
      <c r="AS656" s="313" t="s">
        <v>137</v>
      </c>
      <c r="AT656" s="313" t="s">
        <v>137</v>
      </c>
      <c r="AU656" s="176" t="s">
        <v>1519</v>
      </c>
    </row>
    <row r="657" spans="1:47" s="218" customFormat="1" ht="25.5" customHeight="1" outlineLevel="2">
      <c r="A657" s="215" t="s">
        <v>125</v>
      </c>
      <c r="B657" s="151">
        <v>31</v>
      </c>
      <c r="C657" s="151" t="s">
        <v>128</v>
      </c>
      <c r="D657" s="245" t="s">
        <v>168</v>
      </c>
      <c r="E657" s="151" t="s">
        <v>169</v>
      </c>
      <c r="F657" s="151" t="s">
        <v>207</v>
      </c>
      <c r="G657" s="151" t="s">
        <v>35</v>
      </c>
      <c r="H657" s="151" t="s">
        <v>70</v>
      </c>
      <c r="I657" s="256">
        <v>32</v>
      </c>
      <c r="J657" s="151" t="s">
        <v>80</v>
      </c>
      <c r="K657" s="176" t="s">
        <v>202</v>
      </c>
      <c r="L657" s="245">
        <v>30338523</v>
      </c>
      <c r="M657" s="855" t="s">
        <v>1609</v>
      </c>
      <c r="N657" s="245" t="e">
        <v>#N/A</v>
      </c>
      <c r="O657" s="245" t="s">
        <v>985</v>
      </c>
      <c r="P657" s="257" t="s">
        <v>986</v>
      </c>
      <c r="Q657" s="176" t="s">
        <v>987</v>
      </c>
      <c r="R657" s="273"/>
      <c r="S657" s="274"/>
      <c r="T657" s="273"/>
      <c r="U657" s="273"/>
      <c r="V657" s="273"/>
      <c r="W657" s="273"/>
      <c r="X657" s="274"/>
      <c r="Y657" s="275">
        <v>33986000</v>
      </c>
      <c r="Z657" s="275">
        <v>0</v>
      </c>
      <c r="AA657" s="296"/>
      <c r="AB657" s="297">
        <v>28986000</v>
      </c>
      <c r="AC657" s="297">
        <f t="shared" si="253"/>
        <v>0</v>
      </c>
      <c r="AD657" s="297">
        <f t="shared" si="254"/>
        <v>28986000</v>
      </c>
      <c r="AE657" s="297">
        <v>0</v>
      </c>
      <c r="AF657" s="297">
        <v>0</v>
      </c>
      <c r="AG657" s="297">
        <v>0</v>
      </c>
      <c r="AH657" s="297">
        <v>0</v>
      </c>
      <c r="AI657" s="297">
        <v>0</v>
      </c>
      <c r="AJ657" s="297">
        <v>0</v>
      </c>
      <c r="AK657" s="297">
        <v>0</v>
      </c>
      <c r="AL657" s="297">
        <v>0</v>
      </c>
      <c r="AM657" s="297">
        <v>0</v>
      </c>
      <c r="AN657" s="297">
        <v>0</v>
      </c>
      <c r="AO657" s="297">
        <v>0</v>
      </c>
      <c r="AP657" s="297">
        <v>0</v>
      </c>
      <c r="AQ657" s="296"/>
      <c r="AR657" s="297">
        <f t="shared" si="255"/>
        <v>5000000</v>
      </c>
      <c r="AS657" s="313" t="s">
        <v>137</v>
      </c>
      <c r="AT657" s="313" t="s">
        <v>137</v>
      </c>
      <c r="AU657" s="176" t="s">
        <v>1519</v>
      </c>
    </row>
    <row r="658" spans="1:47" s="218" customFormat="1" ht="25.5" customHeight="1" outlineLevel="2">
      <c r="A658" s="215" t="s">
        <v>125</v>
      </c>
      <c r="B658" s="151">
        <v>31</v>
      </c>
      <c r="C658" s="151" t="s">
        <v>128</v>
      </c>
      <c r="D658" s="245" t="s">
        <v>168</v>
      </c>
      <c r="E658" s="151" t="s">
        <v>169</v>
      </c>
      <c r="F658" s="151" t="s">
        <v>207</v>
      </c>
      <c r="G658" s="151" t="s">
        <v>35</v>
      </c>
      <c r="H658" s="151" t="s">
        <v>70</v>
      </c>
      <c r="I658" s="256">
        <v>32</v>
      </c>
      <c r="J658" s="151" t="s">
        <v>80</v>
      </c>
      <c r="K658" s="176" t="s">
        <v>132</v>
      </c>
      <c r="L658" s="245">
        <v>30065600</v>
      </c>
      <c r="M658" s="855" t="s">
        <v>1609</v>
      </c>
      <c r="N658" s="245" t="e">
        <v>#N/A</v>
      </c>
      <c r="O658" s="245" t="s">
        <v>988</v>
      </c>
      <c r="P658" s="257" t="s">
        <v>986</v>
      </c>
      <c r="Q658" s="176" t="s">
        <v>989</v>
      </c>
      <c r="R658" s="273"/>
      <c r="S658" s="274"/>
      <c r="T658" s="273"/>
      <c r="U658" s="273"/>
      <c r="V658" s="273"/>
      <c r="W658" s="273"/>
      <c r="X658" s="274"/>
      <c r="Y658" s="275">
        <v>418598000</v>
      </c>
      <c r="Z658" s="275">
        <v>0</v>
      </c>
      <c r="AA658" s="296"/>
      <c r="AB658" s="297">
        <f>418598000-130281311-104000000</f>
        <v>184316689</v>
      </c>
      <c r="AC658" s="297">
        <f t="shared" si="253"/>
        <v>0</v>
      </c>
      <c r="AD658" s="297">
        <f t="shared" si="254"/>
        <v>184316689</v>
      </c>
      <c r="AE658" s="297">
        <v>0</v>
      </c>
      <c r="AF658" s="297">
        <v>0</v>
      </c>
      <c r="AG658" s="297">
        <v>0</v>
      </c>
      <c r="AH658" s="297">
        <v>0</v>
      </c>
      <c r="AI658" s="297">
        <v>0</v>
      </c>
      <c r="AJ658" s="297">
        <v>0</v>
      </c>
      <c r="AK658" s="297">
        <v>0</v>
      </c>
      <c r="AL658" s="297">
        <v>0</v>
      </c>
      <c r="AM658" s="297">
        <v>0</v>
      </c>
      <c r="AN658" s="297">
        <v>0</v>
      </c>
      <c r="AO658" s="297">
        <v>0</v>
      </c>
      <c r="AP658" s="297">
        <v>0</v>
      </c>
      <c r="AQ658" s="296"/>
      <c r="AR658" s="297">
        <f t="shared" si="255"/>
        <v>234281311</v>
      </c>
      <c r="AS658" s="313" t="s">
        <v>137</v>
      </c>
      <c r="AT658" s="313" t="s">
        <v>137</v>
      </c>
      <c r="AU658" s="176" t="s">
        <v>1463</v>
      </c>
    </row>
    <row r="659" spans="1:47" s="218" customFormat="1" ht="25.5" customHeight="1" outlineLevel="2">
      <c r="A659" s="215" t="s">
        <v>125</v>
      </c>
      <c r="B659" s="151">
        <v>29</v>
      </c>
      <c r="C659" s="151" t="s">
        <v>128</v>
      </c>
      <c r="D659" s="245" t="s">
        <v>144</v>
      </c>
      <c r="E659" s="151" t="s">
        <v>169</v>
      </c>
      <c r="F659" s="151" t="s">
        <v>140</v>
      </c>
      <c r="G659" s="151" t="s">
        <v>35</v>
      </c>
      <c r="H659" s="151" t="s">
        <v>70</v>
      </c>
      <c r="I659" s="256">
        <v>32</v>
      </c>
      <c r="J659" s="151" t="s">
        <v>80</v>
      </c>
      <c r="K659" s="176" t="s">
        <v>132</v>
      </c>
      <c r="L659" s="245">
        <v>30480167</v>
      </c>
      <c r="M659" s="855"/>
      <c r="N659" s="245" t="e">
        <v>#N/A</v>
      </c>
      <c r="O659" s="245" t="s">
        <v>990</v>
      </c>
      <c r="P659" s="245"/>
      <c r="Q659" s="176" t="s">
        <v>991</v>
      </c>
      <c r="R659" s="273"/>
      <c r="S659" s="274"/>
      <c r="T659" s="273"/>
      <c r="U659" s="273"/>
      <c r="V659" s="273"/>
      <c r="W659" s="273"/>
      <c r="X659" s="274"/>
      <c r="Y659" s="275">
        <v>237746000</v>
      </c>
      <c r="Z659" s="275">
        <v>0</v>
      </c>
      <c r="AA659" s="296"/>
      <c r="AB659" s="297">
        <f>237746000-165886000</f>
        <v>71860000</v>
      </c>
      <c r="AC659" s="297">
        <f t="shared" si="253"/>
        <v>0</v>
      </c>
      <c r="AD659" s="297">
        <f t="shared" si="254"/>
        <v>71860000</v>
      </c>
      <c r="AE659" s="297">
        <v>0</v>
      </c>
      <c r="AF659" s="297">
        <v>0</v>
      </c>
      <c r="AG659" s="297">
        <v>0</v>
      </c>
      <c r="AH659" s="297">
        <v>0</v>
      </c>
      <c r="AI659" s="297">
        <v>0</v>
      </c>
      <c r="AJ659" s="297">
        <v>0</v>
      </c>
      <c r="AK659" s="297">
        <v>0</v>
      </c>
      <c r="AL659" s="297">
        <v>0</v>
      </c>
      <c r="AM659" s="297">
        <v>0</v>
      </c>
      <c r="AN659" s="297">
        <v>0</v>
      </c>
      <c r="AO659" s="297">
        <v>0</v>
      </c>
      <c r="AP659" s="297">
        <v>0</v>
      </c>
      <c r="AQ659" s="296"/>
      <c r="AR659" s="297">
        <f t="shared" si="255"/>
        <v>165886000</v>
      </c>
      <c r="AS659" s="313" t="s">
        <v>148</v>
      </c>
      <c r="AT659" s="313" t="s">
        <v>1464</v>
      </c>
      <c r="AU659" s="176" t="s">
        <v>200</v>
      </c>
    </row>
    <row r="660" spans="1:47" s="218" customFormat="1" ht="25.5" customHeight="1" outlineLevel="2">
      <c r="A660" s="215" t="s">
        <v>125</v>
      </c>
      <c r="B660" s="151">
        <v>29</v>
      </c>
      <c r="C660" s="151" t="s">
        <v>128</v>
      </c>
      <c r="D660" s="245" t="s">
        <v>129</v>
      </c>
      <c r="E660" s="151" t="s">
        <v>169</v>
      </c>
      <c r="F660" s="151" t="s">
        <v>131</v>
      </c>
      <c r="G660" s="151" t="s">
        <v>35</v>
      </c>
      <c r="H660" s="151" t="s">
        <v>70</v>
      </c>
      <c r="I660" s="256">
        <v>32</v>
      </c>
      <c r="J660" s="151" t="s">
        <v>81</v>
      </c>
      <c r="K660" s="176" t="s">
        <v>132</v>
      </c>
      <c r="L660" s="245">
        <v>30471865</v>
      </c>
      <c r="M660" s="855"/>
      <c r="N660" s="245" t="e">
        <v>#N/A</v>
      </c>
      <c r="O660" s="245" t="s">
        <v>992</v>
      </c>
      <c r="P660" s="245"/>
      <c r="Q660" s="176" t="s">
        <v>993</v>
      </c>
      <c r="R660" s="273"/>
      <c r="S660" s="274"/>
      <c r="T660" s="273"/>
      <c r="U660" s="273"/>
      <c r="V660" s="273"/>
      <c r="W660" s="273"/>
      <c r="X660" s="274"/>
      <c r="Y660" s="275">
        <v>101104000</v>
      </c>
      <c r="Z660" s="275">
        <v>0</v>
      </c>
      <c r="AA660" s="296"/>
      <c r="AB660" s="297">
        <v>101104000</v>
      </c>
      <c r="AC660" s="297">
        <f t="shared" si="253"/>
        <v>0</v>
      </c>
      <c r="AD660" s="297">
        <f t="shared" si="254"/>
        <v>101104000</v>
      </c>
      <c r="AE660" s="297">
        <v>0</v>
      </c>
      <c r="AF660" s="297">
        <v>0</v>
      </c>
      <c r="AG660" s="297">
        <v>0</v>
      </c>
      <c r="AH660" s="297">
        <v>0</v>
      </c>
      <c r="AI660" s="297">
        <v>0</v>
      </c>
      <c r="AJ660" s="297">
        <v>0</v>
      </c>
      <c r="AK660" s="297">
        <v>0</v>
      </c>
      <c r="AL660" s="297">
        <v>0</v>
      </c>
      <c r="AM660" s="297">
        <v>0</v>
      </c>
      <c r="AN660" s="297">
        <v>0</v>
      </c>
      <c r="AO660" s="297">
        <v>0</v>
      </c>
      <c r="AP660" s="297">
        <v>0</v>
      </c>
      <c r="AQ660" s="296"/>
      <c r="AR660" s="297">
        <f t="shared" si="255"/>
        <v>0</v>
      </c>
      <c r="AS660" s="313" t="s">
        <v>148</v>
      </c>
      <c r="AT660" s="313" t="s">
        <v>1464</v>
      </c>
      <c r="AU660" s="176" t="s">
        <v>200</v>
      </c>
    </row>
    <row r="661" spans="1:47" s="218" customFormat="1" ht="25.5" customHeight="1" outlineLevel="2">
      <c r="A661" s="215" t="s">
        <v>125</v>
      </c>
      <c r="B661" s="151">
        <v>29</v>
      </c>
      <c r="C661" s="151" t="s">
        <v>128</v>
      </c>
      <c r="D661" s="245" t="s">
        <v>129</v>
      </c>
      <c r="E661" s="151" t="s">
        <v>169</v>
      </c>
      <c r="F661" s="151" t="s">
        <v>131</v>
      </c>
      <c r="G661" s="151" t="s">
        <v>35</v>
      </c>
      <c r="H661" s="151" t="s">
        <v>70</v>
      </c>
      <c r="I661" s="256">
        <v>32</v>
      </c>
      <c r="J661" s="151" t="s">
        <v>81</v>
      </c>
      <c r="K661" s="176" t="s">
        <v>132</v>
      </c>
      <c r="L661" s="245">
        <v>30361477</v>
      </c>
      <c r="M661" s="855"/>
      <c r="N661" s="245" t="e">
        <v>#N/A</v>
      </c>
      <c r="O661" s="245" t="s">
        <v>994</v>
      </c>
      <c r="P661" s="245"/>
      <c r="Q661" s="176" t="s">
        <v>995</v>
      </c>
      <c r="R661" s="273"/>
      <c r="S661" s="274"/>
      <c r="T661" s="273"/>
      <c r="U661" s="273"/>
      <c r="V661" s="273"/>
      <c r="W661" s="273"/>
      <c r="X661" s="274"/>
      <c r="Y661" s="275">
        <v>397041000</v>
      </c>
      <c r="Z661" s="275">
        <v>0</v>
      </c>
      <c r="AA661" s="296"/>
      <c r="AB661" s="297">
        <v>397041000</v>
      </c>
      <c r="AC661" s="297">
        <f t="shared" si="253"/>
        <v>0</v>
      </c>
      <c r="AD661" s="297">
        <f t="shared" si="254"/>
        <v>397041000</v>
      </c>
      <c r="AE661" s="297">
        <v>0</v>
      </c>
      <c r="AF661" s="297">
        <v>0</v>
      </c>
      <c r="AG661" s="297">
        <v>0</v>
      </c>
      <c r="AH661" s="297">
        <v>0</v>
      </c>
      <c r="AI661" s="297">
        <v>0</v>
      </c>
      <c r="AJ661" s="297">
        <v>0</v>
      </c>
      <c r="AK661" s="297">
        <v>0</v>
      </c>
      <c r="AL661" s="297">
        <v>0</v>
      </c>
      <c r="AM661" s="297">
        <v>0</v>
      </c>
      <c r="AN661" s="297">
        <v>0</v>
      </c>
      <c r="AO661" s="297">
        <v>0</v>
      </c>
      <c r="AP661" s="297">
        <v>0</v>
      </c>
      <c r="AQ661" s="296"/>
      <c r="AR661" s="297">
        <f t="shared" si="255"/>
        <v>0</v>
      </c>
      <c r="AS661" s="313" t="s">
        <v>148</v>
      </c>
      <c r="AT661" s="313" t="s">
        <v>1464</v>
      </c>
      <c r="AU661" s="176" t="s">
        <v>200</v>
      </c>
    </row>
    <row r="662" spans="1:47" s="217" customFormat="1" ht="25.5" customHeight="1" outlineLevel="1">
      <c r="A662" s="215" t="s">
        <v>125</v>
      </c>
      <c r="B662" s="191">
        <v>31</v>
      </c>
      <c r="C662" s="191" t="s">
        <v>196</v>
      </c>
      <c r="D662" s="246" t="s">
        <v>251</v>
      </c>
      <c r="E662" s="191" t="s">
        <v>169</v>
      </c>
      <c r="F662" s="191" t="s">
        <v>140</v>
      </c>
      <c r="G662" s="191" t="s">
        <v>35</v>
      </c>
      <c r="H662" s="191" t="s">
        <v>70</v>
      </c>
      <c r="I662" s="258">
        <v>32</v>
      </c>
      <c r="J662" s="191" t="s">
        <v>84</v>
      </c>
      <c r="K662" s="192" t="s">
        <v>132</v>
      </c>
      <c r="L662" s="246">
        <v>40003992</v>
      </c>
      <c r="M662" s="861" t="s">
        <v>1604</v>
      </c>
      <c r="N662" s="245"/>
      <c r="O662" s="245" t="s">
        <v>996</v>
      </c>
      <c r="P662" s="245"/>
      <c r="Q662" s="192" t="s">
        <v>997</v>
      </c>
      <c r="R662" s="276"/>
      <c r="S662" s="274"/>
      <c r="T662" s="276"/>
      <c r="U662" s="276"/>
      <c r="V662" s="276"/>
      <c r="W662" s="276"/>
      <c r="X662" s="274"/>
      <c r="Y662" s="194">
        <v>462000000</v>
      </c>
      <c r="Z662" s="194">
        <v>0</v>
      </c>
      <c r="AA662" s="296"/>
      <c r="AB662" s="299">
        <v>462000000</v>
      </c>
      <c r="AC662" s="299">
        <f t="shared" si="253"/>
        <v>0</v>
      </c>
      <c r="AD662" s="299">
        <f t="shared" si="254"/>
        <v>462000000</v>
      </c>
      <c r="AE662" s="297">
        <v>0</v>
      </c>
      <c r="AF662" s="297">
        <v>0</v>
      </c>
      <c r="AG662" s="297">
        <v>0</v>
      </c>
      <c r="AH662" s="297">
        <v>0</v>
      </c>
      <c r="AI662" s="297">
        <v>0</v>
      </c>
      <c r="AJ662" s="297">
        <v>0</v>
      </c>
      <c r="AK662" s="297">
        <v>0</v>
      </c>
      <c r="AL662" s="297">
        <v>0</v>
      </c>
      <c r="AM662" s="297">
        <v>0</v>
      </c>
      <c r="AN662" s="297">
        <v>0</v>
      </c>
      <c r="AO662" s="297">
        <v>0</v>
      </c>
      <c r="AP662" s="297">
        <v>0</v>
      </c>
      <c r="AQ662" s="296"/>
      <c r="AR662" s="299">
        <f t="shared" si="255"/>
        <v>0</v>
      </c>
      <c r="AS662" s="314" t="s">
        <v>137</v>
      </c>
      <c r="AT662" s="313" t="s">
        <v>137</v>
      </c>
      <c r="AU662" s="192" t="s">
        <v>190</v>
      </c>
    </row>
    <row r="663" spans="1:47" s="217" customFormat="1" ht="25.5" customHeight="1" outlineLevel="1">
      <c r="A663" s="215" t="s">
        <v>125</v>
      </c>
      <c r="B663" s="247"/>
      <c r="C663" s="247"/>
      <c r="D663" s="248"/>
      <c r="E663" s="249"/>
      <c r="F663" s="249"/>
      <c r="G663" s="249"/>
      <c r="H663" s="249"/>
      <c r="I663" s="249"/>
      <c r="J663" s="247"/>
      <c r="K663" s="259"/>
      <c r="L663" s="248"/>
      <c r="M663" s="248"/>
      <c r="N663" s="250"/>
      <c r="O663" s="250"/>
      <c r="P663" s="250"/>
      <c r="Q663" s="260" t="s">
        <v>201</v>
      </c>
      <c r="R663" s="278"/>
      <c r="S663" s="279"/>
      <c r="T663" s="279"/>
      <c r="U663" s="279"/>
      <c r="V663" s="279"/>
      <c r="W663" s="279"/>
      <c r="X663" s="281"/>
      <c r="Y663" s="286">
        <f>SUM(Y656:Y662)</f>
        <v>1684461000</v>
      </c>
      <c r="Z663" s="286">
        <f t="shared" ref="Z663:AP663" si="256">SUM(Z656:Z662)</f>
        <v>0</v>
      </c>
      <c r="AA663" s="303"/>
      <c r="AB663" s="286">
        <f t="shared" si="256"/>
        <v>1274293689</v>
      </c>
      <c r="AC663" s="286">
        <f t="shared" si="253"/>
        <v>0</v>
      </c>
      <c r="AD663" s="286">
        <f t="shared" si="256"/>
        <v>1274293689</v>
      </c>
      <c r="AE663" s="286">
        <f t="shared" si="256"/>
        <v>0</v>
      </c>
      <c r="AF663" s="286">
        <f t="shared" si="256"/>
        <v>0</v>
      </c>
      <c r="AG663" s="286">
        <f t="shared" si="256"/>
        <v>0</v>
      </c>
      <c r="AH663" s="286">
        <f t="shared" si="256"/>
        <v>0</v>
      </c>
      <c r="AI663" s="286">
        <f t="shared" si="256"/>
        <v>0</v>
      </c>
      <c r="AJ663" s="286">
        <v>0</v>
      </c>
      <c r="AK663" s="286">
        <v>0</v>
      </c>
      <c r="AL663" s="286">
        <v>0</v>
      </c>
      <c r="AM663" s="286">
        <f t="shared" si="256"/>
        <v>0</v>
      </c>
      <c r="AN663" s="286">
        <f t="shared" si="256"/>
        <v>0</v>
      </c>
      <c r="AO663" s="286">
        <f t="shared" si="256"/>
        <v>0</v>
      </c>
      <c r="AP663" s="286">
        <f t="shared" si="256"/>
        <v>0</v>
      </c>
      <c r="AQ663" s="287"/>
      <c r="AR663" s="286">
        <f t="shared" si="255"/>
        <v>410167311</v>
      </c>
      <c r="AS663" s="315"/>
      <c r="AT663" s="315"/>
      <c r="AU663" s="220"/>
    </row>
    <row r="664" spans="1:47" ht="18.75" customHeight="1" outlineLevel="1">
      <c r="A664" s="215" t="s">
        <v>125</v>
      </c>
      <c r="B664" s="249"/>
      <c r="C664" s="249"/>
      <c r="D664" s="250"/>
      <c r="E664" s="249"/>
      <c r="F664" s="249"/>
      <c r="G664" s="249"/>
      <c r="H664" s="249"/>
      <c r="I664" s="249"/>
      <c r="J664" s="249"/>
      <c r="K664" s="261"/>
      <c r="L664" s="250"/>
      <c r="M664" s="250"/>
      <c r="N664" s="250"/>
      <c r="O664" s="250"/>
      <c r="P664" s="250"/>
      <c r="Q664" s="261"/>
      <c r="R664" s="283"/>
      <c r="S664" s="283"/>
      <c r="T664" s="283"/>
      <c r="U664" s="283"/>
      <c r="V664" s="283"/>
      <c r="W664" s="283"/>
      <c r="X664" s="283"/>
      <c r="Y664" s="284"/>
      <c r="Z664" s="284"/>
      <c r="AA664" s="301"/>
      <c r="AB664" s="301"/>
      <c r="AC664" s="301"/>
      <c r="AD664" s="301"/>
      <c r="AE664" s="301"/>
      <c r="AF664" s="301"/>
      <c r="AG664" s="301"/>
      <c r="AH664" s="301"/>
      <c r="AI664" s="301"/>
      <c r="AJ664" s="301"/>
      <c r="AK664" s="301"/>
      <c r="AL664" s="301"/>
      <c r="AM664" s="301"/>
      <c r="AN664" s="301"/>
      <c r="AO664" s="301"/>
      <c r="AP664" s="301"/>
      <c r="AQ664" s="301"/>
      <c r="AR664" s="301"/>
      <c r="AS664" s="316"/>
      <c r="AT664" s="316"/>
      <c r="AU664" s="317"/>
    </row>
    <row r="665" spans="1:47" s="219" customFormat="1" ht="24.75" customHeight="1" outlineLevel="1">
      <c r="A665" s="215" t="s">
        <v>125</v>
      </c>
      <c r="B665" s="251"/>
      <c r="C665" s="249"/>
      <c r="D665" s="250"/>
      <c r="E665" s="249"/>
      <c r="F665" s="249"/>
      <c r="G665" s="249"/>
      <c r="H665" s="249"/>
      <c r="I665" s="249"/>
      <c r="J665" s="251"/>
      <c r="K665" s="263"/>
      <c r="L665" s="252"/>
      <c r="M665" s="252"/>
      <c r="N665" s="252"/>
      <c r="O665" s="252"/>
      <c r="P665" s="252"/>
      <c r="Q665" s="117" t="s">
        <v>998</v>
      </c>
      <c r="R665" s="288"/>
      <c r="S665" s="289"/>
      <c r="T665" s="289"/>
      <c r="U665" s="289"/>
      <c r="V665" s="289"/>
      <c r="W665" s="289"/>
      <c r="X665" s="290"/>
      <c r="Y665" s="118">
        <f>+Y653+Y663</f>
        <v>3248075885</v>
      </c>
      <c r="Z665" s="118">
        <f>+Z653+Z663</f>
        <v>444757438</v>
      </c>
      <c r="AA665" s="304"/>
      <c r="AB665" s="118">
        <f t="shared" ref="AB665:AD665" si="257">+AB653+AB663</f>
        <v>2374095836</v>
      </c>
      <c r="AC665" s="118">
        <f t="shared" si="257"/>
        <v>714326674</v>
      </c>
      <c r="AD665" s="118">
        <f t="shared" si="257"/>
        <v>1659769162</v>
      </c>
      <c r="AE665" s="118">
        <f>+AE653+AE663</f>
        <v>0</v>
      </c>
      <c r="AF665" s="118">
        <f t="shared" ref="AF665:AP665" si="258">+AF653+AF663</f>
        <v>0</v>
      </c>
      <c r="AG665" s="118">
        <f t="shared" si="258"/>
        <v>0</v>
      </c>
      <c r="AH665" s="118">
        <f t="shared" si="258"/>
        <v>0</v>
      </c>
      <c r="AI665" s="118">
        <f t="shared" si="258"/>
        <v>0</v>
      </c>
      <c r="AJ665" s="118">
        <v>114805070</v>
      </c>
      <c r="AK665" s="118">
        <f t="shared" si="258"/>
        <v>257844039</v>
      </c>
      <c r="AL665" s="118">
        <f t="shared" si="258"/>
        <v>50599291</v>
      </c>
      <c r="AM665" s="118">
        <f t="shared" si="258"/>
        <v>105126651</v>
      </c>
      <c r="AN665" s="118">
        <f t="shared" si="258"/>
        <v>55602939</v>
      </c>
      <c r="AO665" s="118">
        <f t="shared" si="258"/>
        <v>130348684</v>
      </c>
      <c r="AP665" s="118">
        <f t="shared" si="258"/>
        <v>0</v>
      </c>
      <c r="AQ665" s="318"/>
      <c r="AR665" s="118">
        <f>+Y665-Z665-AC665-AD665</f>
        <v>429222611</v>
      </c>
      <c r="AS665" s="333"/>
      <c r="AT665" s="333"/>
      <c r="AU665" s="320"/>
    </row>
    <row r="666" spans="1:47" ht="18.75" customHeight="1" outlineLevel="1">
      <c r="A666" s="215" t="s">
        <v>125</v>
      </c>
      <c r="B666" s="249"/>
      <c r="C666" s="249"/>
      <c r="D666" s="250"/>
      <c r="E666" s="249"/>
      <c r="F666" s="249"/>
      <c r="G666" s="249"/>
      <c r="H666" s="249"/>
      <c r="I666" s="249"/>
      <c r="J666" s="249"/>
      <c r="K666" s="261"/>
      <c r="L666" s="250"/>
      <c r="M666" s="250"/>
      <c r="N666" s="250"/>
      <c r="O666" s="250"/>
      <c r="P666" s="250"/>
      <c r="Q666" s="261"/>
      <c r="R666" s="283"/>
      <c r="S666" s="283"/>
      <c r="T666" s="283"/>
      <c r="U666" s="283"/>
      <c r="V666" s="283"/>
      <c r="W666" s="283"/>
      <c r="X666" s="283"/>
      <c r="Y666" s="284"/>
      <c r="Z666" s="284"/>
      <c r="AA666" s="301"/>
      <c r="AB666" s="301"/>
      <c r="AC666" s="301"/>
      <c r="AD666" s="301"/>
      <c r="AE666" s="301"/>
      <c r="AF666" s="301"/>
      <c r="AG666" s="301"/>
      <c r="AH666" s="301"/>
      <c r="AI666" s="301"/>
      <c r="AJ666" s="301"/>
      <c r="AK666" s="301"/>
      <c r="AL666" s="301"/>
      <c r="AM666" s="301"/>
      <c r="AN666" s="301"/>
      <c r="AO666" s="301"/>
      <c r="AP666" s="301"/>
      <c r="AQ666" s="301"/>
      <c r="AR666" s="301"/>
      <c r="AS666" s="316"/>
      <c r="AT666" s="316"/>
      <c r="AU666" s="317"/>
    </row>
    <row r="667" spans="1:47" ht="26.25" customHeight="1" outlineLevel="1">
      <c r="A667" s="215" t="s">
        <v>125</v>
      </c>
      <c r="B667" s="249"/>
      <c r="C667" s="249"/>
      <c r="D667" s="250"/>
      <c r="E667" s="249"/>
      <c r="F667" s="249"/>
      <c r="G667" s="249"/>
      <c r="H667" s="249"/>
      <c r="I667" s="249"/>
      <c r="J667" s="249"/>
      <c r="K667" s="261"/>
      <c r="L667" s="250"/>
      <c r="M667" s="250"/>
      <c r="N667" s="250"/>
      <c r="O667" s="250"/>
      <c r="P667" s="250"/>
      <c r="Q667" s="264" t="s">
        <v>999</v>
      </c>
      <c r="R667" s="283"/>
      <c r="S667" s="283"/>
      <c r="T667" s="283"/>
      <c r="U667" s="283"/>
      <c r="V667" s="283"/>
      <c r="W667" s="283"/>
      <c r="X667" s="283"/>
      <c r="Y667" s="284"/>
      <c r="Z667" s="284"/>
      <c r="AA667" s="301"/>
      <c r="AB667" s="301"/>
      <c r="AC667" s="301"/>
      <c r="AD667" s="301"/>
      <c r="AE667" s="301"/>
      <c r="AF667" s="301"/>
      <c r="AG667" s="301"/>
      <c r="AH667" s="301"/>
      <c r="AI667" s="301"/>
      <c r="AJ667" s="301"/>
      <c r="AK667" s="301"/>
      <c r="AL667" s="301"/>
      <c r="AM667" s="301"/>
      <c r="AN667" s="301"/>
      <c r="AO667" s="301"/>
      <c r="AP667" s="301"/>
      <c r="AQ667" s="301"/>
      <c r="AR667" s="301"/>
      <c r="AS667" s="316"/>
      <c r="AT667" s="316"/>
      <c r="AU667" s="317"/>
    </row>
    <row r="668" spans="1:47" s="216" customFormat="1" ht="15" customHeight="1" outlineLevel="1">
      <c r="A668" s="215" t="s">
        <v>125</v>
      </c>
      <c r="B668" s="249"/>
      <c r="C668" s="249"/>
      <c r="D668" s="250"/>
      <c r="E668" s="249"/>
      <c r="F668" s="249"/>
      <c r="G668" s="249"/>
      <c r="H668" s="249"/>
      <c r="I668" s="249"/>
      <c r="J668" s="249"/>
      <c r="K668" s="261"/>
      <c r="L668" s="250"/>
      <c r="M668" s="250"/>
      <c r="N668" s="250"/>
      <c r="O668" s="250"/>
      <c r="P668" s="250"/>
      <c r="Q668" s="255"/>
      <c r="R668" s="283"/>
      <c r="S668" s="283"/>
      <c r="T668" s="283"/>
      <c r="U668" s="283"/>
      <c r="V668" s="283"/>
      <c r="W668" s="283"/>
      <c r="X668" s="283"/>
      <c r="Y668" s="284"/>
      <c r="Z668" s="284"/>
      <c r="AA668" s="301"/>
      <c r="AB668" s="301"/>
      <c r="AC668" s="301"/>
      <c r="AD668" s="301"/>
      <c r="AE668" s="301"/>
      <c r="AF668" s="301"/>
      <c r="AG668" s="301"/>
      <c r="AH668" s="301"/>
      <c r="AI668" s="301"/>
      <c r="AJ668" s="301"/>
      <c r="AK668" s="301"/>
      <c r="AL668" s="301"/>
      <c r="AM668" s="301"/>
      <c r="AN668" s="301"/>
      <c r="AO668" s="301"/>
      <c r="AP668" s="301"/>
      <c r="AQ668" s="301"/>
      <c r="AR668" s="301"/>
      <c r="AS668" s="316"/>
      <c r="AT668" s="316"/>
      <c r="AU668" s="317"/>
    </row>
    <row r="669" spans="1:47" s="217" customFormat="1" ht="25.5" customHeight="1" outlineLevel="1">
      <c r="A669" s="215" t="s">
        <v>125</v>
      </c>
      <c r="B669" s="247"/>
      <c r="C669" s="247"/>
      <c r="D669" s="248"/>
      <c r="E669" s="249"/>
      <c r="F669" s="249"/>
      <c r="G669" s="249"/>
      <c r="H669" s="249"/>
      <c r="I669" s="249"/>
      <c r="J669" s="247"/>
      <c r="K669" s="259"/>
      <c r="L669" s="248"/>
      <c r="M669" s="248"/>
      <c r="N669" s="250"/>
      <c r="O669" s="250"/>
      <c r="P669" s="250"/>
      <c r="Q669" s="99" t="s">
        <v>127</v>
      </c>
      <c r="R669" s="283"/>
      <c r="S669" s="283"/>
      <c r="T669" s="283"/>
      <c r="U669" s="283"/>
      <c r="V669" s="283"/>
      <c r="W669" s="283"/>
      <c r="X669" s="283"/>
      <c r="Y669" s="285"/>
      <c r="Z669" s="285"/>
      <c r="AA669" s="302"/>
      <c r="AB669" s="302"/>
      <c r="AC669" s="302"/>
      <c r="AD669" s="302"/>
      <c r="AE669" s="302"/>
      <c r="AF669" s="302"/>
      <c r="AG669" s="302"/>
      <c r="AH669" s="301"/>
      <c r="AI669" s="301"/>
      <c r="AJ669" s="301"/>
      <c r="AK669" s="301"/>
      <c r="AL669" s="301"/>
      <c r="AM669" s="301"/>
      <c r="AN669" s="301"/>
      <c r="AO669" s="301"/>
      <c r="AP669" s="301"/>
      <c r="AQ669" s="302"/>
      <c r="AR669" s="302"/>
      <c r="AS669" s="315"/>
      <c r="AT669" s="315"/>
      <c r="AU669" s="220"/>
    </row>
    <row r="670" spans="1:47" s="218" customFormat="1" ht="25.5" customHeight="1" outlineLevel="2">
      <c r="A670" s="215" t="s">
        <v>125</v>
      </c>
      <c r="B670" s="151">
        <v>31</v>
      </c>
      <c r="C670" s="151" t="s">
        <v>128</v>
      </c>
      <c r="D670" s="245" t="s">
        <v>149</v>
      </c>
      <c r="E670" s="151" t="s">
        <v>169</v>
      </c>
      <c r="F670" s="151" t="s">
        <v>140</v>
      </c>
      <c r="G670" s="151" t="s">
        <v>35</v>
      </c>
      <c r="H670" s="151" t="s">
        <v>35</v>
      </c>
      <c r="I670" s="256">
        <v>33</v>
      </c>
      <c r="J670" s="151" t="s">
        <v>80</v>
      </c>
      <c r="K670" s="176" t="s">
        <v>202</v>
      </c>
      <c r="L670" s="245">
        <v>30116040</v>
      </c>
      <c r="M670" s="855" t="s">
        <v>1609</v>
      </c>
      <c r="N670" s="245" t="e">
        <v>#N/A</v>
      </c>
      <c r="O670" s="245" t="s">
        <v>1000</v>
      </c>
      <c r="P670" s="245"/>
      <c r="Q670" s="176" t="s">
        <v>1001</v>
      </c>
      <c r="R670" s="273"/>
      <c r="S670" s="274"/>
      <c r="T670" s="273"/>
      <c r="U670" s="273"/>
      <c r="V670" s="273"/>
      <c r="W670" s="273"/>
      <c r="X670" s="274"/>
      <c r="Y670" s="275">
        <v>43998000</v>
      </c>
      <c r="Z670" s="275">
        <v>35173080</v>
      </c>
      <c r="AA670" s="296"/>
      <c r="AB670" s="297">
        <v>8824920</v>
      </c>
      <c r="AC670" s="297">
        <f t="shared" si="253"/>
        <v>0</v>
      </c>
      <c r="AD670" s="297">
        <f>+AB670-AC670</f>
        <v>8824920</v>
      </c>
      <c r="AE670" s="297">
        <v>0</v>
      </c>
      <c r="AF670" s="297">
        <v>0</v>
      </c>
      <c r="AG670" s="297">
        <v>0</v>
      </c>
      <c r="AH670" s="297">
        <v>0</v>
      </c>
      <c r="AI670" s="297">
        <v>0</v>
      </c>
      <c r="AJ670" s="297">
        <v>0</v>
      </c>
      <c r="AK670" s="297">
        <v>0</v>
      </c>
      <c r="AL670" s="297">
        <v>0</v>
      </c>
      <c r="AM670" s="297">
        <v>0</v>
      </c>
      <c r="AN670" s="297">
        <v>0</v>
      </c>
      <c r="AO670" s="297">
        <v>0</v>
      </c>
      <c r="AP670" s="297">
        <v>0</v>
      </c>
      <c r="AQ670" s="296"/>
      <c r="AR670" s="297">
        <f>+Y670-Z670-AC670-AD670</f>
        <v>0</v>
      </c>
      <c r="AS670" s="313" t="s">
        <v>137</v>
      </c>
      <c r="AT670" s="313" t="s">
        <v>137</v>
      </c>
      <c r="AU670" s="176" t="s">
        <v>138</v>
      </c>
    </row>
    <row r="671" spans="1:47" s="218" customFormat="1" ht="25.5" customHeight="1" outlineLevel="2">
      <c r="A671" s="215" t="s">
        <v>125</v>
      </c>
      <c r="B671" s="191">
        <v>33</v>
      </c>
      <c r="C671" s="191" t="s">
        <v>128</v>
      </c>
      <c r="D671" s="246" t="s">
        <v>149</v>
      </c>
      <c r="E671" s="191" t="s">
        <v>130</v>
      </c>
      <c r="F671" s="191" t="s">
        <v>140</v>
      </c>
      <c r="G671" s="191" t="s">
        <v>35</v>
      </c>
      <c r="H671" s="191" t="s">
        <v>35</v>
      </c>
      <c r="I671" s="258">
        <v>33</v>
      </c>
      <c r="J671" s="191" t="s">
        <v>83</v>
      </c>
      <c r="K671" s="192" t="s">
        <v>132</v>
      </c>
      <c r="L671" s="246" t="s">
        <v>83</v>
      </c>
      <c r="M671" s="861" t="s">
        <v>1604</v>
      </c>
      <c r="N671" s="246"/>
      <c r="O671" s="245" t="s">
        <v>183</v>
      </c>
      <c r="P671" s="246"/>
      <c r="Q671" s="192" t="s">
        <v>184</v>
      </c>
      <c r="R671" s="276"/>
      <c r="S671" s="277"/>
      <c r="T671" s="276"/>
      <c r="U671" s="276"/>
      <c r="V671" s="276"/>
      <c r="W671" s="276"/>
      <c r="X671" s="277"/>
      <c r="Y671" s="194">
        <v>100000000</v>
      </c>
      <c r="Z671" s="194">
        <f>+FRIL!J944</f>
        <v>0</v>
      </c>
      <c r="AA671" s="298"/>
      <c r="AB671" s="299">
        <v>100000000</v>
      </c>
      <c r="AC671" s="299">
        <f t="shared" si="253"/>
        <v>0</v>
      </c>
      <c r="AD671" s="299">
        <f>+AB671-AC671</f>
        <v>100000000</v>
      </c>
      <c r="AE671" s="299">
        <v>0</v>
      </c>
      <c r="AF671" s="299">
        <v>0</v>
      </c>
      <c r="AG671" s="299">
        <v>0</v>
      </c>
      <c r="AH671" s="299">
        <v>0</v>
      </c>
      <c r="AI671" s="299">
        <v>0</v>
      </c>
      <c r="AJ671" s="297">
        <v>0</v>
      </c>
      <c r="AK671" s="299">
        <v>0</v>
      </c>
      <c r="AL671" s="299">
        <v>0</v>
      </c>
      <c r="AM671" s="299">
        <v>0</v>
      </c>
      <c r="AN671" s="299">
        <v>0</v>
      </c>
      <c r="AO671" s="297">
        <v>0</v>
      </c>
      <c r="AP671" s="299">
        <v>0</v>
      </c>
      <c r="AQ671" s="298"/>
      <c r="AR671" s="299">
        <f>+Y671-Z671-AC671-AD671</f>
        <v>0</v>
      </c>
      <c r="AS671" s="314" t="s">
        <v>185</v>
      </c>
      <c r="AT671" s="314" t="s">
        <v>83</v>
      </c>
      <c r="AU671" s="192" t="s">
        <v>138</v>
      </c>
    </row>
    <row r="672" spans="1:47" s="218" customFormat="1" ht="25.5" customHeight="1" outlineLevel="2">
      <c r="A672" s="215" t="s">
        <v>125</v>
      </c>
      <c r="B672" s="151">
        <v>33</v>
      </c>
      <c r="C672" s="151" t="s">
        <v>128</v>
      </c>
      <c r="D672" s="245" t="s">
        <v>149</v>
      </c>
      <c r="E672" s="151" t="s">
        <v>130</v>
      </c>
      <c r="F672" s="151" t="s">
        <v>140</v>
      </c>
      <c r="G672" s="151" t="s">
        <v>35</v>
      </c>
      <c r="H672" s="151" t="s">
        <v>35</v>
      </c>
      <c r="I672" s="256">
        <v>33</v>
      </c>
      <c r="J672" s="151" t="s">
        <v>83</v>
      </c>
      <c r="K672" s="176" t="s">
        <v>132</v>
      </c>
      <c r="L672" s="245" t="s">
        <v>83</v>
      </c>
      <c r="M672" s="855"/>
      <c r="N672" s="245"/>
      <c r="O672" s="245" t="s">
        <v>183</v>
      </c>
      <c r="P672" s="245"/>
      <c r="Q672" s="176" t="s">
        <v>1002</v>
      </c>
      <c r="R672" s="273"/>
      <c r="S672" s="274"/>
      <c r="T672" s="273"/>
      <c r="U672" s="273"/>
      <c r="V672" s="273"/>
      <c r="W672" s="273"/>
      <c r="X672" s="274"/>
      <c r="Y672" s="275">
        <v>200000000</v>
      </c>
      <c r="Z672" s="275">
        <f>+FRIL!J945</f>
        <v>0</v>
      </c>
      <c r="AA672" s="296"/>
      <c r="AB672" s="297">
        <v>200000000</v>
      </c>
      <c r="AC672" s="297">
        <f t="shared" si="253"/>
        <v>62992534</v>
      </c>
      <c r="AD672" s="297">
        <f>+AB672-AC672</f>
        <v>137007466</v>
      </c>
      <c r="AE672" s="297">
        <v>0</v>
      </c>
      <c r="AF672" s="297">
        <v>0</v>
      </c>
      <c r="AG672" s="297">
        <v>0</v>
      </c>
      <c r="AH672" s="297">
        <v>0</v>
      </c>
      <c r="AI672" s="297">
        <v>0</v>
      </c>
      <c r="AJ672" s="297">
        <v>0</v>
      </c>
      <c r="AK672" s="297">
        <v>5357276</v>
      </c>
      <c r="AL672" s="297">
        <v>0</v>
      </c>
      <c r="AM672" s="297">
        <v>3380268</v>
      </c>
      <c r="AN672" s="297">
        <v>54254990</v>
      </c>
      <c r="AO672" s="297">
        <f>+FRIL!L345</f>
        <v>0</v>
      </c>
      <c r="AP672" s="297">
        <v>0</v>
      </c>
      <c r="AQ672" s="296"/>
      <c r="AR672" s="297">
        <f>+Y672-Z672-AC672-AD672</f>
        <v>0</v>
      </c>
      <c r="AS672" s="313" t="s">
        <v>185</v>
      </c>
      <c r="AT672" s="313" t="s">
        <v>83</v>
      </c>
      <c r="AU672" s="176" t="s">
        <v>138</v>
      </c>
    </row>
    <row r="673" spans="1:47" s="218" customFormat="1" ht="25.5" customHeight="1" outlineLevel="2">
      <c r="A673" s="215" t="s">
        <v>125</v>
      </c>
      <c r="B673" s="151">
        <v>31</v>
      </c>
      <c r="C673" s="151" t="s">
        <v>128</v>
      </c>
      <c r="D673" s="245" t="s">
        <v>144</v>
      </c>
      <c r="E673" s="151" t="s">
        <v>169</v>
      </c>
      <c r="F673" s="151" t="s">
        <v>140</v>
      </c>
      <c r="G673" s="151" t="s">
        <v>35</v>
      </c>
      <c r="H673" s="151" t="s">
        <v>35</v>
      </c>
      <c r="I673" s="256">
        <v>33</v>
      </c>
      <c r="J673" s="151" t="s">
        <v>82</v>
      </c>
      <c r="K673" s="176" t="s">
        <v>132</v>
      </c>
      <c r="L673" s="245">
        <v>30115295</v>
      </c>
      <c r="M673" s="855" t="s">
        <v>1609</v>
      </c>
      <c r="N673" s="245" t="e">
        <v>#N/A</v>
      </c>
      <c r="O673" s="245" t="s">
        <v>1003</v>
      </c>
      <c r="P673" s="245"/>
      <c r="Q673" s="176" t="s">
        <v>1004</v>
      </c>
      <c r="R673" s="273"/>
      <c r="S673" s="274"/>
      <c r="T673" s="273"/>
      <c r="U673" s="273"/>
      <c r="V673" s="273"/>
      <c r="W673" s="273"/>
      <c r="X673" s="274"/>
      <c r="Y673" s="275">
        <v>788374000</v>
      </c>
      <c r="Z673" s="275">
        <v>622243006</v>
      </c>
      <c r="AA673" s="296"/>
      <c r="AB673" s="297">
        <f>+Y673-Z673</f>
        <v>166130994</v>
      </c>
      <c r="AC673" s="297">
        <f t="shared" si="253"/>
        <v>0</v>
      </c>
      <c r="AD673" s="297">
        <f>+AB673-AC673</f>
        <v>166130994</v>
      </c>
      <c r="AE673" s="297">
        <v>0</v>
      </c>
      <c r="AF673" s="297">
        <v>0</v>
      </c>
      <c r="AG673" s="297">
        <v>0</v>
      </c>
      <c r="AH673" s="297">
        <v>0</v>
      </c>
      <c r="AI673" s="297">
        <v>0</v>
      </c>
      <c r="AJ673" s="297">
        <v>0</v>
      </c>
      <c r="AK673" s="297">
        <v>0</v>
      </c>
      <c r="AL673" s="297">
        <v>0</v>
      </c>
      <c r="AM673" s="297">
        <v>0</v>
      </c>
      <c r="AN673" s="297">
        <v>0</v>
      </c>
      <c r="AO673" s="297">
        <v>0</v>
      </c>
      <c r="AP673" s="297">
        <v>0</v>
      </c>
      <c r="AQ673" s="296"/>
      <c r="AR673" s="297">
        <f>+Y673-Z673-AC673-AD673</f>
        <v>0</v>
      </c>
      <c r="AS673" s="313" t="s">
        <v>137</v>
      </c>
      <c r="AT673" s="313" t="s">
        <v>137</v>
      </c>
      <c r="AU673" s="176" t="s">
        <v>214</v>
      </c>
    </row>
    <row r="674" spans="1:47" s="217" customFormat="1" ht="25.5" customHeight="1" outlineLevel="1">
      <c r="A674" s="215" t="s">
        <v>125</v>
      </c>
      <c r="B674" s="247"/>
      <c r="C674" s="247"/>
      <c r="D674" s="248"/>
      <c r="E674" s="249"/>
      <c r="F674" s="249"/>
      <c r="G674" s="249"/>
      <c r="H674" s="249"/>
      <c r="I674" s="249"/>
      <c r="J674" s="247"/>
      <c r="K674" s="259"/>
      <c r="L674" s="248"/>
      <c r="M674" s="248"/>
      <c r="N674" s="250"/>
      <c r="O674" s="250"/>
      <c r="P674" s="250"/>
      <c r="Q674" s="260" t="s">
        <v>187</v>
      </c>
      <c r="R674" s="280"/>
      <c r="S674" s="279"/>
      <c r="T674" s="279"/>
      <c r="U674" s="279"/>
      <c r="V674" s="279"/>
      <c r="W674" s="279"/>
      <c r="X674" s="281"/>
      <c r="Y674" s="394">
        <f>+Y670+Y671+Y672+Y673</f>
        <v>1132372000</v>
      </c>
      <c r="Z674" s="394">
        <f t="shared" ref="Z674:AP674" si="259">+Z670+Z671+Z672+Z673</f>
        <v>657416086</v>
      </c>
      <c r="AA674" s="303"/>
      <c r="AB674" s="394">
        <f t="shared" si="259"/>
        <v>474955914</v>
      </c>
      <c r="AC674" s="394">
        <f t="shared" si="253"/>
        <v>62992534</v>
      </c>
      <c r="AD674" s="394">
        <f t="shared" si="259"/>
        <v>411963380</v>
      </c>
      <c r="AE674" s="394">
        <f t="shared" si="259"/>
        <v>0</v>
      </c>
      <c r="AF674" s="394">
        <f t="shared" si="259"/>
        <v>0</v>
      </c>
      <c r="AG674" s="394">
        <f t="shared" si="259"/>
        <v>0</v>
      </c>
      <c r="AH674" s="394">
        <f t="shared" si="259"/>
        <v>0</v>
      </c>
      <c r="AI674" s="394">
        <f t="shared" si="259"/>
        <v>0</v>
      </c>
      <c r="AJ674" s="394">
        <v>0</v>
      </c>
      <c r="AK674" s="394">
        <v>5357276</v>
      </c>
      <c r="AL674" s="394">
        <v>0</v>
      </c>
      <c r="AM674" s="394">
        <f t="shared" si="259"/>
        <v>3380268</v>
      </c>
      <c r="AN674" s="394">
        <f t="shared" si="259"/>
        <v>54254990</v>
      </c>
      <c r="AO674" s="394">
        <f t="shared" si="259"/>
        <v>0</v>
      </c>
      <c r="AP674" s="394">
        <f t="shared" si="259"/>
        <v>0</v>
      </c>
      <c r="AQ674" s="287"/>
      <c r="AR674" s="394">
        <f>+Y674-Z674-AC674-AD674</f>
        <v>0</v>
      </c>
      <c r="AS674" s="315"/>
      <c r="AT674" s="315"/>
      <c r="AU674" s="220"/>
    </row>
    <row r="675" spans="1:47" ht="18.75" customHeight="1" outlineLevel="1">
      <c r="A675" s="215" t="s">
        <v>125</v>
      </c>
      <c r="B675" s="249"/>
      <c r="C675" s="249"/>
      <c r="D675" s="250"/>
      <c r="E675" s="249"/>
      <c r="F675" s="249"/>
      <c r="G675" s="249"/>
      <c r="H675" s="249"/>
      <c r="I675" s="249"/>
      <c r="J675" s="249"/>
      <c r="K675" s="261"/>
      <c r="L675" s="250"/>
      <c r="M675" s="250"/>
      <c r="N675" s="250"/>
      <c r="O675" s="250"/>
      <c r="P675" s="250"/>
      <c r="Q675" s="261"/>
      <c r="R675" s="283"/>
      <c r="S675" s="283"/>
      <c r="T675" s="283"/>
      <c r="U675" s="283"/>
      <c r="V675" s="283"/>
      <c r="W675" s="283"/>
      <c r="X675" s="283"/>
      <c r="Y675" s="284"/>
      <c r="Z675" s="284"/>
      <c r="AA675" s="301"/>
      <c r="AB675" s="301"/>
      <c r="AC675" s="301"/>
      <c r="AD675" s="301"/>
      <c r="AE675" s="301"/>
      <c r="AF675" s="301"/>
      <c r="AG675" s="301"/>
      <c r="AH675" s="301"/>
      <c r="AI675" s="301"/>
      <c r="AJ675" s="301"/>
      <c r="AK675" s="301"/>
      <c r="AL675" s="301"/>
      <c r="AM675" s="301"/>
      <c r="AN675" s="301"/>
      <c r="AO675" s="301"/>
      <c r="AP675" s="301"/>
      <c r="AQ675" s="301"/>
      <c r="AR675" s="301"/>
      <c r="AS675" s="316"/>
      <c r="AT675" s="316"/>
      <c r="AU675" s="317"/>
    </row>
    <row r="676" spans="1:47" s="217" customFormat="1" ht="25.5" customHeight="1" outlineLevel="1">
      <c r="A676" s="215" t="s">
        <v>125</v>
      </c>
      <c r="B676" s="247"/>
      <c r="C676" s="247"/>
      <c r="D676" s="248"/>
      <c r="E676" s="249"/>
      <c r="F676" s="249"/>
      <c r="G676" s="249"/>
      <c r="H676" s="249"/>
      <c r="I676" s="249"/>
      <c r="J676" s="247"/>
      <c r="K676" s="259"/>
      <c r="L676" s="248"/>
      <c r="M676" s="248"/>
      <c r="N676" s="250"/>
      <c r="O676" s="250"/>
      <c r="P676" s="250"/>
      <c r="Q676" s="99" t="s">
        <v>188</v>
      </c>
      <c r="R676" s="283"/>
      <c r="S676" s="283"/>
      <c r="T676" s="283"/>
      <c r="U676" s="283"/>
      <c r="V676" s="283"/>
      <c r="W676" s="283"/>
      <c r="X676" s="283"/>
      <c r="Y676" s="285"/>
      <c r="Z676" s="285"/>
      <c r="AA676" s="302"/>
      <c r="AB676" s="302"/>
      <c r="AC676" s="302"/>
      <c r="AD676" s="302"/>
      <c r="AE676" s="302"/>
      <c r="AF676" s="302"/>
      <c r="AG676" s="302"/>
      <c r="AH676" s="301"/>
      <c r="AI676" s="301"/>
      <c r="AJ676" s="301"/>
      <c r="AK676" s="301"/>
      <c r="AL676" s="301"/>
      <c r="AM676" s="301"/>
      <c r="AN676" s="301"/>
      <c r="AO676" s="301"/>
      <c r="AP676" s="301"/>
      <c r="AQ676" s="302"/>
      <c r="AR676" s="302"/>
      <c r="AS676" s="315"/>
      <c r="AT676" s="315"/>
      <c r="AU676" s="220"/>
    </row>
    <row r="677" spans="1:47" s="218" customFormat="1" ht="25.5" customHeight="1" outlineLevel="2">
      <c r="A677" s="215" t="s">
        <v>125</v>
      </c>
      <c r="B677" s="151">
        <v>22</v>
      </c>
      <c r="C677" s="151" t="s">
        <v>128</v>
      </c>
      <c r="D677" s="245" t="s">
        <v>129</v>
      </c>
      <c r="E677" s="151" t="s">
        <v>169</v>
      </c>
      <c r="F677" s="151" t="s">
        <v>140</v>
      </c>
      <c r="G677" s="151" t="s">
        <v>35</v>
      </c>
      <c r="H677" s="151" t="s">
        <v>35</v>
      </c>
      <c r="I677" s="256">
        <v>33</v>
      </c>
      <c r="J677" s="151" t="s">
        <v>80</v>
      </c>
      <c r="K677" s="176" t="s">
        <v>132</v>
      </c>
      <c r="L677" s="245">
        <v>30474713</v>
      </c>
      <c r="M677" s="855"/>
      <c r="N677" s="245" t="e">
        <v>#N/A</v>
      </c>
      <c r="O677" s="245" t="s">
        <v>1005</v>
      </c>
      <c r="P677" s="398" t="s">
        <v>1006</v>
      </c>
      <c r="Q677" s="176" t="s">
        <v>1007</v>
      </c>
      <c r="R677" s="273"/>
      <c r="S677" s="274"/>
      <c r="T677" s="273"/>
      <c r="U677" s="273"/>
      <c r="V677" s="273"/>
      <c r="W677" s="273"/>
      <c r="X677" s="274"/>
      <c r="Y677" s="275">
        <v>130000000</v>
      </c>
      <c r="Z677" s="275">
        <v>0</v>
      </c>
      <c r="AA677" s="296"/>
      <c r="AB677" s="297">
        <v>115000000</v>
      </c>
      <c r="AC677" s="297">
        <f t="shared" si="253"/>
        <v>0</v>
      </c>
      <c r="AD677" s="297">
        <f>+AB677-AC677</f>
        <v>115000000</v>
      </c>
      <c r="AE677" s="297">
        <v>0</v>
      </c>
      <c r="AF677" s="297">
        <v>0</v>
      </c>
      <c r="AG677" s="297">
        <v>0</v>
      </c>
      <c r="AH677" s="297">
        <v>0</v>
      </c>
      <c r="AI677" s="297">
        <v>0</v>
      </c>
      <c r="AJ677" s="297">
        <v>0</v>
      </c>
      <c r="AK677" s="297">
        <v>0</v>
      </c>
      <c r="AL677" s="297">
        <v>0</v>
      </c>
      <c r="AM677" s="297">
        <v>0</v>
      </c>
      <c r="AN677" s="297">
        <v>0</v>
      </c>
      <c r="AO677" s="297">
        <v>0</v>
      </c>
      <c r="AP677" s="297">
        <v>0</v>
      </c>
      <c r="AQ677" s="296"/>
      <c r="AR677" s="297">
        <f>+Y677-Z677-AC677-AD677</f>
        <v>15000000</v>
      </c>
      <c r="AS677" s="313" t="s">
        <v>148</v>
      </c>
      <c r="AT677" s="313" t="s">
        <v>1464</v>
      </c>
      <c r="AU677" s="176" t="s">
        <v>394</v>
      </c>
    </row>
    <row r="678" spans="1:47" s="218" customFormat="1" ht="25.5" customHeight="1" outlineLevel="2">
      <c r="A678" s="215" t="s">
        <v>125</v>
      </c>
      <c r="B678" s="151">
        <v>31</v>
      </c>
      <c r="C678" s="151" t="s">
        <v>128</v>
      </c>
      <c r="D678" s="245" t="s">
        <v>129</v>
      </c>
      <c r="E678" s="151" t="s">
        <v>169</v>
      </c>
      <c r="F678" s="151" t="s">
        <v>131</v>
      </c>
      <c r="G678" s="151" t="s">
        <v>35</v>
      </c>
      <c r="H678" s="151" t="s">
        <v>35</v>
      </c>
      <c r="I678" s="256">
        <v>33</v>
      </c>
      <c r="J678" s="151" t="s">
        <v>81</v>
      </c>
      <c r="K678" s="176" t="s">
        <v>132</v>
      </c>
      <c r="L678" s="245">
        <v>30487244</v>
      </c>
      <c r="M678" s="855"/>
      <c r="N678" s="245" t="e">
        <v>#N/A</v>
      </c>
      <c r="O678" s="245" t="s">
        <v>1008</v>
      </c>
      <c r="P678" s="398" t="s">
        <v>1009</v>
      </c>
      <c r="Q678" s="176" t="s">
        <v>1010</v>
      </c>
      <c r="R678" s="273"/>
      <c r="S678" s="274"/>
      <c r="T678" s="273"/>
      <c r="U678" s="273" t="s">
        <v>1535</v>
      </c>
      <c r="V678" s="273">
        <v>68104000</v>
      </c>
      <c r="W678" s="273"/>
      <c r="X678" s="274"/>
      <c r="Y678" s="275">
        <v>68106000</v>
      </c>
      <c r="Z678" s="275">
        <v>0</v>
      </c>
      <c r="AA678" s="296"/>
      <c r="AB678" s="297">
        <v>68106000</v>
      </c>
      <c r="AC678" s="297">
        <f t="shared" si="253"/>
        <v>0</v>
      </c>
      <c r="AD678" s="297">
        <f>+AB678-AC678</f>
        <v>68106000</v>
      </c>
      <c r="AE678" s="297">
        <v>0</v>
      </c>
      <c r="AF678" s="297">
        <v>0</v>
      </c>
      <c r="AG678" s="297">
        <v>0</v>
      </c>
      <c r="AH678" s="297">
        <v>0</v>
      </c>
      <c r="AI678" s="297">
        <v>0</v>
      </c>
      <c r="AJ678" s="297">
        <v>0</v>
      </c>
      <c r="AK678" s="297">
        <v>0</v>
      </c>
      <c r="AL678" s="297">
        <v>0</v>
      </c>
      <c r="AM678" s="297">
        <v>0</v>
      </c>
      <c r="AN678" s="297">
        <v>0</v>
      </c>
      <c r="AO678" s="297">
        <v>0</v>
      </c>
      <c r="AP678" s="297">
        <v>0</v>
      </c>
      <c r="AQ678" s="296"/>
      <c r="AR678" s="297">
        <f>+Y678-Z678-AC678-AD678</f>
        <v>0</v>
      </c>
      <c r="AS678" s="313" t="s">
        <v>148</v>
      </c>
      <c r="AT678" s="313" t="s">
        <v>1464</v>
      </c>
      <c r="AU678" s="176" t="s">
        <v>158</v>
      </c>
    </row>
    <row r="679" spans="1:47" s="218" customFormat="1" ht="25.5" customHeight="1" outlineLevel="2">
      <c r="A679" s="215" t="s">
        <v>125</v>
      </c>
      <c r="B679" s="151">
        <v>31</v>
      </c>
      <c r="C679" s="151" t="s">
        <v>128</v>
      </c>
      <c r="D679" s="245" t="s">
        <v>129</v>
      </c>
      <c r="E679" s="151" t="s">
        <v>169</v>
      </c>
      <c r="F679" s="151" t="s">
        <v>140</v>
      </c>
      <c r="G679" s="151" t="s">
        <v>35</v>
      </c>
      <c r="H679" s="151" t="s">
        <v>35</v>
      </c>
      <c r="I679" s="256">
        <v>33</v>
      </c>
      <c r="J679" s="151" t="s">
        <v>81</v>
      </c>
      <c r="K679" s="176" t="s">
        <v>132</v>
      </c>
      <c r="L679" s="245">
        <v>30135233</v>
      </c>
      <c r="M679" s="855"/>
      <c r="N679" s="245" t="e">
        <v>#N/A</v>
      </c>
      <c r="O679" s="245" t="s">
        <v>1011</v>
      </c>
      <c r="P679" s="398" t="s">
        <v>1012</v>
      </c>
      <c r="Q679" s="176" t="s">
        <v>1013</v>
      </c>
      <c r="R679" s="273" t="s">
        <v>1014</v>
      </c>
      <c r="S679" s="274"/>
      <c r="T679" s="273"/>
      <c r="U679" s="273" t="s">
        <v>1536</v>
      </c>
      <c r="V679" s="273">
        <v>2433282000</v>
      </c>
      <c r="W679" s="273"/>
      <c r="X679" s="274"/>
      <c r="Y679" s="275">
        <v>2433282000</v>
      </c>
      <c r="Z679" s="275">
        <v>0</v>
      </c>
      <c r="AA679" s="296"/>
      <c r="AB679" s="297">
        <f>700000000-127512837-77673048</f>
        <v>494814115</v>
      </c>
      <c r="AC679" s="297">
        <f t="shared" si="253"/>
        <v>0</v>
      </c>
      <c r="AD679" s="297">
        <f>+AB679-AC679</f>
        <v>494814115</v>
      </c>
      <c r="AE679" s="297">
        <v>0</v>
      </c>
      <c r="AF679" s="297">
        <v>0</v>
      </c>
      <c r="AG679" s="297">
        <v>0</v>
      </c>
      <c r="AH679" s="297">
        <v>0</v>
      </c>
      <c r="AI679" s="297">
        <v>0</v>
      </c>
      <c r="AJ679" s="297">
        <v>0</v>
      </c>
      <c r="AK679" s="297">
        <v>0</v>
      </c>
      <c r="AL679" s="297">
        <v>0</v>
      </c>
      <c r="AM679" s="297">
        <v>0</v>
      </c>
      <c r="AN679" s="297">
        <v>0</v>
      </c>
      <c r="AO679" s="297">
        <v>0</v>
      </c>
      <c r="AP679" s="297">
        <v>0</v>
      </c>
      <c r="AQ679" s="296"/>
      <c r="AR679" s="297">
        <f>+Y679-Z679-AC679-AD679</f>
        <v>1938467885</v>
      </c>
      <c r="AS679" s="313" t="s">
        <v>137</v>
      </c>
      <c r="AT679" s="313" t="s">
        <v>137</v>
      </c>
      <c r="AU679" s="176" t="s">
        <v>158</v>
      </c>
    </row>
    <row r="680" spans="1:47" s="217" customFormat="1" ht="25.5" customHeight="1" outlineLevel="1">
      <c r="A680" s="215" t="s">
        <v>125</v>
      </c>
      <c r="B680" s="151">
        <v>31</v>
      </c>
      <c r="C680" s="151" t="s">
        <v>196</v>
      </c>
      <c r="D680" s="245" t="s">
        <v>129</v>
      </c>
      <c r="E680" s="151" t="s">
        <v>169</v>
      </c>
      <c r="F680" s="151" t="s">
        <v>140</v>
      </c>
      <c r="G680" s="151" t="s">
        <v>35</v>
      </c>
      <c r="H680" s="151" t="s">
        <v>1015</v>
      </c>
      <c r="I680" s="256">
        <v>33</v>
      </c>
      <c r="J680" s="151" t="s">
        <v>82</v>
      </c>
      <c r="K680" s="176" t="s">
        <v>363</v>
      </c>
      <c r="L680" s="245">
        <v>30384235</v>
      </c>
      <c r="M680" s="855"/>
      <c r="N680" s="245"/>
      <c r="O680" s="245" t="s">
        <v>1458</v>
      </c>
      <c r="P680" s="398"/>
      <c r="Q680" s="176" t="s">
        <v>1016</v>
      </c>
      <c r="R680" s="273" t="s">
        <v>1017</v>
      </c>
      <c r="S680" s="274"/>
      <c r="T680" s="273"/>
      <c r="U680" s="273"/>
      <c r="V680" s="273"/>
      <c r="W680" s="273"/>
      <c r="X680" s="274"/>
      <c r="Y680" s="275">
        <v>814000000</v>
      </c>
      <c r="Z680" s="275">
        <v>0</v>
      </c>
      <c r="AA680" s="296"/>
      <c r="AB680" s="297">
        <v>0</v>
      </c>
      <c r="AC680" s="297">
        <f t="shared" si="253"/>
        <v>0</v>
      </c>
      <c r="AD680" s="297">
        <f t="shared" ref="AD680" si="260">+AB680-AC680</f>
        <v>0</v>
      </c>
      <c r="AE680" s="297">
        <v>0</v>
      </c>
      <c r="AF680" s="297">
        <v>0</v>
      </c>
      <c r="AG680" s="297">
        <v>0</v>
      </c>
      <c r="AH680" s="297">
        <v>0</v>
      </c>
      <c r="AI680" s="297">
        <v>0</v>
      </c>
      <c r="AJ680" s="297">
        <v>0</v>
      </c>
      <c r="AK680" s="297">
        <v>0</v>
      </c>
      <c r="AL680" s="297">
        <v>0</v>
      </c>
      <c r="AM680" s="297">
        <v>0</v>
      </c>
      <c r="AN680" s="297">
        <v>0</v>
      </c>
      <c r="AO680" s="297">
        <v>0</v>
      </c>
      <c r="AP680" s="297">
        <v>0</v>
      </c>
      <c r="AQ680" s="296"/>
      <c r="AR680" s="297">
        <f t="shared" ref="AR680:AR681" si="261">+Y680-Z680-AC680-AD680</f>
        <v>814000000</v>
      </c>
      <c r="AS680" s="313" t="s">
        <v>137</v>
      </c>
      <c r="AT680" s="313" t="s">
        <v>137</v>
      </c>
      <c r="AU680" s="176" t="s">
        <v>190</v>
      </c>
    </row>
    <row r="681" spans="1:47" s="217" customFormat="1" ht="25.5" customHeight="1" outlineLevel="1">
      <c r="A681" s="215" t="s">
        <v>125</v>
      </c>
      <c r="B681" s="247"/>
      <c r="C681" s="247"/>
      <c r="D681" s="248"/>
      <c r="E681" s="249"/>
      <c r="F681" s="249"/>
      <c r="G681" s="249"/>
      <c r="H681" s="249"/>
      <c r="I681" s="249"/>
      <c r="J681" s="247"/>
      <c r="K681" s="259"/>
      <c r="L681" s="248"/>
      <c r="M681" s="248"/>
      <c r="N681" s="250"/>
      <c r="O681" s="250"/>
      <c r="P681" s="250"/>
      <c r="Q681" s="260" t="s">
        <v>201</v>
      </c>
      <c r="R681" s="278"/>
      <c r="S681" s="279"/>
      <c r="T681" s="279"/>
      <c r="U681" s="279"/>
      <c r="V681" s="279"/>
      <c r="W681" s="279"/>
      <c r="X681" s="281"/>
      <c r="Y681" s="286">
        <f>SUBTOTAL(9,Y677:Y680)</f>
        <v>3445388000</v>
      </c>
      <c r="Z681" s="286">
        <f>SUBTOTAL(9,Z677:Z680)</f>
        <v>0</v>
      </c>
      <c r="AA681" s="303"/>
      <c r="AB681" s="286">
        <f t="shared" ref="AB681:AD681" si="262">SUBTOTAL(9,AB677:AB680)</f>
        <v>677920115</v>
      </c>
      <c r="AC681" s="286">
        <f>SUM(AE681:AP681)</f>
        <v>0</v>
      </c>
      <c r="AD681" s="286">
        <f t="shared" si="262"/>
        <v>677920115</v>
      </c>
      <c r="AE681" s="286">
        <f>SUM(AE677:AE680)</f>
        <v>0</v>
      </c>
      <c r="AF681" s="286">
        <f t="shared" ref="AF681:AP681" si="263">SUM(AF677:AF680)</f>
        <v>0</v>
      </c>
      <c r="AG681" s="286">
        <f t="shared" si="263"/>
        <v>0</v>
      </c>
      <c r="AH681" s="286">
        <f t="shared" si="263"/>
        <v>0</v>
      </c>
      <c r="AI681" s="286">
        <f t="shared" si="263"/>
        <v>0</v>
      </c>
      <c r="AJ681" s="286">
        <v>0</v>
      </c>
      <c r="AK681" s="286">
        <f t="shared" si="263"/>
        <v>0</v>
      </c>
      <c r="AL681" s="286">
        <f t="shared" si="263"/>
        <v>0</v>
      </c>
      <c r="AM681" s="286">
        <f t="shared" si="263"/>
        <v>0</v>
      </c>
      <c r="AN681" s="286">
        <f t="shared" si="263"/>
        <v>0</v>
      </c>
      <c r="AO681" s="286">
        <f t="shared" si="263"/>
        <v>0</v>
      </c>
      <c r="AP681" s="286">
        <f t="shared" si="263"/>
        <v>0</v>
      </c>
      <c r="AQ681" s="287"/>
      <c r="AR681" s="394">
        <f t="shared" si="261"/>
        <v>2767467885</v>
      </c>
      <c r="AS681" s="315"/>
      <c r="AT681" s="315"/>
      <c r="AU681" s="220"/>
    </row>
    <row r="682" spans="1:47" ht="18.75" customHeight="1" outlineLevel="1">
      <c r="A682" s="215" t="s">
        <v>125</v>
      </c>
      <c r="B682" s="249"/>
      <c r="C682" s="249"/>
      <c r="D682" s="250"/>
      <c r="E682" s="249"/>
      <c r="F682" s="249"/>
      <c r="G682" s="249"/>
      <c r="H682" s="249"/>
      <c r="I682" s="249"/>
      <c r="J682" s="249"/>
      <c r="K682" s="261"/>
      <c r="L682" s="250"/>
      <c r="M682" s="250"/>
      <c r="N682" s="250"/>
      <c r="O682" s="250"/>
      <c r="P682" s="250"/>
      <c r="Q682" s="261"/>
      <c r="R682" s="283"/>
      <c r="S682" s="283"/>
      <c r="T682" s="283"/>
      <c r="U682" s="283"/>
      <c r="V682" s="283"/>
      <c r="W682" s="283"/>
      <c r="X682" s="283"/>
      <c r="Y682" s="284"/>
      <c r="Z682" s="284"/>
      <c r="AA682" s="301"/>
      <c r="AB682" s="301"/>
      <c r="AC682" s="301"/>
      <c r="AD682" s="301"/>
      <c r="AE682" s="301"/>
      <c r="AF682" s="301"/>
      <c r="AG682" s="301"/>
      <c r="AH682" s="301"/>
      <c r="AI682" s="301"/>
      <c r="AJ682" s="301"/>
      <c r="AK682" s="301"/>
      <c r="AL682" s="301"/>
      <c r="AM682" s="301"/>
      <c r="AN682" s="301"/>
      <c r="AO682" s="301"/>
      <c r="AP682" s="301"/>
      <c r="AQ682" s="301"/>
      <c r="AR682" s="301"/>
      <c r="AS682" s="316"/>
      <c r="AT682" s="316"/>
      <c r="AU682" s="317"/>
    </row>
    <row r="683" spans="1:47" s="219" customFormat="1" ht="24.75" customHeight="1" outlineLevel="1">
      <c r="A683" s="215" t="s">
        <v>125</v>
      </c>
      <c r="B683" s="251"/>
      <c r="C683" s="249"/>
      <c r="D683" s="250"/>
      <c r="E683" s="249"/>
      <c r="F683" s="249"/>
      <c r="G683" s="249"/>
      <c r="H683" s="249"/>
      <c r="I683" s="249"/>
      <c r="J683" s="251"/>
      <c r="K683" s="263"/>
      <c r="L683" s="252"/>
      <c r="M683" s="252"/>
      <c r="N683" s="252"/>
      <c r="O683" s="252"/>
      <c r="P683" s="252"/>
      <c r="Q683" s="117" t="s">
        <v>1024</v>
      </c>
      <c r="R683" s="288"/>
      <c r="S683" s="289"/>
      <c r="T683" s="289"/>
      <c r="U683" s="289"/>
      <c r="V683" s="289"/>
      <c r="W683" s="289"/>
      <c r="X683" s="290"/>
      <c r="Y683" s="118">
        <f>+Y674+Y681</f>
        <v>4577760000</v>
      </c>
      <c r="Z683" s="118">
        <f>+Z674+Z681</f>
        <v>657416086</v>
      </c>
      <c r="AA683" s="304"/>
      <c r="AB683" s="118">
        <f t="shared" ref="AB683:AD683" si="264">+AB674+AB681</f>
        <v>1152876029</v>
      </c>
      <c r="AC683" s="118">
        <f t="shared" si="264"/>
        <v>62992534</v>
      </c>
      <c r="AD683" s="118">
        <f t="shared" si="264"/>
        <v>1089883495</v>
      </c>
      <c r="AE683" s="118">
        <f>+AE674+AE681</f>
        <v>0</v>
      </c>
      <c r="AF683" s="118">
        <f t="shared" ref="AF683:AP683" si="265">+AF674+AF681</f>
        <v>0</v>
      </c>
      <c r="AG683" s="118">
        <f t="shared" si="265"/>
        <v>0</v>
      </c>
      <c r="AH683" s="118">
        <f t="shared" si="265"/>
        <v>0</v>
      </c>
      <c r="AI683" s="118">
        <f t="shared" si="265"/>
        <v>0</v>
      </c>
      <c r="AJ683" s="118">
        <v>0</v>
      </c>
      <c r="AK683" s="118">
        <f t="shared" si="265"/>
        <v>5357276</v>
      </c>
      <c r="AL683" s="118">
        <f t="shared" si="265"/>
        <v>0</v>
      </c>
      <c r="AM683" s="118">
        <f t="shared" si="265"/>
        <v>3380268</v>
      </c>
      <c r="AN683" s="118">
        <f t="shared" si="265"/>
        <v>54254990</v>
      </c>
      <c r="AO683" s="118">
        <f t="shared" si="265"/>
        <v>0</v>
      </c>
      <c r="AP683" s="118">
        <f t="shared" si="265"/>
        <v>0</v>
      </c>
      <c r="AQ683" s="318"/>
      <c r="AR683" s="118">
        <f>+Y683-Z683-AC683-AD683</f>
        <v>2767467885</v>
      </c>
      <c r="AS683" s="333"/>
      <c r="AT683" s="333"/>
      <c r="AU683" s="320"/>
    </row>
    <row r="684" spans="1:47" ht="18.75" customHeight="1" outlineLevel="1">
      <c r="A684" s="215" t="s">
        <v>125</v>
      </c>
      <c r="B684" s="249"/>
      <c r="C684" s="249"/>
      <c r="D684" s="250"/>
      <c r="E684" s="249"/>
      <c r="F684" s="249"/>
      <c r="G684" s="249"/>
      <c r="H684" s="249"/>
      <c r="I684" s="249"/>
      <c r="J684" s="249"/>
      <c r="K684" s="261"/>
      <c r="L684" s="250"/>
      <c r="M684" s="250"/>
      <c r="N684" s="250"/>
      <c r="O684" s="250"/>
      <c r="P684" s="250"/>
      <c r="Q684" s="261"/>
      <c r="R684" s="283"/>
      <c r="S684" s="283"/>
      <c r="T684" s="283"/>
      <c r="U684" s="283"/>
      <c r="V684" s="283"/>
      <c r="W684" s="283"/>
      <c r="X684" s="283"/>
      <c r="Y684" s="284"/>
      <c r="Z684" s="284"/>
      <c r="AA684" s="301"/>
      <c r="AB684" s="301"/>
      <c r="AC684" s="301"/>
      <c r="AD684" s="301"/>
      <c r="AE684" s="301"/>
      <c r="AF684" s="301"/>
      <c r="AG684" s="301"/>
      <c r="AH684" s="301"/>
      <c r="AI684" s="301"/>
      <c r="AJ684" s="301"/>
      <c r="AK684" s="301"/>
      <c r="AL684" s="301"/>
      <c r="AM684" s="301"/>
      <c r="AN684" s="301"/>
      <c r="AO684" s="301"/>
      <c r="AP684" s="301"/>
      <c r="AQ684" s="301"/>
      <c r="AR684" s="301"/>
      <c r="AS684" s="316"/>
      <c r="AT684" s="316"/>
      <c r="AU684" s="317"/>
    </row>
    <row r="685" spans="1:47" ht="21" customHeight="1" outlineLevel="1">
      <c r="A685" s="215" t="s">
        <v>125</v>
      </c>
      <c r="B685" s="249"/>
      <c r="C685" s="249"/>
      <c r="D685" s="250"/>
      <c r="E685" s="249"/>
      <c r="F685" s="249"/>
      <c r="G685" s="249"/>
      <c r="H685" s="249"/>
      <c r="I685" s="249"/>
      <c r="J685" s="249"/>
      <c r="K685" s="261"/>
      <c r="L685" s="250"/>
      <c r="M685" s="250"/>
      <c r="N685" s="250"/>
      <c r="O685" s="250"/>
      <c r="P685" s="250"/>
      <c r="Q685" s="409" t="s">
        <v>336</v>
      </c>
      <c r="R685" s="283"/>
      <c r="S685" s="283"/>
      <c r="T685" s="283"/>
      <c r="U685" s="283"/>
      <c r="V685" s="283"/>
      <c r="W685" s="283"/>
      <c r="X685" s="283"/>
      <c r="Y685" s="284"/>
      <c r="Z685" s="284"/>
      <c r="AA685" s="301"/>
      <c r="AB685" s="301"/>
      <c r="AC685" s="301"/>
      <c r="AD685" s="301"/>
      <c r="AE685" s="301"/>
      <c r="AF685" s="301"/>
      <c r="AG685" s="301"/>
      <c r="AH685" s="301"/>
      <c r="AI685" s="301"/>
      <c r="AJ685" s="301"/>
      <c r="AK685" s="301"/>
      <c r="AL685" s="301"/>
      <c r="AM685" s="301"/>
      <c r="AN685" s="301"/>
      <c r="AO685" s="301"/>
      <c r="AP685" s="301"/>
      <c r="AQ685" s="301"/>
      <c r="AR685" s="301"/>
      <c r="AS685" s="316"/>
      <c r="AT685" s="316"/>
      <c r="AU685" s="317"/>
    </row>
    <row r="686" spans="1:47" s="216" customFormat="1" ht="15" customHeight="1" outlineLevel="1">
      <c r="A686" s="215" t="s">
        <v>125</v>
      </c>
      <c r="B686" s="249"/>
      <c r="C686" s="249"/>
      <c r="D686" s="250"/>
      <c r="E686" s="249"/>
      <c r="F686" s="249"/>
      <c r="G686" s="249"/>
      <c r="H686" s="249"/>
      <c r="I686" s="249"/>
      <c r="J686" s="249"/>
      <c r="K686" s="261"/>
      <c r="L686" s="250"/>
      <c r="M686" s="250"/>
      <c r="N686" s="250"/>
      <c r="O686" s="250"/>
      <c r="P686" s="250"/>
      <c r="Q686" s="340"/>
      <c r="R686" s="283"/>
      <c r="S686" s="283"/>
      <c r="T686" s="283"/>
      <c r="U686" s="283"/>
      <c r="V686" s="283"/>
      <c r="W686" s="283"/>
      <c r="X686" s="283"/>
      <c r="Y686" s="284"/>
      <c r="Z686" s="284"/>
      <c r="AA686" s="301"/>
      <c r="AB686" s="301"/>
      <c r="AC686" s="301"/>
      <c r="AD686" s="301"/>
      <c r="AE686" s="301"/>
      <c r="AF686" s="301"/>
      <c r="AG686" s="301"/>
      <c r="AH686" s="301"/>
      <c r="AI686" s="301"/>
      <c r="AJ686" s="301"/>
      <c r="AK686" s="301"/>
      <c r="AL686" s="301"/>
      <c r="AM686" s="301"/>
      <c r="AN686" s="301"/>
      <c r="AO686" s="301"/>
      <c r="AP686" s="301"/>
      <c r="AQ686" s="301"/>
      <c r="AR686" s="301"/>
      <c r="AS686" s="316"/>
      <c r="AT686" s="316"/>
      <c r="AU686" s="317"/>
    </row>
    <row r="687" spans="1:47" s="217" customFormat="1" ht="25.5" customHeight="1" outlineLevel="1">
      <c r="A687" s="215" t="s">
        <v>125</v>
      </c>
      <c r="B687" s="247"/>
      <c r="C687" s="247"/>
      <c r="D687" s="248"/>
      <c r="E687" s="249"/>
      <c r="F687" s="249"/>
      <c r="G687" s="249"/>
      <c r="H687" s="249"/>
      <c r="I687" s="249"/>
      <c r="J687" s="247"/>
      <c r="K687" s="259"/>
      <c r="L687" s="248"/>
      <c r="M687" s="248"/>
      <c r="N687" s="250"/>
      <c r="O687" s="250"/>
      <c r="P687" s="250"/>
      <c r="Q687" s="99" t="s">
        <v>127</v>
      </c>
      <c r="R687" s="283"/>
      <c r="S687" s="283"/>
      <c r="T687" s="283"/>
      <c r="U687" s="283"/>
      <c r="V687" s="283"/>
      <c r="W687" s="283"/>
      <c r="X687" s="283"/>
      <c r="Y687" s="285"/>
      <c r="Z687" s="285"/>
      <c r="AA687" s="302"/>
      <c r="AB687" s="302"/>
      <c r="AC687" s="302"/>
      <c r="AD687" s="302"/>
      <c r="AE687" s="302"/>
      <c r="AF687" s="302"/>
      <c r="AG687" s="302"/>
      <c r="AH687" s="301"/>
      <c r="AI687" s="301"/>
      <c r="AJ687" s="301"/>
      <c r="AK687" s="301"/>
      <c r="AL687" s="301"/>
      <c r="AM687" s="301"/>
      <c r="AN687" s="301"/>
      <c r="AO687" s="301"/>
      <c r="AP687" s="301"/>
      <c r="AQ687" s="302"/>
      <c r="AR687" s="302"/>
      <c r="AS687" s="315"/>
      <c r="AT687" s="315"/>
      <c r="AU687" s="220"/>
    </row>
    <row r="688" spans="1:47" s="218" customFormat="1" ht="25.5" customHeight="1" outlineLevel="2">
      <c r="A688" s="215" t="s">
        <v>125</v>
      </c>
      <c r="B688" s="151">
        <v>31</v>
      </c>
      <c r="C688" s="151" t="s">
        <v>128</v>
      </c>
      <c r="D688" s="245" t="s">
        <v>129</v>
      </c>
      <c r="E688" s="151" t="s">
        <v>169</v>
      </c>
      <c r="F688" s="151" t="s">
        <v>131</v>
      </c>
      <c r="G688" s="151" t="s">
        <v>35</v>
      </c>
      <c r="H688" s="151" t="s">
        <v>67</v>
      </c>
      <c r="I688" s="256">
        <v>34</v>
      </c>
      <c r="J688" s="151" t="s">
        <v>82</v>
      </c>
      <c r="K688" s="176" t="s">
        <v>132</v>
      </c>
      <c r="L688" s="245">
        <v>30342673</v>
      </c>
      <c r="M688" s="855" t="s">
        <v>1609</v>
      </c>
      <c r="N688" s="245" t="s">
        <v>953</v>
      </c>
      <c r="O688" s="245" t="s">
        <v>1025</v>
      </c>
      <c r="P688" s="245"/>
      <c r="Q688" s="176" t="s">
        <v>1026</v>
      </c>
      <c r="R688" s="273"/>
      <c r="S688" s="274"/>
      <c r="T688" s="273"/>
      <c r="U688" s="273"/>
      <c r="V688" s="273"/>
      <c r="W688" s="273"/>
      <c r="X688" s="274"/>
      <c r="Y688" s="275">
        <v>9788091000</v>
      </c>
      <c r="Z688" s="275">
        <v>131704474</v>
      </c>
      <c r="AA688" s="296"/>
      <c r="AB688" s="297">
        <f>1420032017-284031169-996348803</f>
        <v>139652045</v>
      </c>
      <c r="AC688" s="297">
        <f t="shared" si="253"/>
        <v>1580902</v>
      </c>
      <c r="AD688" s="297">
        <f>+AB688-AC688</f>
        <v>138071143</v>
      </c>
      <c r="AE688" s="297">
        <v>0</v>
      </c>
      <c r="AF688" s="297">
        <v>0</v>
      </c>
      <c r="AG688" s="297">
        <v>0</v>
      </c>
      <c r="AH688" s="297">
        <v>0</v>
      </c>
      <c r="AI688" s="297">
        <v>0</v>
      </c>
      <c r="AJ688" s="297">
        <v>1491328</v>
      </c>
      <c r="AK688" s="297">
        <v>0</v>
      </c>
      <c r="AL688" s="297">
        <v>0</v>
      </c>
      <c r="AM688" s="297">
        <v>0</v>
      </c>
      <c r="AN688" s="297">
        <v>0</v>
      </c>
      <c r="AO688" s="297">
        <v>89574</v>
      </c>
      <c r="AP688" s="297">
        <v>0</v>
      </c>
      <c r="AQ688" s="296"/>
      <c r="AR688" s="297">
        <f>+Y688-Z688-AC688-AD688</f>
        <v>9516734481</v>
      </c>
      <c r="AS688" s="313" t="s">
        <v>137</v>
      </c>
      <c r="AT688" s="313" t="s">
        <v>137</v>
      </c>
      <c r="AU688" s="176" t="s">
        <v>138</v>
      </c>
    </row>
    <row r="689" spans="1:47" s="218" customFormat="1" ht="25.5" customHeight="1" outlineLevel="2">
      <c r="A689" s="215" t="s">
        <v>125</v>
      </c>
      <c r="B689" s="151">
        <v>31</v>
      </c>
      <c r="C689" s="151" t="s">
        <v>128</v>
      </c>
      <c r="D689" s="245" t="s">
        <v>129</v>
      </c>
      <c r="E689" s="151" t="s">
        <v>169</v>
      </c>
      <c r="F689" s="151" t="s">
        <v>131</v>
      </c>
      <c r="G689" s="151" t="s">
        <v>35</v>
      </c>
      <c r="H689" s="151" t="s">
        <v>67</v>
      </c>
      <c r="I689" s="256">
        <v>34</v>
      </c>
      <c r="J689" s="151" t="s">
        <v>82</v>
      </c>
      <c r="K689" s="176" t="s">
        <v>132</v>
      </c>
      <c r="L689" s="245">
        <v>30342679</v>
      </c>
      <c r="M689" s="855" t="s">
        <v>1609</v>
      </c>
      <c r="N689" s="245" t="s">
        <v>953</v>
      </c>
      <c r="O689" s="245" t="s">
        <v>1027</v>
      </c>
      <c r="P689" s="245"/>
      <c r="Q689" s="176" t="s">
        <v>1028</v>
      </c>
      <c r="R689" s="273" t="s">
        <v>1029</v>
      </c>
      <c r="S689" s="274"/>
      <c r="T689" s="273"/>
      <c r="U689" s="273"/>
      <c r="V689" s="273"/>
      <c r="W689" s="273"/>
      <c r="X689" s="274"/>
      <c r="Y689" s="275">
        <v>4990418000</v>
      </c>
      <c r="Z689" s="275">
        <v>702332859</v>
      </c>
      <c r="AA689" s="296"/>
      <c r="AB689" s="297">
        <f>2950000000+50552610+996348803+82943000</f>
        <v>4079844413</v>
      </c>
      <c r="AC689" s="297">
        <f t="shared" si="253"/>
        <v>3996901413</v>
      </c>
      <c r="AD689" s="297">
        <f>+AB689-AC689</f>
        <v>82943000</v>
      </c>
      <c r="AE689" s="297">
        <v>0</v>
      </c>
      <c r="AF689" s="297">
        <v>0</v>
      </c>
      <c r="AG689" s="297">
        <v>0</v>
      </c>
      <c r="AH689" s="297">
        <v>0</v>
      </c>
      <c r="AI689" s="297">
        <v>0</v>
      </c>
      <c r="AJ689" s="297">
        <v>0</v>
      </c>
      <c r="AK689" s="297">
        <v>996348803</v>
      </c>
      <c r="AL689" s="297">
        <v>305238896</v>
      </c>
      <c r="AM689" s="297">
        <v>659311844</v>
      </c>
      <c r="AN689" s="297">
        <v>1004277006</v>
      </c>
      <c r="AO689" s="297">
        <v>869201596</v>
      </c>
      <c r="AP689" s="297">
        <v>162523268</v>
      </c>
      <c r="AQ689" s="296"/>
      <c r="AR689" s="297">
        <f>+Y689-Z689-AC689-AD689</f>
        <v>208240728</v>
      </c>
      <c r="AS689" s="313" t="s">
        <v>148</v>
      </c>
      <c r="AT689" s="313" t="s">
        <v>1464</v>
      </c>
      <c r="AU689" s="176" t="s">
        <v>138</v>
      </c>
    </row>
    <row r="690" spans="1:47" s="218" customFormat="1" ht="25.5" customHeight="1" outlineLevel="2">
      <c r="A690" s="215" t="s">
        <v>125</v>
      </c>
      <c r="B690" s="151">
        <v>29</v>
      </c>
      <c r="C690" s="151" t="s">
        <v>196</v>
      </c>
      <c r="D690" s="245" t="s">
        <v>164</v>
      </c>
      <c r="E690" s="151" t="s">
        <v>130</v>
      </c>
      <c r="F690" s="151" t="s">
        <v>164</v>
      </c>
      <c r="G690" s="151" t="s">
        <v>35</v>
      </c>
      <c r="H690" s="151" t="s">
        <v>67</v>
      </c>
      <c r="I690" s="256">
        <v>34</v>
      </c>
      <c r="J690" s="151" t="s">
        <v>80</v>
      </c>
      <c r="K690" s="176" t="s">
        <v>132</v>
      </c>
      <c r="L690" s="245">
        <v>30428989</v>
      </c>
      <c r="M690" s="855"/>
      <c r="N690" s="245"/>
      <c r="O690" s="245" t="s">
        <v>1030</v>
      </c>
      <c r="P690" s="245"/>
      <c r="Q690" s="176" t="s">
        <v>1031</v>
      </c>
      <c r="R690" s="273" t="s">
        <v>1032</v>
      </c>
      <c r="S690" s="274"/>
      <c r="T690" s="273"/>
      <c r="U690" s="273"/>
      <c r="V690" s="273"/>
      <c r="W690" s="273"/>
      <c r="X690" s="274"/>
      <c r="Y690" s="275">
        <v>505927000</v>
      </c>
      <c r="Z690" s="275">
        <v>451230101</v>
      </c>
      <c r="AA690" s="296"/>
      <c r="AB690" s="297">
        <v>6378765</v>
      </c>
      <c r="AC690" s="297">
        <f t="shared" si="253"/>
        <v>6378765</v>
      </c>
      <c r="AD690" s="297">
        <f>+AB690-AC690</f>
        <v>0</v>
      </c>
      <c r="AE690" s="297"/>
      <c r="AF690" s="297"/>
      <c r="AG690" s="297"/>
      <c r="AH690" s="297"/>
      <c r="AI690" s="297"/>
      <c r="AJ690" s="297">
        <v>0</v>
      </c>
      <c r="AK690" s="297">
        <v>6378765</v>
      </c>
      <c r="AL690" s="297">
        <v>0</v>
      </c>
      <c r="AM690" s="297">
        <v>0</v>
      </c>
      <c r="AN690" s="297">
        <v>0</v>
      </c>
      <c r="AO690" s="297"/>
      <c r="AP690" s="297"/>
      <c r="AQ690" s="296"/>
      <c r="AR690" s="297">
        <f>+Y690-Z690-AC690-AD690</f>
        <v>48318134</v>
      </c>
      <c r="AS690" s="313" t="s">
        <v>148</v>
      </c>
      <c r="AT690" s="313" t="s">
        <v>1464</v>
      </c>
      <c r="AU690" s="176" t="s">
        <v>138</v>
      </c>
    </row>
    <row r="691" spans="1:47" s="218" customFormat="1" ht="25.5" customHeight="1" outlineLevel="2">
      <c r="A691" s="215" t="s">
        <v>125</v>
      </c>
      <c r="B691" s="151">
        <v>31</v>
      </c>
      <c r="C691" s="151" t="s">
        <v>128</v>
      </c>
      <c r="D691" s="245" t="s">
        <v>129</v>
      </c>
      <c r="E691" s="151" t="s">
        <v>169</v>
      </c>
      <c r="F691" s="151" t="s">
        <v>131</v>
      </c>
      <c r="G691" s="151" t="s">
        <v>35</v>
      </c>
      <c r="H691" s="151" t="s">
        <v>67</v>
      </c>
      <c r="I691" s="256">
        <v>34</v>
      </c>
      <c r="J691" s="151" t="s">
        <v>82</v>
      </c>
      <c r="K691" s="176" t="s">
        <v>132</v>
      </c>
      <c r="L691" s="245">
        <v>30371674</v>
      </c>
      <c r="M691" s="855" t="s">
        <v>1609</v>
      </c>
      <c r="N691" s="245" t="s">
        <v>953</v>
      </c>
      <c r="O691" s="245" t="s">
        <v>1033</v>
      </c>
      <c r="P691" s="245"/>
      <c r="Q691" s="176" t="s">
        <v>1034</v>
      </c>
      <c r="R691" s="273"/>
      <c r="S691" s="274"/>
      <c r="T691" s="273"/>
      <c r="U691" s="273"/>
      <c r="V691" s="273"/>
      <c r="W691" s="273"/>
      <c r="X691" s="274"/>
      <c r="Y691" s="275">
        <v>2400000000</v>
      </c>
      <c r="Z691" s="275">
        <v>557673192</v>
      </c>
      <c r="AA691" s="296"/>
      <c r="AB691" s="297">
        <f>800000000-82943000</f>
        <v>717057000</v>
      </c>
      <c r="AC691" s="297">
        <f t="shared" si="253"/>
        <v>419806542</v>
      </c>
      <c r="AD691" s="297">
        <f>+AB691-AC691</f>
        <v>297250458</v>
      </c>
      <c r="AE691" s="297">
        <v>0</v>
      </c>
      <c r="AF691" s="297">
        <v>0</v>
      </c>
      <c r="AG691" s="297">
        <v>0</v>
      </c>
      <c r="AH691" s="297">
        <v>0</v>
      </c>
      <c r="AI691" s="297">
        <v>0</v>
      </c>
      <c r="AJ691" s="297">
        <v>0</v>
      </c>
      <c r="AK691" s="297">
        <v>0</v>
      </c>
      <c r="AL691" s="297">
        <v>0</v>
      </c>
      <c r="AM691" s="297">
        <v>0</v>
      </c>
      <c r="AN691" s="297">
        <v>0</v>
      </c>
      <c r="AO691" s="297">
        <v>0</v>
      </c>
      <c r="AP691" s="297">
        <v>419806542</v>
      </c>
      <c r="AQ691" s="296"/>
      <c r="AR691" s="297">
        <f>+Y691-Z691-AC691-AD691</f>
        <v>1125269808</v>
      </c>
      <c r="AS691" s="313" t="s">
        <v>137</v>
      </c>
      <c r="AT691" s="313" t="s">
        <v>137</v>
      </c>
      <c r="AU691" s="176" t="s">
        <v>138</v>
      </c>
    </row>
    <row r="692" spans="1:47" s="217" customFormat="1" ht="25.5" customHeight="1" outlineLevel="1">
      <c r="A692" s="215" t="s">
        <v>125</v>
      </c>
      <c r="B692" s="247"/>
      <c r="C692" s="247"/>
      <c r="D692" s="248"/>
      <c r="E692" s="249"/>
      <c r="F692" s="249"/>
      <c r="G692" s="249"/>
      <c r="H692" s="249"/>
      <c r="I692" s="249"/>
      <c r="J692" s="247"/>
      <c r="K692" s="259"/>
      <c r="L692" s="248"/>
      <c r="M692" s="248"/>
      <c r="N692" s="250"/>
      <c r="O692" s="250"/>
      <c r="P692" s="250"/>
      <c r="Q692" s="260" t="s">
        <v>187</v>
      </c>
      <c r="R692" s="278"/>
      <c r="S692" s="279"/>
      <c r="T692" s="279"/>
      <c r="U692" s="279"/>
      <c r="V692" s="279"/>
      <c r="W692" s="279"/>
      <c r="X692" s="281"/>
      <c r="Y692" s="286">
        <f>+Y688+Y689+Y691+Y690</f>
        <v>17684436000</v>
      </c>
      <c r="Z692" s="286">
        <f>+Z688+Z689+Z691+Z690</f>
        <v>1842940626</v>
      </c>
      <c r="AA692" s="303"/>
      <c r="AB692" s="286">
        <f t="shared" ref="AB692:AP692" si="266">+AB688+AB689+AB691+AB690</f>
        <v>4942932223</v>
      </c>
      <c r="AC692" s="286">
        <f t="shared" si="253"/>
        <v>4424667622</v>
      </c>
      <c r="AD692" s="286">
        <f t="shared" si="266"/>
        <v>518264601</v>
      </c>
      <c r="AE692" s="286">
        <f t="shared" si="266"/>
        <v>0</v>
      </c>
      <c r="AF692" s="286">
        <f t="shared" si="266"/>
        <v>0</v>
      </c>
      <c r="AG692" s="286">
        <f t="shared" si="266"/>
        <v>0</v>
      </c>
      <c r="AH692" s="286">
        <f t="shared" si="266"/>
        <v>0</v>
      </c>
      <c r="AI692" s="286">
        <f t="shared" si="266"/>
        <v>0</v>
      </c>
      <c r="AJ692" s="286">
        <v>1491328</v>
      </c>
      <c r="AK692" s="286">
        <v>1002727568</v>
      </c>
      <c r="AL692" s="286">
        <v>305238896</v>
      </c>
      <c r="AM692" s="286">
        <f t="shared" si="266"/>
        <v>659311844</v>
      </c>
      <c r="AN692" s="286">
        <f t="shared" si="266"/>
        <v>1004277006</v>
      </c>
      <c r="AO692" s="286">
        <f t="shared" si="266"/>
        <v>869291170</v>
      </c>
      <c r="AP692" s="286">
        <f t="shared" si="266"/>
        <v>582329810</v>
      </c>
      <c r="AQ692" s="287"/>
      <c r="AR692" s="394">
        <f>+Y692-Z692-AC692-AD692</f>
        <v>10898563151</v>
      </c>
      <c r="AS692" s="315"/>
      <c r="AT692" s="315"/>
      <c r="AU692" s="220"/>
    </row>
    <row r="693" spans="1:47" ht="18.75" customHeight="1" outlineLevel="1">
      <c r="A693" s="215" t="s">
        <v>125</v>
      </c>
      <c r="B693" s="249"/>
      <c r="C693" s="249"/>
      <c r="D693" s="250"/>
      <c r="E693" s="249"/>
      <c r="F693" s="249"/>
      <c r="G693" s="249"/>
      <c r="H693" s="249"/>
      <c r="I693" s="249"/>
      <c r="J693" s="249"/>
      <c r="K693" s="261"/>
      <c r="L693" s="250"/>
      <c r="M693" s="250"/>
      <c r="N693" s="250"/>
      <c r="O693" s="250"/>
      <c r="P693" s="250"/>
      <c r="Q693" s="261"/>
      <c r="R693" s="283"/>
      <c r="S693" s="283"/>
      <c r="T693" s="283"/>
      <c r="U693" s="283"/>
      <c r="V693" s="283"/>
      <c r="W693" s="283"/>
      <c r="X693" s="283"/>
      <c r="Y693" s="284"/>
      <c r="Z693" s="284"/>
      <c r="AA693" s="301"/>
      <c r="AB693" s="301"/>
      <c r="AC693" s="301"/>
      <c r="AD693" s="301"/>
      <c r="AE693" s="301"/>
      <c r="AF693" s="301"/>
      <c r="AG693" s="301"/>
      <c r="AH693" s="301"/>
      <c r="AI693" s="301"/>
      <c r="AJ693" s="301"/>
      <c r="AK693" s="301"/>
      <c r="AL693" s="301"/>
      <c r="AM693" s="301"/>
      <c r="AN693" s="301"/>
      <c r="AO693" s="301"/>
      <c r="AP693" s="301"/>
      <c r="AQ693" s="301"/>
      <c r="AR693" s="301"/>
      <c r="AS693" s="316"/>
      <c r="AT693" s="316"/>
      <c r="AU693" s="317"/>
    </row>
    <row r="694" spans="1:47" s="217" customFormat="1" ht="25.5" customHeight="1" outlineLevel="1">
      <c r="A694" s="215" t="s">
        <v>125</v>
      </c>
      <c r="B694" s="247"/>
      <c r="C694" s="247"/>
      <c r="D694" s="248"/>
      <c r="E694" s="249"/>
      <c r="F694" s="249"/>
      <c r="G694" s="249"/>
      <c r="H694" s="249"/>
      <c r="I694" s="249"/>
      <c r="J694" s="247"/>
      <c r="K694" s="259"/>
      <c r="L694" s="248"/>
      <c r="M694" s="248"/>
      <c r="N694" s="250"/>
      <c r="O694" s="250"/>
      <c r="P694" s="250"/>
      <c r="Q694" s="99" t="s">
        <v>188</v>
      </c>
      <c r="R694" s="283"/>
      <c r="S694" s="283"/>
      <c r="T694" s="283"/>
      <c r="U694" s="283"/>
      <c r="V694" s="283"/>
      <c r="W694" s="283"/>
      <c r="X694" s="283"/>
      <c r="Y694" s="285"/>
      <c r="Z694" s="285"/>
      <c r="AA694" s="302"/>
      <c r="AB694" s="302"/>
      <c r="AC694" s="302"/>
      <c r="AD694" s="302"/>
      <c r="AE694" s="302"/>
      <c r="AF694" s="302"/>
      <c r="AG694" s="302"/>
      <c r="AH694" s="301"/>
      <c r="AI694" s="301"/>
      <c r="AJ694" s="301"/>
      <c r="AK694" s="301"/>
      <c r="AL694" s="301"/>
      <c r="AM694" s="301"/>
      <c r="AN694" s="301"/>
      <c r="AO694" s="301"/>
      <c r="AP694" s="301"/>
      <c r="AQ694" s="302"/>
      <c r="AR694" s="302"/>
      <c r="AS694" s="315"/>
      <c r="AT694" s="315"/>
      <c r="AU694" s="220"/>
    </row>
    <row r="695" spans="1:47" s="218" customFormat="1" ht="25.5" customHeight="1" outlineLevel="2">
      <c r="A695" s="215" t="s">
        <v>125</v>
      </c>
      <c r="B695" s="151">
        <v>29</v>
      </c>
      <c r="C695" s="151" t="s">
        <v>128</v>
      </c>
      <c r="D695" s="245" t="s">
        <v>149</v>
      </c>
      <c r="E695" s="151" t="s">
        <v>169</v>
      </c>
      <c r="F695" s="151" t="s">
        <v>140</v>
      </c>
      <c r="G695" s="151" t="s">
        <v>35</v>
      </c>
      <c r="H695" s="151" t="s">
        <v>67</v>
      </c>
      <c r="I695" s="256">
        <v>34</v>
      </c>
      <c r="J695" s="151" t="s">
        <v>80</v>
      </c>
      <c r="K695" s="176" t="s">
        <v>132</v>
      </c>
      <c r="L695" s="245">
        <v>30398377</v>
      </c>
      <c r="M695" s="855"/>
      <c r="N695" s="245" t="e">
        <v>#N/A</v>
      </c>
      <c r="O695" s="245" t="s">
        <v>1035</v>
      </c>
      <c r="P695" s="245"/>
      <c r="Q695" s="176" t="s">
        <v>1036</v>
      </c>
      <c r="R695" s="273"/>
      <c r="S695" s="274"/>
      <c r="T695" s="273"/>
      <c r="U695" s="273"/>
      <c r="V695" s="273"/>
      <c r="W695" s="273"/>
      <c r="X695" s="274"/>
      <c r="Y695" s="275">
        <v>33689000</v>
      </c>
      <c r="Z695" s="275">
        <v>0</v>
      </c>
      <c r="AA695" s="296"/>
      <c r="AB695" s="297">
        <v>33689000</v>
      </c>
      <c r="AC695" s="297">
        <f t="shared" si="253"/>
        <v>0</v>
      </c>
      <c r="AD695" s="297">
        <f>+AB695-AC695</f>
        <v>33689000</v>
      </c>
      <c r="AE695" s="297">
        <v>0</v>
      </c>
      <c r="AF695" s="297">
        <v>0</v>
      </c>
      <c r="AG695" s="297">
        <v>0</v>
      </c>
      <c r="AH695" s="297">
        <v>0</v>
      </c>
      <c r="AI695" s="297">
        <v>0</v>
      </c>
      <c r="AJ695" s="297">
        <v>0</v>
      </c>
      <c r="AK695" s="297">
        <v>0</v>
      </c>
      <c r="AL695" s="297">
        <v>0</v>
      </c>
      <c r="AM695" s="297">
        <v>0</v>
      </c>
      <c r="AN695" s="297">
        <v>0</v>
      </c>
      <c r="AO695" s="297">
        <v>0</v>
      </c>
      <c r="AP695" s="297">
        <v>0</v>
      </c>
      <c r="AQ695" s="296"/>
      <c r="AR695" s="297">
        <f>+Y695-Z695-AC695-AD695</f>
        <v>0</v>
      </c>
      <c r="AS695" s="313" t="s">
        <v>148</v>
      </c>
      <c r="AT695" s="313" t="s">
        <v>1464</v>
      </c>
      <c r="AU695" s="176" t="s">
        <v>200</v>
      </c>
    </row>
    <row r="696" spans="1:47" s="218" customFormat="1" ht="25.5" customHeight="1" outlineLevel="2">
      <c r="A696" s="215" t="s">
        <v>125</v>
      </c>
      <c r="B696" s="151">
        <v>31</v>
      </c>
      <c r="C696" s="151" t="s">
        <v>128</v>
      </c>
      <c r="D696" s="245" t="s">
        <v>129</v>
      </c>
      <c r="E696" s="151" t="s">
        <v>169</v>
      </c>
      <c r="F696" s="151" t="s">
        <v>131</v>
      </c>
      <c r="G696" s="151" t="s">
        <v>35</v>
      </c>
      <c r="H696" s="151" t="s">
        <v>67</v>
      </c>
      <c r="I696" s="256">
        <v>34</v>
      </c>
      <c r="J696" s="151" t="s">
        <v>82</v>
      </c>
      <c r="K696" s="176" t="s">
        <v>132</v>
      </c>
      <c r="L696" s="245">
        <v>30384677</v>
      </c>
      <c r="M696" s="855" t="s">
        <v>1609</v>
      </c>
      <c r="N696" s="245" t="e">
        <v>#N/A</v>
      </c>
      <c r="O696" s="245" t="s">
        <v>1037</v>
      </c>
      <c r="P696" s="245"/>
      <c r="Q696" s="176" t="s">
        <v>1038</v>
      </c>
      <c r="R696" s="273"/>
      <c r="S696" s="274"/>
      <c r="T696" s="273"/>
      <c r="U696" s="273"/>
      <c r="V696" s="273"/>
      <c r="W696" s="273"/>
      <c r="X696" s="274"/>
      <c r="Y696" s="275">
        <v>25923943000</v>
      </c>
      <c r="Z696" s="275">
        <v>0</v>
      </c>
      <c r="AA696" s="296"/>
      <c r="AB696" s="297">
        <f>964958615-50552610</f>
        <v>914406005</v>
      </c>
      <c r="AC696" s="297">
        <f t="shared" si="253"/>
        <v>0</v>
      </c>
      <c r="AD696" s="297">
        <f>+AB696-AC696</f>
        <v>914406005</v>
      </c>
      <c r="AE696" s="297">
        <v>0</v>
      </c>
      <c r="AF696" s="297">
        <v>0</v>
      </c>
      <c r="AG696" s="297">
        <v>0</v>
      </c>
      <c r="AH696" s="297">
        <v>0</v>
      </c>
      <c r="AI696" s="297">
        <v>0</v>
      </c>
      <c r="AJ696" s="297">
        <v>0</v>
      </c>
      <c r="AK696" s="297">
        <v>0</v>
      </c>
      <c r="AL696" s="297">
        <v>0</v>
      </c>
      <c r="AM696" s="297">
        <v>0</v>
      </c>
      <c r="AN696" s="297">
        <v>0</v>
      </c>
      <c r="AO696" s="297">
        <v>0</v>
      </c>
      <c r="AP696" s="297">
        <v>0</v>
      </c>
      <c r="AQ696" s="296"/>
      <c r="AR696" s="297">
        <f>+Y696-Z696-AC696-AD696</f>
        <v>25009536995</v>
      </c>
      <c r="AS696" s="313" t="s">
        <v>137</v>
      </c>
      <c r="AT696" s="313" t="s">
        <v>137</v>
      </c>
      <c r="AU696" s="176" t="s">
        <v>190</v>
      </c>
    </row>
    <row r="697" spans="1:47" s="218" customFormat="1" ht="25.5" customHeight="1" outlineLevel="2">
      <c r="A697" s="215" t="s">
        <v>125</v>
      </c>
      <c r="B697" s="151">
        <v>31</v>
      </c>
      <c r="C697" s="151" t="s">
        <v>128</v>
      </c>
      <c r="D697" s="245" t="s">
        <v>129</v>
      </c>
      <c r="E697" s="151" t="s">
        <v>169</v>
      </c>
      <c r="F697" s="151" t="s">
        <v>131</v>
      </c>
      <c r="G697" s="151" t="s">
        <v>35</v>
      </c>
      <c r="H697" s="151" t="s">
        <v>67</v>
      </c>
      <c r="I697" s="256">
        <v>34</v>
      </c>
      <c r="J697" s="151" t="s">
        <v>81</v>
      </c>
      <c r="K697" s="176" t="s">
        <v>132</v>
      </c>
      <c r="L697" s="245">
        <v>30468388</v>
      </c>
      <c r="M697" s="855"/>
      <c r="N697" s="245" t="s">
        <v>953</v>
      </c>
      <c r="O697" s="245" t="s">
        <v>1039</v>
      </c>
      <c r="P697" s="245"/>
      <c r="Q697" s="176" t="s">
        <v>1040</v>
      </c>
      <c r="R697" s="273"/>
      <c r="S697" s="274"/>
      <c r="T697" s="273"/>
      <c r="U697" s="273"/>
      <c r="V697" s="273"/>
      <c r="W697" s="273"/>
      <c r="X697" s="274"/>
      <c r="Y697" s="275">
        <v>425541000</v>
      </c>
      <c r="Z697" s="275">
        <v>0</v>
      </c>
      <c r="AA697" s="296"/>
      <c r="AB697" s="297">
        <v>250000000</v>
      </c>
      <c r="AC697" s="297">
        <f t="shared" si="253"/>
        <v>0</v>
      </c>
      <c r="AD697" s="297">
        <f>+AB697-AC697</f>
        <v>250000000</v>
      </c>
      <c r="AE697" s="297">
        <v>0</v>
      </c>
      <c r="AF697" s="297">
        <v>0</v>
      </c>
      <c r="AG697" s="297">
        <v>0</v>
      </c>
      <c r="AH697" s="297">
        <v>0</v>
      </c>
      <c r="AI697" s="297">
        <v>0</v>
      </c>
      <c r="AJ697" s="297">
        <v>0</v>
      </c>
      <c r="AK697" s="297">
        <v>0</v>
      </c>
      <c r="AL697" s="297">
        <v>0</v>
      </c>
      <c r="AM697" s="297">
        <v>0</v>
      </c>
      <c r="AN697" s="297">
        <v>0</v>
      </c>
      <c r="AO697" s="297">
        <v>0</v>
      </c>
      <c r="AP697" s="297">
        <v>0</v>
      </c>
      <c r="AQ697" s="296"/>
      <c r="AR697" s="297">
        <f>+Y697-Z697-AC697-AD697</f>
        <v>175541000</v>
      </c>
      <c r="AS697" s="313" t="s">
        <v>137</v>
      </c>
      <c r="AT697" s="313" t="s">
        <v>137</v>
      </c>
      <c r="AU697" s="176" t="s">
        <v>200</v>
      </c>
    </row>
    <row r="698" spans="1:47" s="218" customFormat="1" ht="25.5" customHeight="1" outlineLevel="2">
      <c r="A698" s="215" t="s">
        <v>125</v>
      </c>
      <c r="B698" s="151">
        <v>31</v>
      </c>
      <c r="C698" s="151" t="s">
        <v>128</v>
      </c>
      <c r="D698" s="245" t="s">
        <v>129</v>
      </c>
      <c r="E698" s="151" t="s">
        <v>130</v>
      </c>
      <c r="F698" s="151" t="s">
        <v>131</v>
      </c>
      <c r="G698" s="151" t="s">
        <v>35</v>
      </c>
      <c r="H698" s="151" t="s">
        <v>67</v>
      </c>
      <c r="I698" s="256">
        <v>34</v>
      </c>
      <c r="J698" s="151" t="s">
        <v>81</v>
      </c>
      <c r="K698" s="176" t="s">
        <v>132</v>
      </c>
      <c r="L698" s="245">
        <v>30458729</v>
      </c>
      <c r="M698" s="855"/>
      <c r="N698" s="245" t="s">
        <v>953</v>
      </c>
      <c r="O698" s="245" t="s">
        <v>1041</v>
      </c>
      <c r="P698" s="245"/>
      <c r="Q698" s="176" t="s">
        <v>1042</v>
      </c>
      <c r="R698" s="273"/>
      <c r="S698" s="274"/>
      <c r="T698" s="273"/>
      <c r="U698" s="273"/>
      <c r="V698" s="273"/>
      <c r="W698" s="273"/>
      <c r="X698" s="274"/>
      <c r="Y698" s="275">
        <v>742950000</v>
      </c>
      <c r="Z698" s="275">
        <v>0</v>
      </c>
      <c r="AA698" s="296"/>
      <c r="AB698" s="297">
        <v>742950000</v>
      </c>
      <c r="AC698" s="297">
        <f t="shared" si="253"/>
        <v>0</v>
      </c>
      <c r="AD698" s="297">
        <f>+AB698-AC698</f>
        <v>742950000</v>
      </c>
      <c r="AE698" s="297">
        <v>0</v>
      </c>
      <c r="AF698" s="297">
        <v>0</v>
      </c>
      <c r="AG698" s="297">
        <v>0</v>
      </c>
      <c r="AH698" s="297">
        <v>0</v>
      </c>
      <c r="AI698" s="297">
        <v>0</v>
      </c>
      <c r="AJ698" s="297">
        <v>0</v>
      </c>
      <c r="AK698" s="297">
        <v>0</v>
      </c>
      <c r="AL698" s="297">
        <v>0</v>
      </c>
      <c r="AM698" s="297">
        <v>0</v>
      </c>
      <c r="AN698" s="297">
        <v>0</v>
      </c>
      <c r="AO698" s="297">
        <v>0</v>
      </c>
      <c r="AP698" s="297">
        <v>0</v>
      </c>
      <c r="AQ698" s="296"/>
      <c r="AR698" s="297">
        <f>+Y698-Z698-AC698-AD698</f>
        <v>0</v>
      </c>
      <c r="AS698" s="313" t="s">
        <v>137</v>
      </c>
      <c r="AT698" s="313" t="s">
        <v>137</v>
      </c>
      <c r="AU698" s="176" t="s">
        <v>200</v>
      </c>
    </row>
    <row r="699" spans="1:47" s="217" customFormat="1" ht="25.5" customHeight="1" outlineLevel="1">
      <c r="A699" s="215" t="s">
        <v>125</v>
      </c>
      <c r="B699" s="247"/>
      <c r="C699" s="247"/>
      <c r="D699" s="248"/>
      <c r="E699" s="249"/>
      <c r="F699" s="249"/>
      <c r="G699" s="249"/>
      <c r="H699" s="249"/>
      <c r="I699" s="249"/>
      <c r="J699" s="247"/>
      <c r="K699" s="259"/>
      <c r="L699" s="248"/>
      <c r="M699" s="248"/>
      <c r="N699" s="250"/>
      <c r="O699" s="250"/>
      <c r="P699" s="250"/>
      <c r="Q699" s="260" t="s">
        <v>201</v>
      </c>
      <c r="R699" s="280"/>
      <c r="S699" s="279"/>
      <c r="T699" s="279"/>
      <c r="U699" s="279"/>
      <c r="V699" s="279"/>
      <c r="W699" s="279"/>
      <c r="X699" s="281"/>
      <c r="Y699" s="286">
        <f>SUM(Y695:Y698)</f>
        <v>27126123000</v>
      </c>
      <c r="Z699" s="286">
        <f t="shared" ref="Z699:AP699" si="267">SUM(Z695:Z698)</f>
        <v>0</v>
      </c>
      <c r="AA699" s="303"/>
      <c r="AB699" s="286">
        <f t="shared" si="267"/>
        <v>1941045005</v>
      </c>
      <c r="AC699" s="286">
        <f t="shared" si="253"/>
        <v>0</v>
      </c>
      <c r="AD699" s="286">
        <f t="shared" si="267"/>
        <v>1941045005</v>
      </c>
      <c r="AE699" s="286">
        <f t="shared" si="267"/>
        <v>0</v>
      </c>
      <c r="AF699" s="286">
        <f t="shared" si="267"/>
        <v>0</v>
      </c>
      <c r="AG699" s="286">
        <f t="shared" si="267"/>
        <v>0</v>
      </c>
      <c r="AH699" s="286">
        <f t="shared" si="267"/>
        <v>0</v>
      </c>
      <c r="AI699" s="286">
        <f t="shared" si="267"/>
        <v>0</v>
      </c>
      <c r="AJ699" s="286">
        <v>0</v>
      </c>
      <c r="AK699" s="286">
        <v>0</v>
      </c>
      <c r="AL699" s="286">
        <v>0</v>
      </c>
      <c r="AM699" s="286">
        <f t="shared" si="267"/>
        <v>0</v>
      </c>
      <c r="AN699" s="286">
        <f t="shared" si="267"/>
        <v>0</v>
      </c>
      <c r="AO699" s="286">
        <f t="shared" si="267"/>
        <v>0</v>
      </c>
      <c r="AP699" s="286">
        <f t="shared" si="267"/>
        <v>0</v>
      </c>
      <c r="AQ699" s="287"/>
      <c r="AR699" s="394">
        <f>+Y699-Z699-AC699-AD699</f>
        <v>25185077995</v>
      </c>
      <c r="AS699" s="315"/>
      <c r="AT699" s="315"/>
      <c r="AU699" s="220"/>
    </row>
    <row r="700" spans="1:47" ht="18.75" customHeight="1" outlineLevel="1">
      <c r="A700" s="215" t="s">
        <v>125</v>
      </c>
      <c r="B700" s="249"/>
      <c r="C700" s="249"/>
      <c r="D700" s="250"/>
      <c r="E700" s="249"/>
      <c r="F700" s="249"/>
      <c r="G700" s="249"/>
      <c r="H700" s="249"/>
      <c r="I700" s="249"/>
      <c r="J700" s="249"/>
      <c r="K700" s="261"/>
      <c r="L700" s="250"/>
      <c r="M700" s="250"/>
      <c r="N700" s="250"/>
      <c r="O700" s="250"/>
      <c r="P700" s="250"/>
      <c r="Q700" s="261"/>
      <c r="R700" s="283"/>
      <c r="S700" s="283"/>
      <c r="T700" s="283"/>
      <c r="U700" s="283"/>
      <c r="V700" s="283"/>
      <c r="W700" s="283"/>
      <c r="X700" s="283"/>
      <c r="Y700" s="284"/>
      <c r="Z700" s="284"/>
      <c r="AA700" s="301"/>
      <c r="AB700" s="301"/>
      <c r="AC700" s="301"/>
      <c r="AD700" s="301"/>
      <c r="AE700" s="301"/>
      <c r="AF700" s="301"/>
      <c r="AG700" s="301"/>
      <c r="AH700" s="301"/>
      <c r="AI700" s="301"/>
      <c r="AJ700" s="301"/>
      <c r="AK700" s="301"/>
      <c r="AL700" s="301"/>
      <c r="AM700" s="301"/>
      <c r="AN700" s="301"/>
      <c r="AO700" s="301"/>
      <c r="AP700" s="301"/>
      <c r="AQ700" s="301"/>
      <c r="AR700" s="301"/>
      <c r="AS700" s="316"/>
      <c r="AT700" s="316"/>
      <c r="AU700" s="317"/>
    </row>
    <row r="701" spans="1:47" s="219" customFormat="1" ht="24.75" customHeight="1" outlineLevel="1">
      <c r="A701" s="215" t="s">
        <v>125</v>
      </c>
      <c r="B701" s="251"/>
      <c r="C701" s="249"/>
      <c r="D701" s="250"/>
      <c r="E701" s="249"/>
      <c r="F701" s="249"/>
      <c r="G701" s="249"/>
      <c r="H701" s="249"/>
      <c r="I701" s="249"/>
      <c r="J701" s="251"/>
      <c r="K701" s="263"/>
      <c r="L701" s="252"/>
      <c r="M701" s="252"/>
      <c r="N701" s="252"/>
      <c r="O701" s="252"/>
      <c r="P701" s="252"/>
      <c r="Q701" s="117" t="s">
        <v>933</v>
      </c>
      <c r="R701" s="288"/>
      <c r="S701" s="289"/>
      <c r="T701" s="289"/>
      <c r="U701" s="289"/>
      <c r="V701" s="289"/>
      <c r="W701" s="289"/>
      <c r="X701" s="290"/>
      <c r="Y701" s="118">
        <f>+Y692+Y699</f>
        <v>44810559000</v>
      </c>
      <c r="Z701" s="118">
        <f>+Z692+Z699</f>
        <v>1842940626</v>
      </c>
      <c r="AA701" s="304"/>
      <c r="AB701" s="118">
        <f t="shared" ref="AB701:AP701" si="268">+AB692+AB699</f>
        <v>6883977228</v>
      </c>
      <c r="AC701" s="118">
        <f t="shared" si="253"/>
        <v>4424667622</v>
      </c>
      <c r="AD701" s="118">
        <f t="shared" si="268"/>
        <v>2459309606</v>
      </c>
      <c r="AE701" s="118">
        <f t="shared" si="268"/>
        <v>0</v>
      </c>
      <c r="AF701" s="118">
        <f t="shared" si="268"/>
        <v>0</v>
      </c>
      <c r="AG701" s="118">
        <f t="shared" si="268"/>
        <v>0</v>
      </c>
      <c r="AH701" s="118">
        <f t="shared" si="268"/>
        <v>0</v>
      </c>
      <c r="AI701" s="118">
        <f t="shared" si="268"/>
        <v>0</v>
      </c>
      <c r="AJ701" s="118">
        <v>1491328</v>
      </c>
      <c r="AK701" s="118">
        <v>1002727568</v>
      </c>
      <c r="AL701" s="118">
        <v>305238896</v>
      </c>
      <c r="AM701" s="118">
        <v>659311844</v>
      </c>
      <c r="AN701" s="118">
        <v>1004277006</v>
      </c>
      <c r="AO701" s="118">
        <f t="shared" si="268"/>
        <v>869291170</v>
      </c>
      <c r="AP701" s="118">
        <f t="shared" si="268"/>
        <v>582329810</v>
      </c>
      <c r="AQ701" s="318"/>
      <c r="AR701" s="118">
        <f>+Y701-Z701-AC701-AD701</f>
        <v>36083641146</v>
      </c>
      <c r="AS701" s="333"/>
      <c r="AT701" s="333"/>
      <c r="AU701" s="320"/>
    </row>
    <row r="702" spans="1:47" ht="18.75" customHeight="1" outlineLevel="1">
      <c r="A702" s="215" t="s">
        <v>125</v>
      </c>
      <c r="B702" s="249"/>
      <c r="C702" s="249"/>
      <c r="D702" s="250"/>
      <c r="E702" s="249"/>
      <c r="F702" s="249"/>
      <c r="G702" s="249"/>
      <c r="H702" s="249"/>
      <c r="I702" s="249"/>
      <c r="J702" s="249"/>
      <c r="K702" s="261"/>
      <c r="L702" s="250"/>
      <c r="M702" s="250"/>
      <c r="N702" s="250"/>
      <c r="O702" s="250"/>
      <c r="P702" s="250"/>
      <c r="Q702" s="261"/>
      <c r="R702" s="283"/>
      <c r="S702" s="283"/>
      <c r="T702" s="283"/>
      <c r="U702" s="283"/>
      <c r="V702" s="283"/>
      <c r="W702" s="283"/>
      <c r="X702" s="283"/>
      <c r="Y702" s="284"/>
      <c r="Z702" s="284"/>
      <c r="AA702" s="301"/>
      <c r="AB702" s="301"/>
      <c r="AC702" s="301"/>
      <c r="AD702" s="301"/>
      <c r="AE702" s="301"/>
      <c r="AF702" s="301"/>
      <c r="AG702" s="301"/>
      <c r="AH702" s="301"/>
      <c r="AI702" s="301"/>
      <c r="AJ702" s="301"/>
      <c r="AK702" s="301"/>
      <c r="AL702" s="301"/>
      <c r="AM702" s="301"/>
      <c r="AN702" s="301"/>
      <c r="AO702" s="301"/>
      <c r="AP702" s="301"/>
      <c r="AQ702" s="301"/>
      <c r="AR702" s="301"/>
      <c r="AS702" s="316"/>
      <c r="AT702" s="316"/>
      <c r="AU702" s="317"/>
    </row>
    <row r="703" spans="1:47" s="219" customFormat="1" ht="24.75" customHeight="1" outlineLevel="1">
      <c r="A703" s="215" t="s">
        <v>125</v>
      </c>
      <c r="B703" s="251"/>
      <c r="C703" s="249"/>
      <c r="D703" s="250"/>
      <c r="E703" s="249"/>
      <c r="F703" s="249"/>
      <c r="G703" s="249"/>
      <c r="H703" s="249"/>
      <c r="I703" s="249"/>
      <c r="J703" s="251"/>
      <c r="K703" s="263"/>
      <c r="L703" s="252"/>
      <c r="M703" s="252"/>
      <c r="N703" s="252"/>
      <c r="O703" s="252"/>
      <c r="P703" s="252"/>
      <c r="Q703" s="117" t="s">
        <v>1043</v>
      </c>
      <c r="R703" s="288"/>
      <c r="S703" s="289"/>
      <c r="T703" s="289"/>
      <c r="U703" s="289"/>
      <c r="V703" s="289"/>
      <c r="W703" s="405"/>
      <c r="X703" s="290"/>
      <c r="Y703" s="118">
        <f>+Y624+Y642+Y665+Y683+Y701</f>
        <v>78850978922</v>
      </c>
      <c r="Z703" s="118">
        <f>+Z624+Z642+Z665+Z683+Z701</f>
        <v>10487580278</v>
      </c>
      <c r="AA703" s="304"/>
      <c r="AB703" s="118">
        <f t="shared" ref="AB703:AD703" si="269">+AB624+AB642+AB665+AB683+AB701</f>
        <v>14415978013</v>
      </c>
      <c r="AC703" s="118">
        <f>+AC624+AC642+AC665+AC683+AC701</f>
        <v>6065476811</v>
      </c>
      <c r="AD703" s="118">
        <f t="shared" si="269"/>
        <v>8350501202</v>
      </c>
      <c r="AE703" s="118">
        <f t="shared" ref="AE703:AP703" si="270">+AE624+AE642+AE665+AE683+AE701</f>
        <v>0</v>
      </c>
      <c r="AF703" s="118">
        <f t="shared" si="270"/>
        <v>0</v>
      </c>
      <c r="AG703" s="118">
        <f t="shared" si="270"/>
        <v>0</v>
      </c>
      <c r="AH703" s="118">
        <f t="shared" si="270"/>
        <v>0</v>
      </c>
      <c r="AI703" s="118">
        <f t="shared" si="270"/>
        <v>0</v>
      </c>
      <c r="AJ703" s="118">
        <v>116296398</v>
      </c>
      <c r="AK703" s="118">
        <f t="shared" si="270"/>
        <v>1346603055</v>
      </c>
      <c r="AL703" s="118">
        <f t="shared" si="270"/>
        <v>447190203</v>
      </c>
      <c r="AM703" s="118">
        <f t="shared" si="270"/>
        <v>1234895134</v>
      </c>
      <c r="AN703" s="118">
        <f t="shared" si="270"/>
        <v>1224982683</v>
      </c>
      <c r="AO703" s="118">
        <f t="shared" si="270"/>
        <v>1092307314</v>
      </c>
      <c r="AP703" s="118">
        <f t="shared" si="270"/>
        <v>603202024</v>
      </c>
      <c r="AQ703" s="318"/>
      <c r="AR703" s="118">
        <f>+Y703-Z703-AC703-AD703</f>
        <v>53947420631</v>
      </c>
      <c r="AS703" s="333"/>
      <c r="AT703" s="333"/>
      <c r="AU703" s="320"/>
    </row>
    <row r="704" spans="1:47" ht="18.75" customHeight="1" outlineLevel="1">
      <c r="A704" s="215" t="s">
        <v>125</v>
      </c>
      <c r="B704" s="249"/>
      <c r="C704" s="249"/>
      <c r="D704" s="250"/>
      <c r="E704" s="249"/>
      <c r="F704" s="249"/>
      <c r="G704" s="249"/>
      <c r="H704" s="249"/>
      <c r="I704" s="249"/>
      <c r="J704" s="249"/>
      <c r="K704" s="261"/>
      <c r="L704" s="250"/>
      <c r="M704" s="250"/>
      <c r="N704" s="250"/>
      <c r="O704" s="250"/>
      <c r="P704" s="250"/>
      <c r="Q704" s="261"/>
      <c r="R704" s="283"/>
      <c r="S704" s="283"/>
      <c r="T704" s="283"/>
      <c r="U704" s="283"/>
      <c r="V704" s="283"/>
      <c r="W704" s="283"/>
      <c r="X704" s="283"/>
      <c r="Y704" s="284"/>
      <c r="Z704" s="284"/>
      <c r="AA704" s="301"/>
      <c r="AB704" s="301"/>
      <c r="AC704" s="301"/>
      <c r="AD704" s="301"/>
      <c r="AE704" s="301"/>
      <c r="AF704" s="301"/>
      <c r="AG704" s="301"/>
      <c r="AH704" s="301"/>
      <c r="AI704" s="301"/>
      <c r="AJ704" s="301"/>
      <c r="AK704" s="301"/>
      <c r="AL704" s="301"/>
      <c r="AM704" s="301"/>
      <c r="AN704" s="301"/>
      <c r="AO704" s="301"/>
      <c r="AP704" s="301"/>
      <c r="AQ704" s="301"/>
      <c r="AR704" s="301"/>
      <c r="AS704" s="316"/>
      <c r="AT704" s="316"/>
      <c r="AU704" s="317"/>
    </row>
    <row r="705" spans="1:47" ht="21" customHeight="1" outlineLevel="1">
      <c r="A705" s="215" t="s">
        <v>125</v>
      </c>
      <c r="B705" s="249"/>
      <c r="C705" s="249"/>
      <c r="D705" s="250"/>
      <c r="E705" s="249"/>
      <c r="F705" s="249"/>
      <c r="G705" s="249"/>
      <c r="H705" s="249"/>
      <c r="I705" s="249"/>
      <c r="J705" s="249"/>
      <c r="K705" s="261"/>
      <c r="L705" s="250"/>
      <c r="M705" s="250"/>
      <c r="N705" s="250"/>
      <c r="O705" s="250"/>
      <c r="P705" s="250"/>
      <c r="Q705" s="339" t="s">
        <v>1044</v>
      </c>
      <c r="R705" s="283"/>
      <c r="S705" s="283"/>
      <c r="T705" s="283"/>
      <c r="U705" s="283"/>
      <c r="V705" s="283"/>
      <c r="W705" s="283"/>
      <c r="X705" s="283"/>
      <c r="Y705" s="284"/>
      <c r="Z705" s="284"/>
      <c r="AA705" s="301"/>
      <c r="AB705" s="301"/>
      <c r="AC705" s="301"/>
      <c r="AD705" s="301"/>
      <c r="AE705" s="301"/>
      <c r="AF705" s="301"/>
      <c r="AG705" s="301"/>
      <c r="AH705" s="301"/>
      <c r="AI705" s="301"/>
      <c r="AJ705" s="301"/>
      <c r="AK705" s="301"/>
      <c r="AL705" s="301"/>
      <c r="AM705" s="301"/>
      <c r="AN705" s="301"/>
      <c r="AO705" s="301"/>
      <c r="AP705" s="301"/>
      <c r="AQ705" s="301"/>
      <c r="AR705" s="301"/>
      <c r="AS705" s="316"/>
      <c r="AT705" s="316"/>
      <c r="AU705" s="317"/>
    </row>
    <row r="706" spans="1:47" s="216" customFormat="1" ht="15" customHeight="1" outlineLevel="1">
      <c r="A706" s="215" t="s">
        <v>125</v>
      </c>
      <c r="B706" s="249"/>
      <c r="C706" s="249"/>
      <c r="D706" s="250"/>
      <c r="E706" s="249"/>
      <c r="F706" s="249"/>
      <c r="G706" s="249"/>
      <c r="H706" s="249"/>
      <c r="I706" s="249"/>
      <c r="J706" s="249"/>
      <c r="K706" s="261"/>
      <c r="L706" s="250"/>
      <c r="M706" s="250"/>
      <c r="N706" s="250"/>
      <c r="O706" s="250"/>
      <c r="P706" s="250"/>
      <c r="Q706" s="340"/>
      <c r="R706" s="283"/>
      <c r="S706" s="283"/>
      <c r="T706" s="283"/>
      <c r="U706" s="283"/>
      <c r="V706" s="283"/>
      <c r="W706" s="283"/>
      <c r="X706" s="283"/>
      <c r="Y706" s="284"/>
      <c r="Z706" s="284"/>
      <c r="AA706" s="301"/>
      <c r="AB706" s="301"/>
      <c r="AC706" s="301"/>
      <c r="AD706" s="301"/>
      <c r="AE706" s="301"/>
      <c r="AF706" s="301"/>
      <c r="AG706" s="301"/>
      <c r="AH706" s="301"/>
      <c r="AI706" s="301"/>
      <c r="AJ706" s="301"/>
      <c r="AK706" s="301"/>
      <c r="AL706" s="301"/>
      <c r="AM706" s="301"/>
      <c r="AN706" s="301"/>
      <c r="AO706" s="301"/>
      <c r="AP706" s="301"/>
      <c r="AQ706" s="301"/>
      <c r="AR706" s="301"/>
      <c r="AS706" s="316"/>
      <c r="AT706" s="316"/>
      <c r="AU706" s="317"/>
    </row>
    <row r="707" spans="1:47" s="217" customFormat="1" ht="25.5" customHeight="1" outlineLevel="1">
      <c r="A707" s="215" t="s">
        <v>125</v>
      </c>
      <c r="B707" s="247"/>
      <c r="C707" s="247"/>
      <c r="D707" s="248"/>
      <c r="E707" s="249"/>
      <c r="F707" s="249"/>
      <c r="G707" s="249"/>
      <c r="H707" s="249"/>
      <c r="I707" s="249"/>
      <c r="J707" s="247"/>
      <c r="K707" s="259"/>
      <c r="L707" s="248"/>
      <c r="M707" s="248"/>
      <c r="N707" s="250"/>
      <c r="O707" s="250"/>
      <c r="P707" s="250"/>
      <c r="Q707" s="99" t="s">
        <v>127</v>
      </c>
      <c r="R707" s="283"/>
      <c r="S707" s="283"/>
      <c r="T707" s="283"/>
      <c r="U707" s="283"/>
      <c r="V707" s="283"/>
      <c r="W707" s="283"/>
      <c r="X707" s="283"/>
      <c r="Y707" s="285"/>
      <c r="Z707" s="285"/>
      <c r="AA707" s="302"/>
      <c r="AB707" s="302"/>
      <c r="AC707" s="302"/>
      <c r="AD707" s="302"/>
      <c r="AE707" s="302"/>
      <c r="AF707" s="302"/>
      <c r="AG707" s="302"/>
      <c r="AH707" s="301"/>
      <c r="AI707" s="301"/>
      <c r="AJ707" s="301"/>
      <c r="AK707" s="301"/>
      <c r="AL707" s="301"/>
      <c r="AM707" s="301"/>
      <c r="AN707" s="301"/>
      <c r="AO707" s="301"/>
      <c r="AP707" s="301"/>
      <c r="AQ707" s="302"/>
      <c r="AR707" s="302"/>
      <c r="AS707" s="315"/>
      <c r="AT707" s="315"/>
      <c r="AU707" s="220"/>
    </row>
    <row r="708" spans="1:47" s="218" customFormat="1" ht="25.5" customHeight="1" outlineLevel="2">
      <c r="A708" s="215" t="s">
        <v>125</v>
      </c>
      <c r="B708" s="151">
        <v>29</v>
      </c>
      <c r="C708" s="151" t="s">
        <v>128</v>
      </c>
      <c r="D708" s="245" t="s">
        <v>144</v>
      </c>
      <c r="E708" s="151" t="s">
        <v>130</v>
      </c>
      <c r="F708" s="151" t="s">
        <v>140</v>
      </c>
      <c r="G708" s="151" t="s">
        <v>36</v>
      </c>
      <c r="H708" s="151" t="s">
        <v>36</v>
      </c>
      <c r="I708" s="256">
        <v>35</v>
      </c>
      <c r="J708" s="151" t="s">
        <v>80</v>
      </c>
      <c r="K708" s="176" t="s">
        <v>132</v>
      </c>
      <c r="L708" s="245">
        <v>30137152</v>
      </c>
      <c r="M708" s="855"/>
      <c r="N708" s="245" t="s">
        <v>373</v>
      </c>
      <c r="O708" s="245" t="s">
        <v>1045</v>
      </c>
      <c r="P708" s="245"/>
      <c r="Q708" s="176" t="s">
        <v>1046</v>
      </c>
      <c r="R708" s="273"/>
      <c r="S708" s="274"/>
      <c r="T708" s="273"/>
      <c r="U708" s="273"/>
      <c r="V708" s="273"/>
      <c r="W708" s="273"/>
      <c r="X708" s="274"/>
      <c r="Y708" s="275">
        <v>247558000</v>
      </c>
      <c r="Z708" s="275">
        <v>223324087</v>
      </c>
      <c r="AA708" s="296"/>
      <c r="AB708" s="297">
        <f>+Y708-Z708</f>
        <v>24233913</v>
      </c>
      <c r="AC708" s="297">
        <f t="shared" ref="AC708:AC763" si="271">SUBTOTAL(9,AE708:AP708)</f>
        <v>0</v>
      </c>
      <c r="AD708" s="297">
        <f t="shared" ref="AD708:AD718" si="272">+AB708-AC708</f>
        <v>24233913</v>
      </c>
      <c r="AE708" s="297">
        <v>0</v>
      </c>
      <c r="AF708" s="297">
        <v>0</v>
      </c>
      <c r="AG708" s="297">
        <v>0</v>
      </c>
      <c r="AH708" s="297">
        <v>0</v>
      </c>
      <c r="AI708" s="297">
        <v>0</v>
      </c>
      <c r="AJ708" s="297">
        <v>0</v>
      </c>
      <c r="AK708" s="297">
        <v>0</v>
      </c>
      <c r="AL708" s="297">
        <v>0</v>
      </c>
      <c r="AM708" s="297">
        <v>0</v>
      </c>
      <c r="AN708" s="297">
        <v>0</v>
      </c>
      <c r="AO708" s="297">
        <v>0</v>
      </c>
      <c r="AP708" s="297">
        <v>0</v>
      </c>
      <c r="AQ708" s="296"/>
      <c r="AR708" s="297">
        <f t="shared" ref="AR708:AR719" si="273">+Y708-Z708-AC708-AD708</f>
        <v>0</v>
      </c>
      <c r="AS708" s="313" t="s">
        <v>148</v>
      </c>
      <c r="AT708" s="313" t="s">
        <v>1464</v>
      </c>
      <c r="AU708" s="176" t="s">
        <v>138</v>
      </c>
    </row>
    <row r="709" spans="1:47" s="218" customFormat="1" ht="25.5" customHeight="1" outlineLevel="2">
      <c r="A709" s="215" t="s">
        <v>125</v>
      </c>
      <c r="B709" s="151">
        <v>29</v>
      </c>
      <c r="C709" s="151" t="s">
        <v>128</v>
      </c>
      <c r="D709" s="245" t="s">
        <v>204</v>
      </c>
      <c r="E709" s="151" t="s">
        <v>130</v>
      </c>
      <c r="F709" s="151" t="s">
        <v>932</v>
      </c>
      <c r="G709" s="151" t="s">
        <v>36</v>
      </c>
      <c r="H709" s="151" t="s">
        <v>36</v>
      </c>
      <c r="I709" s="256">
        <v>35</v>
      </c>
      <c r="J709" s="151" t="s">
        <v>80</v>
      </c>
      <c r="K709" s="176" t="s">
        <v>132</v>
      </c>
      <c r="L709" s="245">
        <v>40016016</v>
      </c>
      <c r="M709" s="855"/>
      <c r="N709" s="245" t="e">
        <v>#N/A</v>
      </c>
      <c r="O709" s="245" t="s">
        <v>1047</v>
      </c>
      <c r="P709" s="245"/>
      <c r="Q709" s="176" t="s">
        <v>1048</v>
      </c>
      <c r="R709" s="273" t="s">
        <v>1049</v>
      </c>
      <c r="S709" s="274"/>
      <c r="T709" s="273"/>
      <c r="U709" s="273"/>
      <c r="V709" s="273"/>
      <c r="W709" s="273"/>
      <c r="X709" s="274"/>
      <c r="Y709" s="275">
        <f>+Z709+100663377</f>
        <v>990000000</v>
      </c>
      <c r="Z709" s="275">
        <v>889336623</v>
      </c>
      <c r="AA709" s="296"/>
      <c r="AB709" s="297">
        <v>73686251</v>
      </c>
      <c r="AC709" s="297">
        <f t="shared" si="271"/>
        <v>73686251</v>
      </c>
      <c r="AD709" s="297">
        <f t="shared" si="272"/>
        <v>0</v>
      </c>
      <c r="AE709" s="297">
        <v>0</v>
      </c>
      <c r="AF709" s="297">
        <v>0</v>
      </c>
      <c r="AG709" s="297">
        <v>0</v>
      </c>
      <c r="AH709" s="297">
        <v>0</v>
      </c>
      <c r="AI709" s="297">
        <v>0</v>
      </c>
      <c r="AJ709" s="297">
        <v>0</v>
      </c>
      <c r="AK709" s="297">
        <v>0</v>
      </c>
      <c r="AL709" s="297">
        <v>73686251</v>
      </c>
      <c r="AM709" s="297">
        <v>0</v>
      </c>
      <c r="AN709" s="297">
        <v>0</v>
      </c>
      <c r="AO709" s="297">
        <v>0</v>
      </c>
      <c r="AP709" s="297">
        <v>0</v>
      </c>
      <c r="AQ709" s="296"/>
      <c r="AR709" s="297">
        <f t="shared" si="273"/>
        <v>26977126</v>
      </c>
      <c r="AS709" s="313" t="s">
        <v>148</v>
      </c>
      <c r="AT709" s="313" t="s">
        <v>1464</v>
      </c>
      <c r="AU709" s="176" t="s">
        <v>138</v>
      </c>
    </row>
    <row r="710" spans="1:47" s="218" customFormat="1" ht="25.5" customHeight="1" outlineLevel="2">
      <c r="A710" s="215" t="s">
        <v>125</v>
      </c>
      <c r="B710" s="151">
        <v>29</v>
      </c>
      <c r="C710" s="151" t="s">
        <v>128</v>
      </c>
      <c r="D710" s="245" t="s">
        <v>164</v>
      </c>
      <c r="E710" s="151" t="s">
        <v>130</v>
      </c>
      <c r="F710" s="151" t="s">
        <v>140</v>
      </c>
      <c r="G710" s="151" t="s">
        <v>36</v>
      </c>
      <c r="H710" s="151" t="s">
        <v>36</v>
      </c>
      <c r="I710" s="256">
        <v>35</v>
      </c>
      <c r="J710" s="151" t="s">
        <v>80</v>
      </c>
      <c r="K710" s="176" t="s">
        <v>132</v>
      </c>
      <c r="L710" s="245">
        <v>30488894</v>
      </c>
      <c r="M710" s="855"/>
      <c r="N710" s="245" t="s">
        <v>337</v>
      </c>
      <c r="O710" s="245" t="s">
        <v>1050</v>
      </c>
      <c r="P710" s="245"/>
      <c r="Q710" s="176" t="s">
        <v>1051</v>
      </c>
      <c r="R710" s="273"/>
      <c r="S710" s="274"/>
      <c r="T710" s="273"/>
      <c r="U710" s="273"/>
      <c r="V710" s="273"/>
      <c r="W710" s="273"/>
      <c r="X710" s="274"/>
      <c r="Y710" s="275">
        <v>1055427000</v>
      </c>
      <c r="Z710" s="275">
        <v>353735369</v>
      </c>
      <c r="AA710" s="296"/>
      <c r="AB710" s="297">
        <f>701691631-157564232</f>
        <v>544127399</v>
      </c>
      <c r="AC710" s="297">
        <f t="shared" si="271"/>
        <v>14320520</v>
      </c>
      <c r="AD710" s="297">
        <f t="shared" si="272"/>
        <v>529806879</v>
      </c>
      <c r="AE710" s="297">
        <v>0</v>
      </c>
      <c r="AF710" s="297">
        <v>0</v>
      </c>
      <c r="AG710" s="297">
        <v>0</v>
      </c>
      <c r="AH710" s="297">
        <v>0</v>
      </c>
      <c r="AI710" s="297">
        <v>0</v>
      </c>
      <c r="AJ710" s="297">
        <v>0</v>
      </c>
      <c r="AK710" s="297">
        <v>0</v>
      </c>
      <c r="AL710" s="297">
        <v>0</v>
      </c>
      <c r="AM710" s="297">
        <v>0</v>
      </c>
      <c r="AN710" s="297">
        <v>11005120</v>
      </c>
      <c r="AO710" s="297">
        <v>3315400</v>
      </c>
      <c r="AP710" s="297">
        <v>0</v>
      </c>
      <c r="AQ710" s="296"/>
      <c r="AR710" s="297">
        <f t="shared" si="273"/>
        <v>157564232</v>
      </c>
      <c r="AS710" s="313" t="s">
        <v>148</v>
      </c>
      <c r="AT710" s="313" t="s">
        <v>1464</v>
      </c>
      <c r="AU710" s="176" t="s">
        <v>138</v>
      </c>
    </row>
    <row r="711" spans="1:47" s="218" customFormat="1" ht="25.5" customHeight="1" outlineLevel="2">
      <c r="A711" s="215" t="s">
        <v>125</v>
      </c>
      <c r="B711" s="151">
        <v>31</v>
      </c>
      <c r="C711" s="151" t="s">
        <v>128</v>
      </c>
      <c r="D711" s="245" t="s">
        <v>164</v>
      </c>
      <c r="E711" s="151" t="s">
        <v>130</v>
      </c>
      <c r="F711" s="151" t="s">
        <v>140</v>
      </c>
      <c r="G711" s="151" t="s">
        <v>36</v>
      </c>
      <c r="H711" s="151" t="s">
        <v>36</v>
      </c>
      <c r="I711" s="256">
        <v>35</v>
      </c>
      <c r="J711" s="151" t="s">
        <v>80</v>
      </c>
      <c r="K711" s="176" t="s">
        <v>132</v>
      </c>
      <c r="L711" s="245">
        <v>30364305</v>
      </c>
      <c r="M711" s="855"/>
      <c r="N711" s="245" t="s">
        <v>373</v>
      </c>
      <c r="O711" s="245" t="s">
        <v>1052</v>
      </c>
      <c r="P711" s="245"/>
      <c r="Q711" s="176" t="s">
        <v>1053</v>
      </c>
      <c r="R711" s="273" t="s">
        <v>1054</v>
      </c>
      <c r="S711" s="274"/>
      <c r="T711" s="273"/>
      <c r="U711" s="273"/>
      <c r="V711" s="273"/>
      <c r="W711" s="273"/>
      <c r="X711" s="274"/>
      <c r="Y711" s="326">
        <v>3185189000</v>
      </c>
      <c r="Z711" s="275">
        <v>1218736828</v>
      </c>
      <c r="AA711" s="296"/>
      <c r="AB711" s="297">
        <f>345527804+102855321+431245293+275319513+155004713+130281311+118708393+157564232</f>
        <v>1716506580</v>
      </c>
      <c r="AC711" s="297">
        <f t="shared" si="271"/>
        <v>1684972272</v>
      </c>
      <c r="AD711" s="297">
        <f t="shared" si="272"/>
        <v>31534308</v>
      </c>
      <c r="AE711" s="297">
        <v>0</v>
      </c>
      <c r="AF711" s="297">
        <v>0</v>
      </c>
      <c r="AG711" s="297">
        <v>0</v>
      </c>
      <c r="AH711" s="297">
        <v>0</v>
      </c>
      <c r="AI711" s="297">
        <v>0</v>
      </c>
      <c r="AJ711" s="297">
        <v>126029924</v>
      </c>
      <c r="AK711" s="297">
        <v>118708393</v>
      </c>
      <c r="AL711" s="297">
        <v>130281311</v>
      </c>
      <c r="AM711" s="297">
        <v>155004713</v>
      </c>
      <c r="AN711" s="297">
        <v>275319513</v>
      </c>
      <c r="AO711" s="297">
        <v>431245293</v>
      </c>
      <c r="AP711" s="297">
        <v>448383125</v>
      </c>
      <c r="AQ711" s="296"/>
      <c r="AR711" s="297">
        <f t="shared" si="273"/>
        <v>249945592</v>
      </c>
      <c r="AS711" s="313" t="s">
        <v>137</v>
      </c>
      <c r="AT711" s="313" t="s">
        <v>137</v>
      </c>
      <c r="AU711" s="176" t="s">
        <v>138</v>
      </c>
    </row>
    <row r="712" spans="1:47" s="218" customFormat="1" ht="25.5" customHeight="1" outlineLevel="2">
      <c r="A712" s="215" t="s">
        <v>125</v>
      </c>
      <c r="B712" s="151">
        <v>31</v>
      </c>
      <c r="C712" s="151" t="s">
        <v>128</v>
      </c>
      <c r="D712" s="245" t="s">
        <v>149</v>
      </c>
      <c r="E712" s="151" t="s">
        <v>130</v>
      </c>
      <c r="F712" s="151" t="s">
        <v>140</v>
      </c>
      <c r="G712" s="151" t="s">
        <v>36</v>
      </c>
      <c r="H712" s="151" t="s">
        <v>36</v>
      </c>
      <c r="I712" s="256">
        <v>35</v>
      </c>
      <c r="J712" s="151" t="s">
        <v>80</v>
      </c>
      <c r="K712" s="176" t="s">
        <v>132</v>
      </c>
      <c r="L712" s="245">
        <v>30460140</v>
      </c>
      <c r="M712" s="855"/>
      <c r="N712" s="245" t="s">
        <v>373</v>
      </c>
      <c r="O712" s="245" t="s">
        <v>1055</v>
      </c>
      <c r="P712" s="245"/>
      <c r="Q712" s="176" t="s">
        <v>1056</v>
      </c>
      <c r="R712" s="273" t="s">
        <v>1057</v>
      </c>
      <c r="S712" s="274"/>
      <c r="T712" s="273"/>
      <c r="U712" s="273"/>
      <c r="V712" s="273"/>
      <c r="W712" s="273"/>
      <c r="X712" s="274"/>
      <c r="Y712" s="275">
        <v>3712173268</v>
      </c>
      <c r="Z712" s="275">
        <v>3229143874</v>
      </c>
      <c r="AA712" s="296"/>
      <c r="AB712" s="297">
        <f>89225102+226264227+5200000</f>
        <v>320689329</v>
      </c>
      <c r="AC712" s="297">
        <f t="shared" si="271"/>
        <v>320689329</v>
      </c>
      <c r="AD712" s="297">
        <f t="shared" si="272"/>
        <v>0</v>
      </c>
      <c r="AE712" s="297">
        <v>0</v>
      </c>
      <c r="AF712" s="297">
        <v>0</v>
      </c>
      <c r="AG712" s="297">
        <v>0</v>
      </c>
      <c r="AH712" s="297">
        <v>0</v>
      </c>
      <c r="AI712" s="297">
        <v>0</v>
      </c>
      <c r="AJ712" s="297">
        <v>0</v>
      </c>
      <c r="AK712" s="297">
        <v>5200000</v>
      </c>
      <c r="AL712" s="297">
        <v>235814672</v>
      </c>
      <c r="AM712" s="297">
        <v>47413613</v>
      </c>
      <c r="AN712" s="297">
        <v>22761044</v>
      </c>
      <c r="AO712" s="297">
        <v>0</v>
      </c>
      <c r="AP712" s="297">
        <v>9500000</v>
      </c>
      <c r="AQ712" s="296"/>
      <c r="AR712" s="297">
        <f t="shared" si="273"/>
        <v>162340065</v>
      </c>
      <c r="AS712" s="313" t="s">
        <v>148</v>
      </c>
      <c r="AT712" s="313" t="s">
        <v>1464</v>
      </c>
      <c r="AU712" s="176" t="s">
        <v>138</v>
      </c>
    </row>
    <row r="713" spans="1:47" s="217" customFormat="1" ht="25.5" customHeight="1" outlineLevel="1">
      <c r="A713" s="215" t="s">
        <v>125</v>
      </c>
      <c r="B713" s="151">
        <v>33</v>
      </c>
      <c r="C713" s="151" t="s">
        <v>196</v>
      </c>
      <c r="D713" s="245" t="s">
        <v>129</v>
      </c>
      <c r="E713" s="151" t="s">
        <v>130</v>
      </c>
      <c r="F713" s="151" t="s">
        <v>131</v>
      </c>
      <c r="G713" s="151" t="s">
        <v>36</v>
      </c>
      <c r="H713" s="151" t="s">
        <v>36</v>
      </c>
      <c r="I713" s="256">
        <v>35</v>
      </c>
      <c r="J713" s="151" t="s">
        <v>81</v>
      </c>
      <c r="K713" s="176" t="s">
        <v>132</v>
      </c>
      <c r="L713" s="245">
        <v>30429222</v>
      </c>
      <c r="M713" s="855"/>
      <c r="N713" s="245"/>
      <c r="O713" s="245" t="s">
        <v>1058</v>
      </c>
      <c r="P713" s="245"/>
      <c r="Q713" s="176" t="s">
        <v>1059</v>
      </c>
      <c r="R713" s="273"/>
      <c r="S713" s="274"/>
      <c r="T713" s="273"/>
      <c r="U713" s="273"/>
      <c r="V713" s="273"/>
      <c r="W713" s="273"/>
      <c r="X713" s="274"/>
      <c r="Y713" s="275">
        <v>2519167000</v>
      </c>
      <c r="Z713" s="275">
        <v>0</v>
      </c>
      <c r="AA713" s="296"/>
      <c r="AB713" s="297">
        <v>2519167000</v>
      </c>
      <c r="AC713" s="297">
        <f t="shared" si="271"/>
        <v>588242000</v>
      </c>
      <c r="AD713" s="297">
        <f t="shared" si="272"/>
        <v>1930925000</v>
      </c>
      <c r="AE713" s="297">
        <v>0</v>
      </c>
      <c r="AF713" s="297">
        <v>0</v>
      </c>
      <c r="AG713" s="297">
        <v>0</v>
      </c>
      <c r="AH713" s="297">
        <v>0</v>
      </c>
      <c r="AI713" s="297">
        <v>0</v>
      </c>
      <c r="AJ713" s="297">
        <v>0</v>
      </c>
      <c r="AK713" s="297">
        <v>164200000</v>
      </c>
      <c r="AL713" s="297">
        <v>123800000</v>
      </c>
      <c r="AM713" s="297">
        <v>299500000</v>
      </c>
      <c r="AN713" s="297">
        <v>0</v>
      </c>
      <c r="AO713" s="297">
        <v>742000</v>
      </c>
      <c r="AP713" s="297">
        <v>0</v>
      </c>
      <c r="AQ713" s="296"/>
      <c r="AR713" s="297">
        <f t="shared" si="273"/>
        <v>0</v>
      </c>
      <c r="AS713" s="313" t="s">
        <v>137</v>
      </c>
      <c r="AT713" s="313" t="s">
        <v>81</v>
      </c>
      <c r="AU713" s="176" t="s">
        <v>138</v>
      </c>
    </row>
    <row r="714" spans="1:47" s="218" customFormat="1" ht="25.5" customHeight="1" outlineLevel="2">
      <c r="A714" s="215" t="s">
        <v>125</v>
      </c>
      <c r="B714" s="151">
        <v>33</v>
      </c>
      <c r="C714" s="151" t="s">
        <v>196</v>
      </c>
      <c r="D714" s="245" t="s">
        <v>149</v>
      </c>
      <c r="E714" s="151" t="s">
        <v>130</v>
      </c>
      <c r="F714" s="151" t="s">
        <v>140</v>
      </c>
      <c r="G714" s="151" t="s">
        <v>36</v>
      </c>
      <c r="H714" s="151" t="s">
        <v>36</v>
      </c>
      <c r="I714" s="256">
        <v>35</v>
      </c>
      <c r="J714" s="151" t="s">
        <v>83</v>
      </c>
      <c r="K714" s="176" t="s">
        <v>132</v>
      </c>
      <c r="L714" s="245" t="s">
        <v>83</v>
      </c>
      <c r="M714" s="855"/>
      <c r="N714" s="245"/>
      <c r="O714" s="245" t="s">
        <v>183</v>
      </c>
      <c r="P714" s="245"/>
      <c r="Q714" s="176" t="s">
        <v>1060</v>
      </c>
      <c r="R714" s="273"/>
      <c r="S714" s="274"/>
      <c r="T714" s="273"/>
      <c r="U714" s="273"/>
      <c r="V714" s="273"/>
      <c r="W714" s="273"/>
      <c r="X714" s="274"/>
      <c r="Y714" s="275">
        <v>1740827000</v>
      </c>
      <c r="Z714" s="275">
        <f>+FRIL!J992</f>
        <v>0</v>
      </c>
      <c r="AA714" s="296"/>
      <c r="AB714" s="297">
        <f>1740827000-9472062</f>
        <v>1731354938</v>
      </c>
      <c r="AC714" s="297">
        <f t="shared" si="271"/>
        <v>0</v>
      </c>
      <c r="AD714" s="297">
        <f t="shared" si="272"/>
        <v>1731354938</v>
      </c>
      <c r="AE714" s="297"/>
      <c r="AF714" s="297"/>
      <c r="AG714" s="297"/>
      <c r="AH714" s="297"/>
      <c r="AI714" s="297"/>
      <c r="AJ714" s="297">
        <v>0</v>
      </c>
      <c r="AK714" s="297"/>
      <c r="AL714" s="297">
        <v>0</v>
      </c>
      <c r="AM714" s="297">
        <v>0</v>
      </c>
      <c r="AN714" s="297">
        <v>0</v>
      </c>
      <c r="AO714" s="297">
        <v>0</v>
      </c>
      <c r="AP714" s="297">
        <v>0</v>
      </c>
      <c r="AQ714" s="296"/>
      <c r="AR714" s="297">
        <f t="shared" si="273"/>
        <v>9472062</v>
      </c>
      <c r="AS714" s="313" t="s">
        <v>185</v>
      </c>
      <c r="AT714" s="313" t="s">
        <v>83</v>
      </c>
      <c r="AU714" s="176" t="s">
        <v>138</v>
      </c>
    </row>
    <row r="715" spans="1:47" s="217" customFormat="1" ht="25.5" customHeight="1" outlineLevel="1">
      <c r="A715" s="215" t="s">
        <v>125</v>
      </c>
      <c r="B715" s="151">
        <v>24</v>
      </c>
      <c r="C715" s="151" t="s">
        <v>196</v>
      </c>
      <c r="D715" s="245" t="s">
        <v>251</v>
      </c>
      <c r="E715" s="151" t="s">
        <v>169</v>
      </c>
      <c r="F715" s="151" t="s">
        <v>140</v>
      </c>
      <c r="G715" s="151" t="s">
        <v>36</v>
      </c>
      <c r="H715" s="151" t="s">
        <v>36</v>
      </c>
      <c r="I715" s="256">
        <v>35</v>
      </c>
      <c r="J715" s="151" t="s">
        <v>84</v>
      </c>
      <c r="K715" s="176" t="s">
        <v>132</v>
      </c>
      <c r="L715" s="245" t="s">
        <v>1061</v>
      </c>
      <c r="M715" s="855"/>
      <c r="N715" s="245"/>
      <c r="O715" s="245" t="s">
        <v>1062</v>
      </c>
      <c r="P715" s="245"/>
      <c r="Q715" s="176" t="s">
        <v>1063</v>
      </c>
      <c r="R715" s="273"/>
      <c r="S715" s="274"/>
      <c r="T715" s="273"/>
      <c r="U715" s="273"/>
      <c r="V715" s="273"/>
      <c r="W715" s="273"/>
      <c r="X715" s="274"/>
      <c r="Y715" s="275">
        <f>3297154000-Y611-Y193</f>
        <v>2574984000</v>
      </c>
      <c r="Z715" s="275">
        <v>0</v>
      </c>
      <c r="AA715" s="296"/>
      <c r="AB715" s="297">
        <f>3297154000-AB193-AB611-AB412-AB524-AB525-AB526-AB570-AB547-AB571-AB572-AB573-AB574-AB575-AB576-AB612</f>
        <v>1929760895</v>
      </c>
      <c r="AC715" s="297">
        <f t="shared" si="271"/>
        <v>0</v>
      </c>
      <c r="AD715" s="297">
        <f t="shared" si="272"/>
        <v>1929760895</v>
      </c>
      <c r="AE715" s="297">
        <v>0</v>
      </c>
      <c r="AF715" s="297">
        <v>0</v>
      </c>
      <c r="AG715" s="297">
        <v>0</v>
      </c>
      <c r="AH715" s="297">
        <v>0</v>
      </c>
      <c r="AI715" s="297">
        <v>0</v>
      </c>
      <c r="AJ715" s="297">
        <v>0</v>
      </c>
      <c r="AK715" s="297">
        <v>0</v>
      </c>
      <c r="AL715" s="297">
        <v>0</v>
      </c>
      <c r="AM715" s="297">
        <v>0</v>
      </c>
      <c r="AN715" s="297">
        <v>0</v>
      </c>
      <c r="AO715" s="297">
        <v>0</v>
      </c>
      <c r="AP715" s="297">
        <v>0</v>
      </c>
      <c r="AQ715" s="296"/>
      <c r="AR715" s="297">
        <f t="shared" si="273"/>
        <v>645223105</v>
      </c>
      <c r="AS715" s="313" t="s">
        <v>415</v>
      </c>
      <c r="AT715" s="313" t="s">
        <v>1480</v>
      </c>
      <c r="AU715" s="176" t="s">
        <v>138</v>
      </c>
    </row>
    <row r="716" spans="1:47" s="217" customFormat="1" ht="25.5" customHeight="1" outlineLevel="1">
      <c r="A716" s="215" t="s">
        <v>125</v>
      </c>
      <c r="B716" s="151">
        <v>24</v>
      </c>
      <c r="C716" s="151" t="s">
        <v>196</v>
      </c>
      <c r="D716" s="245" t="s">
        <v>251</v>
      </c>
      <c r="E716" s="151" t="s">
        <v>169</v>
      </c>
      <c r="F716" s="151" t="s">
        <v>140</v>
      </c>
      <c r="G716" s="151" t="s">
        <v>36</v>
      </c>
      <c r="H716" s="151" t="s">
        <v>36</v>
      </c>
      <c r="I716" s="256">
        <v>35</v>
      </c>
      <c r="J716" s="151" t="s">
        <v>84</v>
      </c>
      <c r="K716" s="176" t="s">
        <v>132</v>
      </c>
      <c r="L716" s="245" t="s">
        <v>1061</v>
      </c>
      <c r="M716" s="855"/>
      <c r="N716" s="245"/>
      <c r="O716" s="245" t="s">
        <v>1062</v>
      </c>
      <c r="P716" s="245"/>
      <c r="Q716" s="176" t="s">
        <v>1064</v>
      </c>
      <c r="R716" s="273"/>
      <c r="S716" s="274"/>
      <c r="T716" s="273"/>
      <c r="U716" s="273"/>
      <c r="V716" s="273"/>
      <c r="W716" s="273"/>
      <c r="X716" s="274"/>
      <c r="Y716" s="275">
        <v>665771000</v>
      </c>
      <c r="Z716" s="275">
        <v>0</v>
      </c>
      <c r="AA716" s="296"/>
      <c r="AB716" s="297">
        <v>665771000</v>
      </c>
      <c r="AC716" s="297">
        <f t="shared" si="271"/>
        <v>0</v>
      </c>
      <c r="AD716" s="297">
        <f t="shared" si="272"/>
        <v>665771000</v>
      </c>
      <c r="AE716" s="297">
        <v>0</v>
      </c>
      <c r="AF716" s="297">
        <v>0</v>
      </c>
      <c r="AG716" s="297">
        <v>0</v>
      </c>
      <c r="AH716" s="297">
        <v>0</v>
      </c>
      <c r="AI716" s="297">
        <v>0</v>
      </c>
      <c r="AJ716" s="297">
        <v>0</v>
      </c>
      <c r="AK716" s="297">
        <v>0</v>
      </c>
      <c r="AL716" s="297">
        <v>0</v>
      </c>
      <c r="AM716" s="297">
        <v>0</v>
      </c>
      <c r="AN716" s="297">
        <v>0</v>
      </c>
      <c r="AO716" s="297">
        <v>0</v>
      </c>
      <c r="AP716" s="297">
        <v>0</v>
      </c>
      <c r="AQ716" s="296"/>
      <c r="AR716" s="297">
        <f t="shared" si="273"/>
        <v>0</v>
      </c>
      <c r="AS716" s="313" t="s">
        <v>415</v>
      </c>
      <c r="AT716" s="313" t="s">
        <v>1480</v>
      </c>
      <c r="AU716" s="176" t="s">
        <v>138</v>
      </c>
    </row>
    <row r="717" spans="1:47" s="218" customFormat="1" ht="25.5" customHeight="1" outlineLevel="2">
      <c r="A717" s="215" t="s">
        <v>125</v>
      </c>
      <c r="B717" s="151">
        <v>24</v>
      </c>
      <c r="C717" s="151" t="s">
        <v>196</v>
      </c>
      <c r="D717" s="245" t="s">
        <v>149</v>
      </c>
      <c r="E717" s="151" t="s">
        <v>169</v>
      </c>
      <c r="F717" s="151" t="s">
        <v>140</v>
      </c>
      <c r="G717" s="151" t="s">
        <v>36</v>
      </c>
      <c r="H717" s="151" t="s">
        <v>36</v>
      </c>
      <c r="I717" s="256">
        <v>35</v>
      </c>
      <c r="J717" s="151" t="s">
        <v>80</v>
      </c>
      <c r="K717" s="176" t="s">
        <v>132</v>
      </c>
      <c r="L717" s="411" t="s">
        <v>1061</v>
      </c>
      <c r="M717" s="855"/>
      <c r="N717" s="245"/>
      <c r="O717" s="245" t="s">
        <v>1062</v>
      </c>
      <c r="P717" s="245"/>
      <c r="Q717" s="176" t="s">
        <v>1558</v>
      </c>
      <c r="R717" s="273"/>
      <c r="S717" s="274"/>
      <c r="T717" s="273"/>
      <c r="U717" s="273"/>
      <c r="V717" s="273"/>
      <c r="W717" s="273"/>
      <c r="X717" s="274"/>
      <c r="Y717" s="275">
        <v>815487000</v>
      </c>
      <c r="Z717" s="275">
        <v>0</v>
      </c>
      <c r="AA717" s="296"/>
      <c r="AB717" s="297">
        <v>0</v>
      </c>
      <c r="AC717" s="297">
        <f t="shared" si="271"/>
        <v>0</v>
      </c>
      <c r="AD717" s="297">
        <f t="shared" ref="AD717" si="274">+AB717-AC717</f>
        <v>0</v>
      </c>
      <c r="AE717" s="297">
        <v>0</v>
      </c>
      <c r="AF717" s="297">
        <v>0</v>
      </c>
      <c r="AG717" s="297">
        <v>0</v>
      </c>
      <c r="AH717" s="297">
        <v>0</v>
      </c>
      <c r="AI717" s="297">
        <v>0</v>
      </c>
      <c r="AJ717" s="297">
        <v>0</v>
      </c>
      <c r="AK717" s="297">
        <v>0</v>
      </c>
      <c r="AL717" s="297">
        <v>0</v>
      </c>
      <c r="AM717" s="297">
        <v>0</v>
      </c>
      <c r="AN717" s="297">
        <v>0</v>
      </c>
      <c r="AO717" s="297">
        <v>0</v>
      </c>
      <c r="AP717" s="297">
        <v>0</v>
      </c>
      <c r="AQ717" s="296"/>
      <c r="AR717" s="297">
        <f t="shared" ref="AR717" si="275">+Y717-Z717-AC717-AD717</f>
        <v>815487000</v>
      </c>
      <c r="AS717" s="313" t="s">
        <v>415</v>
      </c>
      <c r="AT717" s="810">
        <v>0.06</v>
      </c>
      <c r="AU717" s="176" t="s">
        <v>138</v>
      </c>
    </row>
    <row r="718" spans="1:47" s="218" customFormat="1" ht="25.5" customHeight="1" outlineLevel="2">
      <c r="A718" s="215" t="s">
        <v>125</v>
      </c>
      <c r="B718" s="151">
        <v>24</v>
      </c>
      <c r="C718" s="151" t="s">
        <v>196</v>
      </c>
      <c r="D718" s="245" t="s">
        <v>149</v>
      </c>
      <c r="E718" s="151" t="s">
        <v>169</v>
      </c>
      <c r="F718" s="151" t="s">
        <v>140</v>
      </c>
      <c r="G718" s="151" t="s">
        <v>36</v>
      </c>
      <c r="H718" s="151" t="s">
        <v>36</v>
      </c>
      <c r="I718" s="256">
        <v>35</v>
      </c>
      <c r="J718" s="151" t="s">
        <v>80</v>
      </c>
      <c r="K718" s="176" t="s">
        <v>132</v>
      </c>
      <c r="L718" s="411" t="s">
        <v>1061</v>
      </c>
      <c r="M718" s="855"/>
      <c r="N718" s="245"/>
      <c r="O718" s="245" t="s">
        <v>1062</v>
      </c>
      <c r="P718" s="245"/>
      <c r="Q718" s="176" t="s">
        <v>1065</v>
      </c>
      <c r="R718" s="273"/>
      <c r="S718" s="274"/>
      <c r="T718" s="273"/>
      <c r="U718" s="273"/>
      <c r="V718" s="273"/>
      <c r="W718" s="273"/>
      <c r="X718" s="274"/>
      <c r="Y718" s="275">
        <f>1271000+3960787000</f>
        <v>3962058000</v>
      </c>
      <c r="Z718" s="275">
        <v>0</v>
      </c>
      <c r="AA718" s="296"/>
      <c r="AB718" s="297">
        <v>4676274000</v>
      </c>
      <c r="AC718" s="297">
        <f t="shared" si="271"/>
        <v>1271325</v>
      </c>
      <c r="AD718" s="297">
        <f t="shared" si="272"/>
        <v>4675002675</v>
      </c>
      <c r="AE718" s="297">
        <v>0</v>
      </c>
      <c r="AF718" s="297">
        <v>0</v>
      </c>
      <c r="AG718" s="297">
        <v>0</v>
      </c>
      <c r="AH718" s="297">
        <v>0</v>
      </c>
      <c r="AI718" s="297">
        <v>0</v>
      </c>
      <c r="AJ718" s="297">
        <v>0</v>
      </c>
      <c r="AK718" s="297">
        <v>0</v>
      </c>
      <c r="AL718" s="297">
        <v>0</v>
      </c>
      <c r="AM718" s="297">
        <v>0</v>
      </c>
      <c r="AN718" s="297">
        <v>0</v>
      </c>
      <c r="AO718" s="297">
        <f>1271325</f>
        <v>1271325</v>
      </c>
      <c r="AP718" s="297">
        <v>0</v>
      </c>
      <c r="AQ718" s="296"/>
      <c r="AR718" s="297">
        <f t="shared" si="273"/>
        <v>-714216000</v>
      </c>
      <c r="AS718" s="313" t="s">
        <v>415</v>
      </c>
      <c r="AT718" s="810">
        <v>0.06</v>
      </c>
      <c r="AU718" s="176" t="s">
        <v>138</v>
      </c>
    </row>
    <row r="719" spans="1:47" s="217" customFormat="1" ht="25.5" customHeight="1" outlineLevel="1">
      <c r="A719" s="215" t="s">
        <v>125</v>
      </c>
      <c r="B719" s="247"/>
      <c r="C719" s="247"/>
      <c r="D719" s="248"/>
      <c r="E719" s="249"/>
      <c r="F719" s="249"/>
      <c r="G719" s="249"/>
      <c r="H719" s="249"/>
      <c r="I719" s="249"/>
      <c r="J719" s="247"/>
      <c r="K719" s="259"/>
      <c r="L719" s="248"/>
      <c r="M719" s="248"/>
      <c r="N719" s="250"/>
      <c r="O719" s="250"/>
      <c r="P719" s="250"/>
      <c r="Q719" s="260" t="s">
        <v>187</v>
      </c>
      <c r="R719" s="278"/>
      <c r="S719" s="279"/>
      <c r="T719" s="279"/>
      <c r="U719" s="279"/>
      <c r="V719" s="279"/>
      <c r="W719" s="279"/>
      <c r="X719" s="281"/>
      <c r="Y719" s="286">
        <f>+Y708+Y709+Y710+Y711+Y712+Y713+Y714+Y715+Y716+Y717+Y718</f>
        <v>21468641268</v>
      </c>
      <c r="Z719" s="286">
        <f>+Z708+Z709+Z710+Z711+Z712+Z713+Z714+Z715+Z716+Z717+Z718</f>
        <v>5914276781</v>
      </c>
      <c r="AA719" s="303"/>
      <c r="AB719" s="286">
        <f>+AB708+AB709+AB710+AB711+AB712+AB714+AB718+AB713+AB715+AB716+AB717</f>
        <v>14201571305</v>
      </c>
      <c r="AC719" s="286">
        <f>+AC708+AC709+AC710+AC711+AC712+AC714+AC718+AC713+AC715+AC716+AC717</f>
        <v>2683181697</v>
      </c>
      <c r="AD719" s="286">
        <f t="shared" ref="AD719:AP719" si="276">+AD708+AD709+AD710+AD711+AD712+AD714+AD718+AD713+AD715+AD716+AD717</f>
        <v>11518389608</v>
      </c>
      <c r="AE719" s="286">
        <f t="shared" si="276"/>
        <v>0</v>
      </c>
      <c r="AF719" s="286">
        <f t="shared" si="276"/>
        <v>0</v>
      </c>
      <c r="AG719" s="286">
        <f t="shared" si="276"/>
        <v>0</v>
      </c>
      <c r="AH719" s="286">
        <f t="shared" si="276"/>
        <v>0</v>
      </c>
      <c r="AI719" s="286">
        <f t="shared" si="276"/>
        <v>0</v>
      </c>
      <c r="AJ719" s="286">
        <v>126029924</v>
      </c>
      <c r="AK719" s="286">
        <f t="shared" si="276"/>
        <v>288108393</v>
      </c>
      <c r="AL719" s="286">
        <f t="shared" si="276"/>
        <v>563582234</v>
      </c>
      <c r="AM719" s="286">
        <f t="shared" si="276"/>
        <v>501918326</v>
      </c>
      <c r="AN719" s="286">
        <f t="shared" si="276"/>
        <v>309085677</v>
      </c>
      <c r="AO719" s="286">
        <f t="shared" si="276"/>
        <v>436574018</v>
      </c>
      <c r="AP719" s="286">
        <f t="shared" si="276"/>
        <v>457883125</v>
      </c>
      <c r="AQ719" s="287"/>
      <c r="AR719" s="286">
        <f t="shared" si="273"/>
        <v>1352793182</v>
      </c>
      <c r="AS719" s="315"/>
      <c r="AT719" s="315"/>
      <c r="AU719" s="220"/>
    </row>
    <row r="720" spans="1:47" ht="18.75" customHeight="1" outlineLevel="1">
      <c r="A720" s="215" t="s">
        <v>125</v>
      </c>
      <c r="B720" s="249"/>
      <c r="C720" s="249"/>
      <c r="D720" s="250"/>
      <c r="E720" s="249"/>
      <c r="F720" s="249"/>
      <c r="G720" s="249"/>
      <c r="H720" s="249"/>
      <c r="I720" s="249"/>
      <c r="J720" s="249"/>
      <c r="K720" s="261"/>
      <c r="L720" s="250"/>
      <c r="M720" s="250"/>
      <c r="N720" s="250"/>
      <c r="O720" s="250"/>
      <c r="P720" s="250"/>
      <c r="Q720" s="261"/>
      <c r="R720" s="283"/>
      <c r="S720" s="283"/>
      <c r="T720" s="283"/>
      <c r="U720" s="283"/>
      <c r="V720" s="283"/>
      <c r="W720" s="283"/>
      <c r="X720" s="283"/>
      <c r="Y720" s="284"/>
      <c r="Z720" s="284"/>
      <c r="AA720" s="301"/>
      <c r="AB720" s="301"/>
      <c r="AC720" s="301"/>
      <c r="AD720" s="301"/>
      <c r="AE720" s="301"/>
      <c r="AF720" s="301"/>
      <c r="AG720" s="301"/>
      <c r="AH720" s="301"/>
      <c r="AI720" s="301"/>
      <c r="AJ720" s="301"/>
      <c r="AK720" s="301"/>
      <c r="AL720" s="301"/>
      <c r="AM720" s="301"/>
      <c r="AN720" s="301"/>
      <c r="AO720" s="301"/>
      <c r="AP720" s="301"/>
      <c r="AQ720" s="301"/>
      <c r="AR720" s="301"/>
      <c r="AS720" s="316"/>
      <c r="AT720" s="316"/>
      <c r="AU720" s="317"/>
    </row>
    <row r="721" spans="1:49" s="217" customFormat="1" ht="25.5" customHeight="1" outlineLevel="1">
      <c r="A721" s="215" t="s">
        <v>125</v>
      </c>
      <c r="B721" s="247"/>
      <c r="C721" s="247"/>
      <c r="D721" s="248"/>
      <c r="E721" s="249"/>
      <c r="F721" s="249"/>
      <c r="G721" s="249"/>
      <c r="H721" s="249"/>
      <c r="I721" s="249"/>
      <c r="J721" s="247"/>
      <c r="K721" s="259"/>
      <c r="L721" s="248"/>
      <c r="M721" s="248"/>
      <c r="N721" s="250"/>
      <c r="O721" s="250"/>
      <c r="P721" s="250"/>
      <c r="Q721" s="99" t="s">
        <v>188</v>
      </c>
      <c r="R721" s="283"/>
      <c r="S721" s="283"/>
      <c r="T721" s="283"/>
      <c r="U721" s="283"/>
      <c r="V721" s="283"/>
      <c r="W721" s="283"/>
      <c r="X721" s="283"/>
      <c r="Y721" s="285"/>
      <c r="Z721" s="285"/>
      <c r="AA721" s="302"/>
      <c r="AB721" s="302"/>
      <c r="AC721" s="302"/>
      <c r="AD721" s="302"/>
      <c r="AE721" s="302"/>
      <c r="AF721" s="302"/>
      <c r="AG721" s="302"/>
      <c r="AH721" s="301"/>
      <c r="AI721" s="301"/>
      <c r="AJ721" s="301"/>
      <c r="AK721" s="301"/>
      <c r="AL721" s="301"/>
      <c r="AM721" s="301"/>
      <c r="AN721" s="301"/>
      <c r="AO721" s="301"/>
      <c r="AP721" s="301"/>
      <c r="AQ721" s="302"/>
      <c r="AR721" s="302"/>
      <c r="AS721" s="315"/>
      <c r="AT721" s="315"/>
      <c r="AU721" s="220"/>
    </row>
    <row r="722" spans="1:49" s="218" customFormat="1" ht="25.5" customHeight="1" outlineLevel="2">
      <c r="A722" s="215" t="s">
        <v>125</v>
      </c>
      <c r="B722" s="151">
        <v>22</v>
      </c>
      <c r="C722" s="151" t="s">
        <v>196</v>
      </c>
      <c r="D722" s="245" t="s">
        <v>149</v>
      </c>
      <c r="E722" s="151" t="s">
        <v>130</v>
      </c>
      <c r="F722" s="151" t="s">
        <v>140</v>
      </c>
      <c r="G722" s="151" t="s">
        <v>36</v>
      </c>
      <c r="H722" s="151" t="s">
        <v>36</v>
      </c>
      <c r="I722" s="256">
        <v>35</v>
      </c>
      <c r="J722" s="151" t="s">
        <v>88</v>
      </c>
      <c r="K722" s="176" t="s">
        <v>132</v>
      </c>
      <c r="L722" s="245">
        <v>40015918</v>
      </c>
      <c r="M722" s="855"/>
      <c r="N722" s="245"/>
      <c r="O722" s="245" t="s">
        <v>1066</v>
      </c>
      <c r="P722" s="245"/>
      <c r="Q722" s="176" t="s">
        <v>1067</v>
      </c>
      <c r="R722" s="273" t="s">
        <v>1068</v>
      </c>
      <c r="S722" s="274"/>
      <c r="T722" s="273"/>
      <c r="U722" s="273"/>
      <c r="V722" s="273"/>
      <c r="W722" s="273"/>
      <c r="X722" s="274"/>
      <c r="Y722" s="275">
        <v>201000000</v>
      </c>
      <c r="Z722" s="275">
        <v>0</v>
      </c>
      <c r="AA722" s="296"/>
      <c r="AB722" s="297">
        <v>120000000</v>
      </c>
      <c r="AC722" s="297">
        <f t="shared" si="271"/>
        <v>0</v>
      </c>
      <c r="AD722" s="297">
        <f>+AB722-AC722</f>
        <v>120000000</v>
      </c>
      <c r="AE722" s="297"/>
      <c r="AF722" s="297"/>
      <c r="AG722" s="297"/>
      <c r="AH722" s="297"/>
      <c r="AI722" s="297"/>
      <c r="AJ722" s="297">
        <v>0</v>
      </c>
      <c r="AK722" s="297">
        <v>0</v>
      </c>
      <c r="AL722" s="297">
        <v>0</v>
      </c>
      <c r="AM722" s="297">
        <v>0</v>
      </c>
      <c r="AN722" s="297">
        <v>0</v>
      </c>
      <c r="AO722" s="297">
        <v>0</v>
      </c>
      <c r="AP722" s="297">
        <v>0</v>
      </c>
      <c r="AQ722" s="296"/>
      <c r="AR722" s="297">
        <f t="shared" ref="AR722:AR726" si="277">+Y722-Z722-AC722-AD722</f>
        <v>81000000</v>
      </c>
      <c r="AS722" s="313" t="s">
        <v>185</v>
      </c>
      <c r="AT722" s="313"/>
      <c r="AU722" s="176" t="s">
        <v>200</v>
      </c>
    </row>
    <row r="723" spans="1:49" s="218" customFormat="1" ht="25.5" customHeight="1" outlineLevel="2">
      <c r="A723" s="215" t="s">
        <v>125</v>
      </c>
      <c r="B723" s="151">
        <v>29</v>
      </c>
      <c r="C723" s="151" t="s">
        <v>196</v>
      </c>
      <c r="D723" s="245" t="s">
        <v>144</v>
      </c>
      <c r="E723" s="151" t="s">
        <v>130</v>
      </c>
      <c r="F723" s="151" t="s">
        <v>140</v>
      </c>
      <c r="G723" s="151" t="s">
        <v>36</v>
      </c>
      <c r="H723" s="151" t="s">
        <v>36</v>
      </c>
      <c r="I723" s="256">
        <v>35</v>
      </c>
      <c r="J723" s="151" t="s">
        <v>80</v>
      </c>
      <c r="K723" s="176" t="s">
        <v>132</v>
      </c>
      <c r="L723" s="245" t="s">
        <v>1061</v>
      </c>
      <c r="M723" s="855"/>
      <c r="N723" s="245"/>
      <c r="O723" s="245" t="s">
        <v>1062</v>
      </c>
      <c r="P723" s="245"/>
      <c r="Q723" s="176" t="s">
        <v>1069</v>
      </c>
      <c r="R723" s="273" t="s">
        <v>1070</v>
      </c>
      <c r="S723" s="274"/>
      <c r="T723" s="273"/>
      <c r="U723" s="273"/>
      <c r="V723" s="273"/>
      <c r="W723" s="273"/>
      <c r="X723" s="274"/>
      <c r="Y723" s="275">
        <v>8225679730</v>
      </c>
      <c r="Z723" s="275">
        <v>0</v>
      </c>
      <c r="AA723" s="296"/>
      <c r="AB723" s="297">
        <v>0</v>
      </c>
      <c r="AC723" s="297">
        <f t="shared" si="271"/>
        <v>0</v>
      </c>
      <c r="AD723" s="297">
        <f>+AB723-AC723</f>
        <v>0</v>
      </c>
      <c r="AE723" s="297"/>
      <c r="AF723" s="297"/>
      <c r="AG723" s="297"/>
      <c r="AH723" s="297"/>
      <c r="AI723" s="297"/>
      <c r="AJ723" s="297">
        <v>0</v>
      </c>
      <c r="AK723" s="297">
        <v>0</v>
      </c>
      <c r="AL723" s="297">
        <v>0</v>
      </c>
      <c r="AM723" s="297">
        <v>0</v>
      </c>
      <c r="AN723" s="297"/>
      <c r="AO723" s="297">
        <v>0</v>
      </c>
      <c r="AP723" s="297">
        <v>0</v>
      </c>
      <c r="AQ723" s="296"/>
      <c r="AR723" s="297">
        <f t="shared" si="277"/>
        <v>8225679730</v>
      </c>
      <c r="AS723" s="313" t="s">
        <v>185</v>
      </c>
      <c r="AT723" s="313" t="s">
        <v>1486</v>
      </c>
      <c r="AU723" s="176" t="s">
        <v>200</v>
      </c>
    </row>
    <row r="724" spans="1:49" s="217" customFormat="1" ht="25.5" customHeight="1" outlineLevel="1">
      <c r="A724" s="215" t="s">
        <v>125</v>
      </c>
      <c r="B724" s="151">
        <v>31</v>
      </c>
      <c r="C724" s="151" t="s">
        <v>196</v>
      </c>
      <c r="D724" s="245" t="s">
        <v>149</v>
      </c>
      <c r="E724" s="151" t="s">
        <v>130</v>
      </c>
      <c r="F724" s="151" t="s">
        <v>131</v>
      </c>
      <c r="G724" s="151" t="s">
        <v>36</v>
      </c>
      <c r="H724" s="151" t="s">
        <v>36</v>
      </c>
      <c r="I724" s="256">
        <v>35</v>
      </c>
      <c r="J724" s="151" t="s">
        <v>80</v>
      </c>
      <c r="K724" s="176" t="s">
        <v>132</v>
      </c>
      <c r="L724" s="245">
        <v>30091074</v>
      </c>
      <c r="M724" s="855"/>
      <c r="N724" s="245"/>
      <c r="O724" s="245" t="s">
        <v>1071</v>
      </c>
      <c r="P724" s="245"/>
      <c r="Q724" s="176" t="s">
        <v>1072</v>
      </c>
      <c r="R724" s="273" t="s">
        <v>1073</v>
      </c>
      <c r="S724" s="274"/>
      <c r="T724" s="273"/>
      <c r="U724" s="273"/>
      <c r="V724" s="273"/>
      <c r="W724" s="273"/>
      <c r="X724" s="274"/>
      <c r="Y724" s="275">
        <v>5484512000</v>
      </c>
      <c r="Z724" s="275">
        <v>0</v>
      </c>
      <c r="AA724" s="296"/>
      <c r="AB724" s="297">
        <v>0</v>
      </c>
      <c r="AC724" s="297">
        <f t="shared" si="271"/>
        <v>0</v>
      </c>
      <c r="AD724" s="297">
        <f>+AB724-AC724</f>
        <v>0</v>
      </c>
      <c r="AE724" s="297"/>
      <c r="AF724" s="297"/>
      <c r="AG724" s="297"/>
      <c r="AH724" s="297"/>
      <c r="AI724" s="297"/>
      <c r="AJ724" s="297">
        <v>0</v>
      </c>
      <c r="AK724" s="297">
        <v>0</v>
      </c>
      <c r="AL724" s="297">
        <v>0</v>
      </c>
      <c r="AM724" s="297">
        <v>0</v>
      </c>
      <c r="AN724" s="297">
        <v>0</v>
      </c>
      <c r="AO724" s="297"/>
      <c r="AP724" s="297"/>
      <c r="AQ724" s="296"/>
      <c r="AR724" s="297">
        <f t="shared" si="277"/>
        <v>5484512000</v>
      </c>
      <c r="AS724" s="313" t="s">
        <v>1611</v>
      </c>
      <c r="AT724" s="313" t="s">
        <v>1611</v>
      </c>
      <c r="AU724" s="176" t="s">
        <v>1074</v>
      </c>
    </row>
    <row r="725" spans="1:49" s="218" customFormat="1" ht="25.5" customHeight="1" outlineLevel="2">
      <c r="A725" s="215" t="s">
        <v>125</v>
      </c>
      <c r="B725" s="151">
        <v>33</v>
      </c>
      <c r="C725" s="151" t="s">
        <v>128</v>
      </c>
      <c r="D725" s="245" t="s">
        <v>648</v>
      </c>
      <c r="E725" s="151" t="s">
        <v>169</v>
      </c>
      <c r="F725" s="151" t="s">
        <v>140</v>
      </c>
      <c r="G725" s="151" t="s">
        <v>36</v>
      </c>
      <c r="H725" s="151" t="s">
        <v>36</v>
      </c>
      <c r="I725" s="256">
        <v>35</v>
      </c>
      <c r="J725" s="151" t="s">
        <v>80</v>
      </c>
      <c r="K725" s="176" t="s">
        <v>132</v>
      </c>
      <c r="L725" s="245" t="s">
        <v>1061</v>
      </c>
      <c r="M725" s="855"/>
      <c r="N725" s="245"/>
      <c r="O725" s="245" t="s">
        <v>1062</v>
      </c>
      <c r="P725" s="245"/>
      <c r="Q725" s="176" t="s">
        <v>1075</v>
      </c>
      <c r="R725" s="273" t="s">
        <v>1076</v>
      </c>
      <c r="S725" s="274"/>
      <c r="T725" s="273"/>
      <c r="U725" s="273"/>
      <c r="V725" s="273"/>
      <c r="W725" s="273"/>
      <c r="X725" s="274"/>
      <c r="Y725" s="275">
        <v>2100000000</v>
      </c>
      <c r="Z725" s="275">
        <v>0</v>
      </c>
      <c r="AA725" s="296"/>
      <c r="AB725" s="297">
        <v>700000000</v>
      </c>
      <c r="AC725" s="297">
        <f t="shared" si="271"/>
        <v>0</v>
      </c>
      <c r="AD725" s="297">
        <f>+AB725-AC725</f>
        <v>700000000</v>
      </c>
      <c r="AE725" s="297">
        <v>0</v>
      </c>
      <c r="AF725" s="297">
        <v>0</v>
      </c>
      <c r="AG725" s="297">
        <v>0</v>
      </c>
      <c r="AH725" s="297">
        <v>0</v>
      </c>
      <c r="AI725" s="297">
        <v>0</v>
      </c>
      <c r="AJ725" s="297">
        <v>0</v>
      </c>
      <c r="AK725" s="297">
        <v>0</v>
      </c>
      <c r="AL725" s="297">
        <v>0</v>
      </c>
      <c r="AM725" s="297">
        <v>0</v>
      </c>
      <c r="AN725" s="297">
        <v>0</v>
      </c>
      <c r="AO725" s="297">
        <v>0</v>
      </c>
      <c r="AP725" s="297">
        <v>0</v>
      </c>
      <c r="AQ725" s="296"/>
      <c r="AR725" s="297">
        <f t="shared" si="277"/>
        <v>1400000000</v>
      </c>
      <c r="AS725" s="313" t="s">
        <v>185</v>
      </c>
      <c r="AT725" s="313" t="s">
        <v>1486</v>
      </c>
      <c r="AU725" s="176"/>
    </row>
    <row r="726" spans="1:49" s="218" customFormat="1" ht="25.5" customHeight="1" outlineLevel="2">
      <c r="A726" s="215" t="s">
        <v>125</v>
      </c>
      <c r="B726" s="151">
        <v>29</v>
      </c>
      <c r="C726" s="151" t="s">
        <v>128</v>
      </c>
      <c r="D726" s="245" t="s">
        <v>144</v>
      </c>
      <c r="E726" s="151" t="s">
        <v>130</v>
      </c>
      <c r="F726" s="151" t="s">
        <v>140</v>
      </c>
      <c r="G726" s="151" t="s">
        <v>36</v>
      </c>
      <c r="H726" s="151" t="s">
        <v>36</v>
      </c>
      <c r="I726" s="256">
        <v>35</v>
      </c>
      <c r="J726" s="151" t="s">
        <v>80</v>
      </c>
      <c r="K726" s="176" t="s">
        <v>132</v>
      </c>
      <c r="L726" s="245">
        <v>40008200</v>
      </c>
      <c r="M726" s="855"/>
      <c r="N726" s="245" t="e">
        <v>#N/A</v>
      </c>
      <c r="O726" s="245" t="s">
        <v>1077</v>
      </c>
      <c r="P726" s="245"/>
      <c r="Q726" s="176" t="s">
        <v>1078</v>
      </c>
      <c r="R726" s="273" t="s">
        <v>1079</v>
      </c>
      <c r="S726" s="274"/>
      <c r="T726" s="273"/>
      <c r="U726" s="273" t="s">
        <v>1556</v>
      </c>
      <c r="V726" s="273">
        <v>244473000</v>
      </c>
      <c r="W726" s="273"/>
      <c r="X726" s="274"/>
      <c r="Y726" s="275">
        <v>244473000</v>
      </c>
      <c r="Z726" s="275">
        <v>0</v>
      </c>
      <c r="AA726" s="296"/>
      <c r="AB726" s="297">
        <v>244473000</v>
      </c>
      <c r="AC726" s="297">
        <f t="shared" si="271"/>
        <v>0</v>
      </c>
      <c r="AD726" s="297">
        <f>+AB726-AC726</f>
        <v>244473000</v>
      </c>
      <c r="AE726" s="297">
        <v>0</v>
      </c>
      <c r="AF726" s="297">
        <v>0</v>
      </c>
      <c r="AG726" s="297">
        <v>0</v>
      </c>
      <c r="AH726" s="297">
        <v>0</v>
      </c>
      <c r="AI726" s="297">
        <v>0</v>
      </c>
      <c r="AJ726" s="297">
        <v>0</v>
      </c>
      <c r="AK726" s="297">
        <v>0</v>
      </c>
      <c r="AL726" s="297">
        <v>0</v>
      </c>
      <c r="AM726" s="297">
        <v>0</v>
      </c>
      <c r="AN726" s="297">
        <v>0</v>
      </c>
      <c r="AO726" s="297">
        <v>0</v>
      </c>
      <c r="AP726" s="297">
        <v>0</v>
      </c>
      <c r="AQ726" s="296"/>
      <c r="AR726" s="297">
        <f t="shared" si="277"/>
        <v>0</v>
      </c>
      <c r="AS726" s="313" t="s">
        <v>148</v>
      </c>
      <c r="AT726" s="313" t="s">
        <v>1464</v>
      </c>
      <c r="AU726" s="176" t="s">
        <v>195</v>
      </c>
      <c r="AW726" s="218" t="s">
        <v>1080</v>
      </c>
    </row>
    <row r="727" spans="1:49" s="217" customFormat="1" ht="25.5" customHeight="1" outlineLevel="1">
      <c r="A727" s="215" t="s">
        <v>125</v>
      </c>
      <c r="B727" s="151">
        <v>33</v>
      </c>
      <c r="C727" s="151" t="s">
        <v>196</v>
      </c>
      <c r="D727" s="245" t="s">
        <v>144</v>
      </c>
      <c r="E727" s="151" t="s">
        <v>130</v>
      </c>
      <c r="F727" s="151" t="s">
        <v>140</v>
      </c>
      <c r="G727" s="151" t="s">
        <v>36</v>
      </c>
      <c r="H727" s="151" t="s">
        <v>36</v>
      </c>
      <c r="I727" s="256">
        <v>35</v>
      </c>
      <c r="J727" s="151" t="s">
        <v>80</v>
      </c>
      <c r="K727" s="176" t="s">
        <v>132</v>
      </c>
      <c r="L727" s="245">
        <v>40016388</v>
      </c>
      <c r="M727" s="855"/>
      <c r="N727" s="245"/>
      <c r="O727" s="245" t="s">
        <v>1081</v>
      </c>
      <c r="P727" s="245"/>
      <c r="Q727" s="176" t="s">
        <v>1082</v>
      </c>
      <c r="R727" s="273"/>
      <c r="S727" s="274"/>
      <c r="T727" s="273"/>
      <c r="U727" s="273"/>
      <c r="V727" s="273"/>
      <c r="W727" s="273"/>
      <c r="X727" s="274"/>
      <c r="Y727" s="275">
        <v>2300000000</v>
      </c>
      <c r="Z727" s="275">
        <v>0</v>
      </c>
      <c r="AA727" s="296"/>
      <c r="AB727" s="297">
        <v>2300000000</v>
      </c>
      <c r="AC727" s="297">
        <f t="shared" si="271"/>
        <v>0</v>
      </c>
      <c r="AD727" s="297">
        <f t="shared" ref="AD727:AD730" si="278">+AB727-AC727</f>
        <v>2300000000</v>
      </c>
      <c r="AE727" s="297"/>
      <c r="AF727" s="297"/>
      <c r="AG727" s="297"/>
      <c r="AH727" s="297"/>
      <c r="AI727" s="297"/>
      <c r="AJ727" s="297">
        <v>0</v>
      </c>
      <c r="AK727" s="297">
        <v>0</v>
      </c>
      <c r="AL727" s="297">
        <v>0</v>
      </c>
      <c r="AM727" s="297">
        <v>0</v>
      </c>
      <c r="AN727" s="297">
        <v>0</v>
      </c>
      <c r="AO727" s="297">
        <v>0</v>
      </c>
      <c r="AP727" s="297">
        <v>0</v>
      </c>
      <c r="AQ727" s="296"/>
      <c r="AR727" s="297">
        <f t="shared" ref="AR727:AR731" si="279">+Y727-Z727-AC727-AD727</f>
        <v>0</v>
      </c>
      <c r="AS727" s="313" t="s">
        <v>137</v>
      </c>
      <c r="AT727" s="313" t="s">
        <v>1486</v>
      </c>
      <c r="AU727" s="176" t="s">
        <v>1463</v>
      </c>
    </row>
    <row r="728" spans="1:49" s="218" customFormat="1" ht="25.5" customHeight="1" outlineLevel="2">
      <c r="A728" s="215" t="s">
        <v>125</v>
      </c>
      <c r="B728" s="151">
        <v>22</v>
      </c>
      <c r="C728" s="151" t="s">
        <v>128</v>
      </c>
      <c r="D728" s="245" t="s">
        <v>149</v>
      </c>
      <c r="E728" s="151" t="s">
        <v>169</v>
      </c>
      <c r="F728" s="151" t="s">
        <v>140</v>
      </c>
      <c r="G728" s="151" t="s">
        <v>36</v>
      </c>
      <c r="H728" s="151" t="s">
        <v>36</v>
      </c>
      <c r="I728" s="256">
        <v>35</v>
      </c>
      <c r="J728" s="151" t="s">
        <v>80</v>
      </c>
      <c r="K728" s="176" t="s">
        <v>132</v>
      </c>
      <c r="L728" s="245">
        <v>30430874</v>
      </c>
      <c r="M728" s="855"/>
      <c r="N728" s="245" t="e">
        <v>#N/A</v>
      </c>
      <c r="O728" s="245" t="s">
        <v>1083</v>
      </c>
      <c r="P728" s="245"/>
      <c r="Q728" s="176" t="s">
        <v>1084</v>
      </c>
      <c r="R728" s="273"/>
      <c r="S728" s="274"/>
      <c r="T728" s="273"/>
      <c r="U728" s="273"/>
      <c r="V728" s="273"/>
      <c r="W728" s="273"/>
      <c r="X728" s="274"/>
      <c r="Y728" s="275">
        <v>413944000</v>
      </c>
      <c r="Z728" s="275">
        <v>0</v>
      </c>
      <c r="AA728" s="296"/>
      <c r="AB728" s="297">
        <v>213944000</v>
      </c>
      <c r="AC728" s="297">
        <f t="shared" si="271"/>
        <v>0</v>
      </c>
      <c r="AD728" s="297">
        <f t="shared" si="278"/>
        <v>213944000</v>
      </c>
      <c r="AE728" s="297">
        <v>0</v>
      </c>
      <c r="AF728" s="297">
        <v>0</v>
      </c>
      <c r="AG728" s="297">
        <v>0</v>
      </c>
      <c r="AH728" s="297">
        <v>0</v>
      </c>
      <c r="AI728" s="297">
        <v>0</v>
      </c>
      <c r="AJ728" s="297">
        <v>0</v>
      </c>
      <c r="AK728" s="297">
        <v>0</v>
      </c>
      <c r="AL728" s="297">
        <v>0</v>
      </c>
      <c r="AM728" s="297">
        <v>0</v>
      </c>
      <c r="AN728" s="297">
        <v>0</v>
      </c>
      <c r="AO728" s="297">
        <v>0</v>
      </c>
      <c r="AP728" s="297">
        <v>0</v>
      </c>
      <c r="AQ728" s="296"/>
      <c r="AR728" s="297">
        <f t="shared" si="279"/>
        <v>200000000</v>
      </c>
      <c r="AS728" s="313" t="s">
        <v>148</v>
      </c>
      <c r="AT728" s="313" t="s">
        <v>1464</v>
      </c>
      <c r="AU728" s="176" t="s">
        <v>200</v>
      </c>
    </row>
    <row r="729" spans="1:49" s="218" customFormat="1" ht="25.5" customHeight="1" outlineLevel="2">
      <c r="A729" s="215" t="s">
        <v>125</v>
      </c>
      <c r="B729" s="966">
        <v>31</v>
      </c>
      <c r="C729" s="966" t="s">
        <v>196</v>
      </c>
      <c r="D729" s="862" t="s">
        <v>129</v>
      </c>
      <c r="E729" s="966" t="s">
        <v>169</v>
      </c>
      <c r="F729" s="966" t="s">
        <v>131</v>
      </c>
      <c r="G729" s="966" t="s">
        <v>36</v>
      </c>
      <c r="H729" s="966" t="s">
        <v>36</v>
      </c>
      <c r="I729" s="324">
        <v>35</v>
      </c>
      <c r="J729" s="966" t="s">
        <v>80</v>
      </c>
      <c r="K729" s="950" t="s">
        <v>132</v>
      </c>
      <c r="L729" s="862">
        <v>40020262</v>
      </c>
      <c r="M729" s="862" t="s">
        <v>1605</v>
      </c>
      <c r="N729" s="862"/>
      <c r="O729" s="855" t="s">
        <v>1086</v>
      </c>
      <c r="P729" s="862"/>
      <c r="Q729" s="950" t="s">
        <v>1087</v>
      </c>
      <c r="R729" s="967" t="s">
        <v>1088</v>
      </c>
      <c r="S729" s="329"/>
      <c r="T729" s="967"/>
      <c r="U729" s="967"/>
      <c r="V729" s="967"/>
      <c r="W729" s="967"/>
      <c r="X729" s="329"/>
      <c r="Y729" s="951">
        <v>550000000</v>
      </c>
      <c r="Z729" s="951">
        <v>0</v>
      </c>
      <c r="AA729" s="331"/>
      <c r="AB729" s="952">
        <v>104000000</v>
      </c>
      <c r="AC729" s="952">
        <f t="shared" ref="AC729" si="280">SUBTOTAL(9,AE729:AP729)</f>
        <v>0</v>
      </c>
      <c r="AD729" s="952">
        <f t="shared" ref="AD729" si="281">+AB729-AC729</f>
        <v>104000000</v>
      </c>
      <c r="AE729" s="952"/>
      <c r="AF729" s="952"/>
      <c r="AG729" s="952"/>
      <c r="AH729" s="952"/>
      <c r="AI729" s="952"/>
      <c r="AJ729" s="952"/>
      <c r="AK729" s="859">
        <v>0</v>
      </c>
      <c r="AL729" s="859">
        <v>0</v>
      </c>
      <c r="AM729" s="859">
        <v>0</v>
      </c>
      <c r="AN729" s="859">
        <v>0</v>
      </c>
      <c r="AO729" s="952">
        <v>0</v>
      </c>
      <c r="AP729" s="952">
        <v>0</v>
      </c>
      <c r="AQ729" s="331"/>
      <c r="AR729" s="952">
        <f t="shared" ref="AR729" si="282">+Y729-Z729-AC729-AD729</f>
        <v>446000000</v>
      </c>
      <c r="AS729" s="335" t="s">
        <v>148</v>
      </c>
      <c r="AT729" s="313" t="s">
        <v>1464</v>
      </c>
      <c r="AU729" s="325" t="s">
        <v>200</v>
      </c>
    </row>
    <row r="730" spans="1:49" s="217" customFormat="1" ht="25.5" customHeight="1" outlineLevel="1">
      <c r="A730" s="215" t="s">
        <v>125</v>
      </c>
      <c r="B730" s="321">
        <v>31</v>
      </c>
      <c r="C730" s="321" t="s">
        <v>196</v>
      </c>
      <c r="D730" s="322" t="s">
        <v>129</v>
      </c>
      <c r="E730" s="321" t="s">
        <v>169</v>
      </c>
      <c r="F730" s="321" t="s">
        <v>131</v>
      </c>
      <c r="G730" s="321" t="s">
        <v>36</v>
      </c>
      <c r="H730" s="321" t="s">
        <v>36</v>
      </c>
      <c r="I730" s="324">
        <v>35</v>
      </c>
      <c r="J730" s="321" t="s">
        <v>80</v>
      </c>
      <c r="K730" s="325" t="s">
        <v>132</v>
      </c>
      <c r="L730" s="322">
        <v>40022424</v>
      </c>
      <c r="M730" s="862" t="s">
        <v>1605</v>
      </c>
      <c r="N730" s="322"/>
      <c r="O730" s="245" t="s">
        <v>1085</v>
      </c>
      <c r="P730" s="322"/>
      <c r="Q730" s="325" t="s">
        <v>1637</v>
      </c>
      <c r="R730" s="328" t="s">
        <v>1569</v>
      </c>
      <c r="S730" s="329"/>
      <c r="T730" s="328"/>
      <c r="U730" s="328"/>
      <c r="V730" s="328"/>
      <c r="W730" s="328"/>
      <c r="X730" s="329"/>
      <c r="Y730" s="330">
        <v>2028090000</v>
      </c>
      <c r="Z730" s="330">
        <v>0</v>
      </c>
      <c r="AA730" s="331"/>
      <c r="AB730" s="332">
        <v>1400000000</v>
      </c>
      <c r="AC730" s="332">
        <f t="shared" si="271"/>
        <v>0</v>
      </c>
      <c r="AD730" s="332">
        <f t="shared" si="278"/>
        <v>1400000000</v>
      </c>
      <c r="AE730" s="332"/>
      <c r="AF730" s="332"/>
      <c r="AG730" s="332"/>
      <c r="AH730" s="332"/>
      <c r="AI730" s="332"/>
      <c r="AJ730" s="297">
        <v>0</v>
      </c>
      <c r="AK730" s="297">
        <v>0</v>
      </c>
      <c r="AL730" s="297">
        <v>0</v>
      </c>
      <c r="AM730" s="297">
        <v>0</v>
      </c>
      <c r="AN730" s="297">
        <v>0</v>
      </c>
      <c r="AO730" s="332">
        <v>0</v>
      </c>
      <c r="AP730" s="332">
        <v>0</v>
      </c>
      <c r="AQ730" s="331"/>
      <c r="AR730" s="332">
        <f t="shared" si="279"/>
        <v>628090000</v>
      </c>
      <c r="AS730" s="335" t="s">
        <v>148</v>
      </c>
      <c r="AT730" s="313" t="s">
        <v>1464</v>
      </c>
      <c r="AU730" s="325" t="s">
        <v>200</v>
      </c>
    </row>
    <row r="731" spans="1:49" s="217" customFormat="1" ht="25.5" customHeight="1" outlineLevel="1">
      <c r="A731" s="215" t="s">
        <v>125</v>
      </c>
      <c r="B731" s="247"/>
      <c r="C731" s="247"/>
      <c r="D731" s="248"/>
      <c r="E731" s="249"/>
      <c r="F731" s="249"/>
      <c r="G731" s="249"/>
      <c r="H731" s="249"/>
      <c r="I731" s="249"/>
      <c r="J731" s="247"/>
      <c r="K731" s="259"/>
      <c r="L731" s="248"/>
      <c r="M731" s="248"/>
      <c r="N731" s="250"/>
      <c r="O731" s="250"/>
      <c r="P731" s="250"/>
      <c r="Q731" s="260" t="s">
        <v>201</v>
      </c>
      <c r="R731" s="278"/>
      <c r="S731" s="279"/>
      <c r="T731" s="279"/>
      <c r="U731" s="279"/>
      <c r="V731" s="279"/>
      <c r="W731" s="279"/>
      <c r="X731" s="281"/>
      <c r="Y731" s="286">
        <f>SUBTOTAL(9,Y722:Y730)</f>
        <v>21547698730</v>
      </c>
      <c r="Z731" s="286">
        <f>SUBTOTAL(9,Z722:Z730)</f>
        <v>0</v>
      </c>
      <c r="AA731" s="303"/>
      <c r="AB731" s="286">
        <f>SUM(AB722:AB730)</f>
        <v>5082417000</v>
      </c>
      <c r="AC731" s="286">
        <f>SUM(AC722:AC730)</f>
        <v>0</v>
      </c>
      <c r="AD731" s="286">
        <f>SUBTOTAL(9,AD722:AD730)</f>
        <v>5082417000</v>
      </c>
      <c r="AE731" s="286">
        <f>SUM(AE722:AE730)</f>
        <v>0</v>
      </c>
      <c r="AF731" s="286">
        <f>SUM(AF722:AF730)</f>
        <v>0</v>
      </c>
      <c r="AG731" s="286">
        <f>SUM(AG722:AG730)</f>
        <v>0</v>
      </c>
      <c r="AH731" s="286">
        <f>SUM(AH722:AH730)</f>
        <v>0</v>
      </c>
      <c r="AI731" s="286">
        <f>SUM(AI722:AI730)</f>
        <v>0</v>
      </c>
      <c r="AJ731" s="286">
        <v>0</v>
      </c>
      <c r="AK731" s="286">
        <f t="shared" ref="AK731:AP731" si="283">SUM(AK722:AK730)</f>
        <v>0</v>
      </c>
      <c r="AL731" s="286">
        <f t="shared" si="283"/>
        <v>0</v>
      </c>
      <c r="AM731" s="286">
        <f t="shared" si="283"/>
        <v>0</v>
      </c>
      <c r="AN731" s="286">
        <f t="shared" si="283"/>
        <v>0</v>
      </c>
      <c r="AO731" s="286">
        <f t="shared" si="283"/>
        <v>0</v>
      </c>
      <c r="AP731" s="286">
        <f t="shared" si="283"/>
        <v>0</v>
      </c>
      <c r="AQ731" s="287"/>
      <c r="AR731" s="394">
        <f t="shared" si="279"/>
        <v>16465281730</v>
      </c>
      <c r="AS731" s="315"/>
      <c r="AT731" s="315"/>
      <c r="AU731" s="220"/>
    </row>
    <row r="732" spans="1:49" ht="18.75" customHeight="1" outlineLevel="1">
      <c r="A732" s="215" t="s">
        <v>125</v>
      </c>
      <c r="B732" s="249"/>
      <c r="C732" s="249"/>
      <c r="D732" s="250"/>
      <c r="E732" s="249"/>
      <c r="F732" s="249"/>
      <c r="G732" s="249"/>
      <c r="H732" s="249"/>
      <c r="I732" s="249"/>
      <c r="J732" s="249"/>
      <c r="K732" s="261"/>
      <c r="L732" s="250"/>
      <c r="M732" s="250"/>
      <c r="N732" s="250"/>
      <c r="O732" s="250"/>
      <c r="P732" s="250"/>
      <c r="Q732" s="261"/>
      <c r="R732" s="283"/>
      <c r="S732" s="283"/>
      <c r="T732" s="283"/>
      <c r="U732" s="283"/>
      <c r="V732" s="283"/>
      <c r="W732" s="283"/>
      <c r="X732" s="283"/>
      <c r="Y732" s="284"/>
      <c r="Z732" s="284"/>
      <c r="AA732" s="301"/>
      <c r="AB732" s="301"/>
      <c r="AC732" s="301"/>
      <c r="AD732" s="301"/>
      <c r="AE732" s="301"/>
      <c r="AF732" s="301"/>
      <c r="AG732" s="301"/>
      <c r="AH732" s="301"/>
      <c r="AI732" s="301"/>
      <c r="AJ732" s="301"/>
      <c r="AK732" s="301"/>
      <c r="AL732" s="301"/>
      <c r="AM732" s="301"/>
      <c r="AN732" s="301"/>
      <c r="AO732" s="301"/>
      <c r="AP732" s="301"/>
      <c r="AQ732" s="301"/>
      <c r="AR732" s="301"/>
      <c r="AS732" s="316"/>
      <c r="AT732" s="316"/>
      <c r="AU732" s="317"/>
    </row>
    <row r="733" spans="1:49" s="219" customFormat="1" ht="24.75" customHeight="1" outlineLevel="1">
      <c r="A733" s="215" t="s">
        <v>125</v>
      </c>
      <c r="B733" s="251"/>
      <c r="C733" s="249"/>
      <c r="D733" s="250"/>
      <c r="E733" s="249"/>
      <c r="F733" s="249"/>
      <c r="G733" s="249"/>
      <c r="H733" s="249"/>
      <c r="I733" s="249"/>
      <c r="J733" s="251"/>
      <c r="K733" s="263"/>
      <c r="L733" s="252"/>
      <c r="M733" s="252"/>
      <c r="N733" s="252"/>
      <c r="O733" s="252"/>
      <c r="P733" s="252"/>
      <c r="Q733" s="117" t="s">
        <v>1089</v>
      </c>
      <c r="R733" s="288"/>
      <c r="S733" s="289"/>
      <c r="T733" s="289"/>
      <c r="U733" s="289"/>
      <c r="V733" s="289"/>
      <c r="W733" s="405"/>
      <c r="X733" s="290"/>
      <c r="Y733" s="118">
        <f>+Y719+Y731</f>
        <v>43016339998</v>
      </c>
      <c r="Z733" s="118">
        <f>+Z719+Z731</f>
        <v>5914276781</v>
      </c>
      <c r="AA733" s="304"/>
      <c r="AB733" s="118">
        <f t="shared" ref="AB733:AI733" si="284">+AB719+AB731</f>
        <v>19283988305</v>
      </c>
      <c r="AC733" s="118">
        <f t="shared" si="284"/>
        <v>2683181697</v>
      </c>
      <c r="AD733" s="118">
        <f t="shared" si="284"/>
        <v>16600806608</v>
      </c>
      <c r="AE733" s="118">
        <f t="shared" si="284"/>
        <v>0</v>
      </c>
      <c r="AF733" s="118">
        <f t="shared" si="284"/>
        <v>0</v>
      </c>
      <c r="AG733" s="118">
        <f t="shared" si="284"/>
        <v>0</v>
      </c>
      <c r="AH733" s="118">
        <f t="shared" si="284"/>
        <v>0</v>
      </c>
      <c r="AI733" s="118">
        <f t="shared" si="284"/>
        <v>0</v>
      </c>
      <c r="AJ733" s="118">
        <v>126029924</v>
      </c>
      <c r="AK733" s="118">
        <f t="shared" ref="AK733:AP733" si="285">+AK719+AK731</f>
        <v>288108393</v>
      </c>
      <c r="AL733" s="118">
        <f t="shared" si="285"/>
        <v>563582234</v>
      </c>
      <c r="AM733" s="118">
        <f t="shared" si="285"/>
        <v>501918326</v>
      </c>
      <c r="AN733" s="118">
        <f t="shared" si="285"/>
        <v>309085677</v>
      </c>
      <c r="AO733" s="118">
        <f t="shared" si="285"/>
        <v>436574018</v>
      </c>
      <c r="AP733" s="118">
        <f t="shared" si="285"/>
        <v>457883125</v>
      </c>
      <c r="AQ733" s="439"/>
      <c r="AR733" s="118">
        <f>+Y733-Z733-AC733-AD733</f>
        <v>17818074912</v>
      </c>
      <c r="AS733" s="439"/>
      <c r="AT733" s="318"/>
      <c r="AU733" s="318"/>
    </row>
    <row r="734" spans="1:49" ht="18.75" customHeight="1" outlineLevel="1">
      <c r="A734" s="215" t="s">
        <v>125</v>
      </c>
      <c r="B734" s="249"/>
      <c r="C734" s="249"/>
      <c r="D734" s="250"/>
      <c r="E734" s="249"/>
      <c r="F734" s="249"/>
      <c r="G734" s="249"/>
      <c r="H734" s="249"/>
      <c r="I734" s="249"/>
      <c r="J734" s="249"/>
      <c r="K734" s="261"/>
      <c r="L734" s="250"/>
      <c r="M734" s="250"/>
      <c r="N734" s="250"/>
      <c r="O734" s="250"/>
      <c r="P734" s="250"/>
      <c r="Q734" s="261"/>
      <c r="R734" s="283"/>
      <c r="S734" s="283"/>
      <c r="T734" s="283"/>
      <c r="U734" s="283"/>
      <c r="V734" s="283"/>
      <c r="W734" s="283"/>
      <c r="X734" s="283"/>
      <c r="Y734" s="284"/>
      <c r="Z734" s="284"/>
      <c r="AA734" s="301"/>
      <c r="AB734" s="301"/>
      <c r="AC734" s="301"/>
      <c r="AD734" s="301"/>
      <c r="AE734" s="301"/>
      <c r="AF734" s="301"/>
      <c r="AG734" s="301"/>
      <c r="AH734" s="301"/>
      <c r="AI734" s="301"/>
      <c r="AJ734" s="301"/>
      <c r="AK734" s="301"/>
      <c r="AL734" s="301"/>
      <c r="AM734" s="301"/>
      <c r="AN734" s="301"/>
      <c r="AO734" s="301"/>
      <c r="AP734" s="301"/>
      <c r="AQ734" s="301"/>
      <c r="AR734" s="301"/>
      <c r="AS734" s="316"/>
      <c r="AT734" s="316"/>
      <c r="AU734" s="317"/>
    </row>
    <row r="735" spans="1:49" ht="21" customHeight="1" outlineLevel="1">
      <c r="A735" s="215" t="s">
        <v>125</v>
      </c>
      <c r="B735" s="249"/>
      <c r="C735" s="249"/>
      <c r="D735" s="250"/>
      <c r="E735" s="249"/>
      <c r="F735" s="249"/>
      <c r="G735" s="249"/>
      <c r="H735" s="249"/>
      <c r="I735" s="249"/>
      <c r="J735" s="249"/>
      <c r="K735" s="261"/>
      <c r="L735" s="250"/>
      <c r="M735" s="250"/>
      <c r="N735" s="250"/>
      <c r="O735" s="250"/>
      <c r="P735" s="250"/>
      <c r="Q735" s="339" t="s">
        <v>37</v>
      </c>
      <c r="R735" s="283"/>
      <c r="S735" s="283"/>
      <c r="T735" s="283"/>
      <c r="U735" s="283"/>
      <c r="V735" s="283"/>
      <c r="W735" s="283"/>
      <c r="X735" s="283"/>
      <c r="Y735" s="284"/>
      <c r="Z735" s="284"/>
      <c r="AA735" s="301"/>
      <c r="AB735" s="301"/>
      <c r="AC735" s="301"/>
      <c r="AD735" s="301"/>
      <c r="AE735" s="301"/>
      <c r="AF735" s="301"/>
      <c r="AG735" s="301"/>
      <c r="AH735" s="301"/>
      <c r="AI735" s="301"/>
      <c r="AJ735" s="301"/>
      <c r="AK735" s="301"/>
      <c r="AL735" s="301"/>
      <c r="AM735" s="301"/>
      <c r="AN735" s="301"/>
      <c r="AO735" s="301"/>
      <c r="AP735" s="301"/>
      <c r="AQ735" s="301"/>
      <c r="AR735" s="301"/>
      <c r="AS735" s="316"/>
      <c r="AT735" s="316"/>
      <c r="AU735" s="317"/>
    </row>
    <row r="736" spans="1:49" s="216" customFormat="1" ht="15" customHeight="1" outlineLevel="1">
      <c r="A736" s="215" t="s">
        <v>125</v>
      </c>
      <c r="B736" s="249"/>
      <c r="C736" s="249"/>
      <c r="D736" s="250"/>
      <c r="E736" s="249"/>
      <c r="F736" s="249"/>
      <c r="G736" s="249"/>
      <c r="H736" s="249"/>
      <c r="I736" s="249"/>
      <c r="J736" s="249"/>
      <c r="K736" s="261"/>
      <c r="L736" s="250"/>
      <c r="M736" s="250"/>
      <c r="N736" s="250"/>
      <c r="O736" s="250"/>
      <c r="P736" s="250"/>
      <c r="Q736" s="340"/>
      <c r="R736" s="283"/>
      <c r="S736" s="283"/>
      <c r="T736" s="283"/>
      <c r="U736" s="283"/>
      <c r="V736" s="283"/>
      <c r="W736" s="283"/>
      <c r="X736" s="283"/>
      <c r="Y736" s="284"/>
      <c r="Z736" s="284"/>
      <c r="AA736" s="301"/>
      <c r="AB736" s="301"/>
      <c r="AC736" s="301"/>
      <c r="AD736" s="301"/>
      <c r="AE736" s="301"/>
      <c r="AF736" s="301"/>
      <c r="AG736" s="301"/>
      <c r="AH736" s="301"/>
      <c r="AI736" s="301"/>
      <c r="AJ736" s="301"/>
      <c r="AK736" s="301"/>
      <c r="AL736" s="301"/>
      <c r="AM736" s="301"/>
      <c r="AN736" s="301"/>
      <c r="AO736" s="301"/>
      <c r="AP736" s="301"/>
      <c r="AQ736" s="301"/>
      <c r="AR736" s="301"/>
      <c r="AS736" s="316"/>
      <c r="AT736" s="316"/>
      <c r="AU736" s="317"/>
    </row>
    <row r="737" spans="1:50" s="217" customFormat="1" ht="25.5" customHeight="1" outlineLevel="1">
      <c r="A737" s="215" t="s">
        <v>125</v>
      </c>
      <c r="B737" s="247"/>
      <c r="C737" s="247"/>
      <c r="D737" s="248"/>
      <c r="E737" s="249"/>
      <c r="F737" s="249"/>
      <c r="G737" s="249"/>
      <c r="H737" s="249"/>
      <c r="I737" s="249"/>
      <c r="J737" s="247"/>
      <c r="K737" s="259"/>
      <c r="L737" s="248"/>
      <c r="M737" s="248"/>
      <c r="N737" s="250"/>
      <c r="O737" s="250"/>
      <c r="P737" s="250"/>
      <c r="Q737" s="99" t="s">
        <v>127</v>
      </c>
      <c r="R737" s="283"/>
      <c r="S737" s="283"/>
      <c r="T737" s="283"/>
      <c r="U737" s="283"/>
      <c r="V737" s="283"/>
      <c r="W737" s="283"/>
      <c r="X737" s="283"/>
      <c r="Y737" s="285"/>
      <c r="Z737" s="285"/>
      <c r="AA737" s="302"/>
      <c r="AB737" s="302"/>
      <c r="AC737" s="302"/>
      <c r="AD737" s="302"/>
      <c r="AE737" s="302"/>
      <c r="AF737" s="302"/>
      <c r="AG737" s="302"/>
      <c r="AH737" s="301"/>
      <c r="AI737" s="301"/>
      <c r="AJ737" s="301"/>
      <c r="AK737" s="301"/>
      <c r="AL737" s="301"/>
      <c r="AM737" s="301"/>
      <c r="AN737" s="301"/>
      <c r="AO737" s="301"/>
      <c r="AP737" s="301"/>
      <c r="AQ737" s="302"/>
      <c r="AR737" s="302"/>
      <c r="AS737" s="315"/>
      <c r="AT737" s="315"/>
      <c r="AU737" s="220"/>
    </row>
    <row r="738" spans="1:50" s="218" customFormat="1" ht="25.5" customHeight="1" outlineLevel="2">
      <c r="A738" s="215" t="s">
        <v>125</v>
      </c>
      <c r="B738" s="151">
        <v>33</v>
      </c>
      <c r="C738" s="151" t="s">
        <v>128</v>
      </c>
      <c r="D738" s="245" t="s">
        <v>648</v>
      </c>
      <c r="E738" s="151" t="s">
        <v>169</v>
      </c>
      <c r="F738" s="151" t="s">
        <v>649</v>
      </c>
      <c r="G738" s="151" t="s">
        <v>37</v>
      </c>
      <c r="H738" s="151" t="s">
        <v>37</v>
      </c>
      <c r="I738" s="256">
        <v>36</v>
      </c>
      <c r="J738" s="151" t="s">
        <v>82</v>
      </c>
      <c r="K738" s="176" t="s">
        <v>1090</v>
      </c>
      <c r="L738" s="245">
        <v>30341175</v>
      </c>
      <c r="M738" s="855" t="s">
        <v>1609</v>
      </c>
      <c r="N738" s="245" t="s">
        <v>1091</v>
      </c>
      <c r="O738" s="245" t="s">
        <v>1092</v>
      </c>
      <c r="P738" s="245"/>
      <c r="Q738" s="176" t="s">
        <v>1093</v>
      </c>
      <c r="R738" s="273"/>
      <c r="S738" s="274"/>
      <c r="T738" s="327">
        <v>622551000</v>
      </c>
      <c r="U738" s="327"/>
      <c r="V738" s="327">
        <v>600000000</v>
      </c>
      <c r="W738" s="273"/>
      <c r="X738" s="274"/>
      <c r="Y738" s="275">
        <v>600000000</v>
      </c>
      <c r="Z738" s="275">
        <v>256299083</v>
      </c>
      <c r="AA738" s="296"/>
      <c r="AB738" s="297">
        <v>341901000</v>
      </c>
      <c r="AC738" s="297">
        <f t="shared" si="271"/>
        <v>40000000</v>
      </c>
      <c r="AD738" s="297">
        <f>+AB738-AC738</f>
        <v>301901000</v>
      </c>
      <c r="AE738" s="297">
        <v>0</v>
      </c>
      <c r="AF738" s="297">
        <v>0</v>
      </c>
      <c r="AG738" s="297">
        <v>0</v>
      </c>
      <c r="AH738" s="297">
        <v>0</v>
      </c>
      <c r="AI738" s="297">
        <v>0</v>
      </c>
      <c r="AJ738" s="297">
        <v>0</v>
      </c>
      <c r="AK738" s="297">
        <v>0</v>
      </c>
      <c r="AL738" s="297">
        <v>0</v>
      </c>
      <c r="AM738" s="297">
        <v>0</v>
      </c>
      <c r="AN738" s="297">
        <v>40000000</v>
      </c>
      <c r="AO738" s="297">
        <v>0</v>
      </c>
      <c r="AP738" s="297">
        <v>0</v>
      </c>
      <c r="AQ738" s="296"/>
      <c r="AR738" s="297">
        <f t="shared" ref="AR738:AR769" si="286">+Y738-Z738-AC738-AD738</f>
        <v>1799917</v>
      </c>
      <c r="AS738" s="313" t="s">
        <v>185</v>
      </c>
      <c r="AT738" s="313" t="s">
        <v>1475</v>
      </c>
      <c r="AU738" s="176" t="s">
        <v>138</v>
      </c>
      <c r="AW738" s="218" t="s">
        <v>1635</v>
      </c>
      <c r="AX738" s="218" t="s">
        <v>1638</v>
      </c>
    </row>
    <row r="739" spans="1:50" s="222" customFormat="1" ht="15.75" customHeight="1" outlineLevel="2">
      <c r="A739" s="222" t="s">
        <v>419</v>
      </c>
      <c r="B739" s="410"/>
      <c r="C739" s="410"/>
      <c r="D739" s="410"/>
      <c r="E739" s="410"/>
      <c r="F739" s="410"/>
      <c r="G739" s="410"/>
      <c r="H739" s="410"/>
      <c r="I739" s="412"/>
      <c r="J739" s="413"/>
      <c r="L739" s="363"/>
      <c r="M739" s="363"/>
      <c r="N739" s="414" t="s">
        <v>1091</v>
      </c>
      <c r="O739" s="415"/>
      <c r="P739" s="415"/>
      <c r="Q739" s="416" t="s">
        <v>420</v>
      </c>
      <c r="R739" s="284"/>
      <c r="S739" s="284"/>
      <c r="T739" s="421">
        <v>59926000</v>
      </c>
      <c r="U739" s="421"/>
      <c r="V739" s="421">
        <v>74219000</v>
      </c>
      <c r="W739" s="422"/>
      <c r="X739" s="382"/>
      <c r="Y739" s="423">
        <v>74219000</v>
      </c>
      <c r="Z739" s="423"/>
      <c r="AA739" s="382"/>
      <c r="AB739" s="433"/>
      <c r="AC739" s="433"/>
      <c r="AD739" s="433"/>
      <c r="AE739" s="433"/>
      <c r="AF739" s="433"/>
      <c r="AG739" s="433"/>
      <c r="AM739" s="436"/>
      <c r="AN739" s="433"/>
      <c r="AO739" s="363"/>
      <c r="AP739" s="433"/>
      <c r="AR739" s="433">
        <f t="shared" si="286"/>
        <v>74219000</v>
      </c>
    </row>
    <row r="740" spans="1:50" s="222" customFormat="1" ht="15.95" customHeight="1" outlineLevel="2">
      <c r="A740" s="222" t="s">
        <v>419</v>
      </c>
      <c r="B740" s="350"/>
      <c r="C740" s="350"/>
      <c r="D740" s="350"/>
      <c r="E740" s="350"/>
      <c r="F740" s="350"/>
      <c r="G740" s="350"/>
      <c r="H740" s="350"/>
      <c r="I740" s="361"/>
      <c r="J740" s="362"/>
      <c r="L740" s="363"/>
      <c r="M740" s="363"/>
      <c r="N740" s="414" t="s">
        <v>1091</v>
      </c>
      <c r="O740" s="250"/>
      <c r="P740" s="250"/>
      <c r="Q740" s="417" t="s">
        <v>1094</v>
      </c>
      <c r="R740" s="284"/>
      <c r="S740" s="284"/>
      <c r="T740" s="424">
        <v>537030000</v>
      </c>
      <c r="U740" s="424"/>
      <c r="V740" s="424">
        <v>494461000</v>
      </c>
      <c r="W740" s="425"/>
      <c r="X740" s="382"/>
      <c r="Y740" s="426">
        <v>494461000</v>
      </c>
      <c r="Z740" s="426"/>
      <c r="AA740" s="382"/>
      <c r="AB740" s="435"/>
      <c r="AC740" s="435"/>
      <c r="AD740" s="435"/>
      <c r="AE740" s="435"/>
      <c r="AF740" s="435"/>
      <c r="AG740" s="435"/>
      <c r="AM740" s="437"/>
      <c r="AN740" s="435"/>
      <c r="AO740" s="363"/>
      <c r="AP740" s="435"/>
      <c r="AR740" s="435">
        <f t="shared" si="286"/>
        <v>494461000</v>
      </c>
    </row>
    <row r="741" spans="1:50" s="222" customFormat="1" ht="15.95" customHeight="1" outlineLevel="2">
      <c r="A741" s="222" t="s">
        <v>419</v>
      </c>
      <c r="B741" s="350"/>
      <c r="C741" s="350"/>
      <c r="D741" s="350"/>
      <c r="E741" s="350"/>
      <c r="F741" s="350"/>
      <c r="G741" s="350"/>
      <c r="H741" s="350"/>
      <c r="I741" s="361"/>
      <c r="J741" s="362"/>
      <c r="L741" s="363"/>
      <c r="M741" s="363"/>
      <c r="N741" s="414" t="s">
        <v>1091</v>
      </c>
      <c r="O741" s="250"/>
      <c r="P741" s="250"/>
      <c r="Q741" s="417" t="s">
        <v>423</v>
      </c>
      <c r="R741" s="284"/>
      <c r="S741" s="284"/>
      <c r="T741" s="424">
        <v>25595000</v>
      </c>
      <c r="U741" s="424"/>
      <c r="V741" s="424">
        <v>31320000</v>
      </c>
      <c r="W741" s="425"/>
      <c r="X741" s="382"/>
      <c r="Y741" s="426">
        <v>31320000</v>
      </c>
      <c r="Z741" s="426"/>
      <c r="AA741" s="382"/>
      <c r="AB741" s="435"/>
      <c r="AC741" s="435"/>
      <c r="AD741" s="435"/>
      <c r="AE741" s="435"/>
      <c r="AF741" s="435"/>
      <c r="AG741" s="435"/>
      <c r="AM741" s="437"/>
      <c r="AN741" s="435"/>
      <c r="AO741" s="363"/>
      <c r="AP741" s="435"/>
      <c r="AR741" s="435">
        <f t="shared" si="286"/>
        <v>31320000</v>
      </c>
    </row>
    <row r="742" spans="1:50" s="222" customFormat="1" ht="15.95" customHeight="1" outlineLevel="2">
      <c r="A742" s="222" t="s">
        <v>419</v>
      </c>
      <c r="B742" s="350"/>
      <c r="C742" s="350"/>
      <c r="D742" s="350"/>
      <c r="E742" s="350"/>
      <c r="F742" s="350"/>
      <c r="G742" s="350"/>
      <c r="H742" s="350"/>
      <c r="I742" s="361"/>
      <c r="J742" s="362"/>
      <c r="K742" s="418"/>
      <c r="L742" s="363"/>
      <c r="M742" s="363"/>
      <c r="N742" s="419"/>
      <c r="O742" s="419"/>
      <c r="P742" s="419"/>
      <c r="Q742" s="420"/>
      <c r="R742" s="427"/>
      <c r="S742" s="284"/>
      <c r="T742" s="427"/>
      <c r="U742" s="427"/>
      <c r="V742" s="427"/>
      <c r="W742" s="428"/>
      <c r="X742" s="382"/>
      <c r="Y742" s="429"/>
      <c r="Z742" s="429"/>
      <c r="AA742" s="382"/>
      <c r="AB742" s="429"/>
      <c r="AC742" s="429"/>
      <c r="AD742" s="429"/>
      <c r="AE742" s="429"/>
      <c r="AF742" s="429"/>
      <c r="AG742" s="429"/>
      <c r="AM742" s="438"/>
      <c r="AN742" s="429"/>
      <c r="AO742" s="363"/>
      <c r="AP742" s="429"/>
      <c r="AR742" s="429">
        <f t="shared" si="286"/>
        <v>0</v>
      </c>
    </row>
    <row r="743" spans="1:50" s="218" customFormat="1" ht="25.5" customHeight="1" outlineLevel="2">
      <c r="A743" s="215" t="s">
        <v>125</v>
      </c>
      <c r="B743" s="151">
        <v>33</v>
      </c>
      <c r="C743" s="151" t="s">
        <v>128</v>
      </c>
      <c r="D743" s="245" t="s">
        <v>648</v>
      </c>
      <c r="E743" s="151" t="s">
        <v>169</v>
      </c>
      <c r="F743" s="151" t="s">
        <v>649</v>
      </c>
      <c r="G743" s="151" t="s">
        <v>37</v>
      </c>
      <c r="H743" s="151" t="s">
        <v>37</v>
      </c>
      <c r="I743" s="256">
        <v>36</v>
      </c>
      <c r="J743" s="151" t="s">
        <v>82</v>
      </c>
      <c r="K743" s="176" t="s">
        <v>1095</v>
      </c>
      <c r="L743" s="245">
        <v>30341275</v>
      </c>
      <c r="M743" s="855" t="s">
        <v>1609</v>
      </c>
      <c r="N743" s="245" t="s">
        <v>1091</v>
      </c>
      <c r="O743" s="245" t="s">
        <v>1096</v>
      </c>
      <c r="P743" s="245"/>
      <c r="Q743" s="176" t="s">
        <v>1097</v>
      </c>
      <c r="R743" s="273"/>
      <c r="S743" s="274"/>
      <c r="T743" s="327">
        <v>198944000</v>
      </c>
      <c r="U743" s="327"/>
      <c r="V743" s="327">
        <v>203000000</v>
      </c>
      <c r="W743" s="273"/>
      <c r="X743" s="274"/>
      <c r="Y743" s="275">
        <v>203000000</v>
      </c>
      <c r="Z743" s="275">
        <v>184613176</v>
      </c>
      <c r="AA743" s="296"/>
      <c r="AB743" s="297">
        <f>2101000+1137000+418</f>
        <v>3238418</v>
      </c>
      <c r="AC743" s="297">
        <f t="shared" si="271"/>
        <v>0</v>
      </c>
      <c r="AD743" s="297">
        <f>+AB743-AC743</f>
        <v>3238418</v>
      </c>
      <c r="AE743" s="297">
        <v>0</v>
      </c>
      <c r="AF743" s="297">
        <v>0</v>
      </c>
      <c r="AG743" s="297">
        <v>0</v>
      </c>
      <c r="AH743" s="297">
        <v>0</v>
      </c>
      <c r="AI743" s="297">
        <v>0</v>
      </c>
      <c r="AJ743" s="297">
        <v>0</v>
      </c>
      <c r="AK743" s="297">
        <v>0</v>
      </c>
      <c r="AL743" s="297">
        <v>0</v>
      </c>
      <c r="AM743" s="297">
        <v>0</v>
      </c>
      <c r="AN743" s="297">
        <v>0</v>
      </c>
      <c r="AO743" s="297">
        <v>0</v>
      </c>
      <c r="AP743" s="297">
        <v>0</v>
      </c>
      <c r="AQ743" s="296"/>
      <c r="AR743" s="297">
        <f t="shared" si="286"/>
        <v>15148406</v>
      </c>
      <c r="AS743" s="313" t="s">
        <v>185</v>
      </c>
      <c r="AT743" s="313" t="s">
        <v>1475</v>
      </c>
      <c r="AU743" s="176" t="s">
        <v>138</v>
      </c>
      <c r="AX743" s="218" t="s">
        <v>1638</v>
      </c>
    </row>
    <row r="744" spans="1:50" s="222" customFormat="1" ht="15.95" customHeight="1" outlineLevel="2">
      <c r="A744" s="222" t="s">
        <v>419</v>
      </c>
      <c r="B744" s="350"/>
      <c r="C744" s="350"/>
      <c r="D744" s="350"/>
      <c r="E744" s="350"/>
      <c r="F744" s="350"/>
      <c r="G744" s="350"/>
      <c r="H744" s="350"/>
      <c r="I744" s="361"/>
      <c r="J744" s="362"/>
      <c r="L744" s="363"/>
      <c r="M744" s="363"/>
      <c r="N744" s="414" t="s">
        <v>1091</v>
      </c>
      <c r="O744" s="250"/>
      <c r="P744" s="250"/>
      <c r="Q744" s="417" t="s">
        <v>420</v>
      </c>
      <c r="R744" s="284"/>
      <c r="S744" s="284"/>
      <c r="T744" s="424"/>
      <c r="U744" s="424"/>
      <c r="V744" s="424">
        <v>16000000</v>
      </c>
      <c r="W744" s="430"/>
      <c r="X744" s="431"/>
      <c r="Y744" s="426">
        <v>16000000</v>
      </c>
      <c r="Z744" s="426"/>
      <c r="AA744" s="382"/>
      <c r="AB744" s="435"/>
      <c r="AC744" s="435"/>
      <c r="AD744" s="435"/>
      <c r="AE744" s="435"/>
      <c r="AF744" s="435"/>
      <c r="AG744" s="435"/>
      <c r="AM744" s="437"/>
      <c r="AN744" s="435"/>
      <c r="AO744" s="363"/>
      <c r="AP744" s="435"/>
      <c r="AR744" s="435">
        <f t="shared" si="286"/>
        <v>16000000</v>
      </c>
    </row>
    <row r="745" spans="1:50" s="222" customFormat="1" ht="15.95" customHeight="1" outlineLevel="2">
      <c r="A745" s="222" t="s">
        <v>419</v>
      </c>
      <c r="B745" s="350"/>
      <c r="C745" s="350"/>
      <c r="D745" s="350"/>
      <c r="E745" s="350"/>
      <c r="F745" s="350"/>
      <c r="G745" s="350"/>
      <c r="H745" s="350"/>
      <c r="I745" s="361"/>
      <c r="J745" s="362"/>
      <c r="L745" s="363"/>
      <c r="M745" s="363"/>
      <c r="N745" s="414" t="s">
        <v>1091</v>
      </c>
      <c r="O745" s="250"/>
      <c r="P745" s="250"/>
      <c r="Q745" s="417" t="s">
        <v>1094</v>
      </c>
      <c r="R745" s="284"/>
      <c r="S745" s="284"/>
      <c r="T745" s="424">
        <v>195389000</v>
      </c>
      <c r="U745" s="424"/>
      <c r="V745" s="424">
        <v>180000000</v>
      </c>
      <c r="W745" s="430"/>
      <c r="X745" s="431"/>
      <c r="Y745" s="426">
        <v>180000000</v>
      </c>
      <c r="Z745" s="426"/>
      <c r="AA745" s="382"/>
      <c r="AB745" s="435"/>
      <c r="AC745" s="435"/>
      <c r="AD745" s="435"/>
      <c r="AE745" s="435"/>
      <c r="AF745" s="435"/>
      <c r="AG745" s="435"/>
      <c r="AM745" s="437"/>
      <c r="AN745" s="435"/>
      <c r="AO745" s="363"/>
      <c r="AP745" s="435"/>
      <c r="AR745" s="435">
        <f t="shared" si="286"/>
        <v>180000000</v>
      </c>
    </row>
    <row r="746" spans="1:50" s="222" customFormat="1" ht="15.95" customHeight="1" outlineLevel="2">
      <c r="A746" s="222" t="s">
        <v>419</v>
      </c>
      <c r="B746" s="350"/>
      <c r="C746" s="350"/>
      <c r="D746" s="350"/>
      <c r="E746" s="350"/>
      <c r="F746" s="350"/>
      <c r="G746" s="350"/>
      <c r="H746" s="350"/>
      <c r="I746" s="361"/>
      <c r="J746" s="362"/>
      <c r="L746" s="363"/>
      <c r="M746" s="363"/>
      <c r="N746" s="414" t="s">
        <v>1091</v>
      </c>
      <c r="O746" s="250"/>
      <c r="P746" s="250"/>
      <c r="Q746" s="417" t="s">
        <v>423</v>
      </c>
      <c r="R746" s="284"/>
      <c r="S746" s="284"/>
      <c r="T746" s="424">
        <v>3555000</v>
      </c>
      <c r="U746" s="424"/>
      <c r="V746" s="424">
        <v>7000000</v>
      </c>
      <c r="W746" s="430"/>
      <c r="X746" s="431"/>
      <c r="Y746" s="426">
        <v>7000000</v>
      </c>
      <c r="Z746" s="426"/>
      <c r="AA746" s="382"/>
      <c r="AB746" s="435"/>
      <c r="AC746" s="435"/>
      <c r="AD746" s="435"/>
      <c r="AE746" s="435"/>
      <c r="AF746" s="435"/>
      <c r="AG746" s="435"/>
      <c r="AM746" s="437"/>
      <c r="AN746" s="435"/>
      <c r="AO746" s="363"/>
      <c r="AP746" s="435"/>
      <c r="AR746" s="435">
        <f t="shared" si="286"/>
        <v>7000000</v>
      </c>
    </row>
    <row r="747" spans="1:50" s="222" customFormat="1" ht="15.95" customHeight="1" outlineLevel="2">
      <c r="A747" s="222" t="s">
        <v>419</v>
      </c>
      <c r="B747" s="350"/>
      <c r="C747" s="350"/>
      <c r="D747" s="350"/>
      <c r="E747" s="350"/>
      <c r="F747" s="350"/>
      <c r="G747" s="350"/>
      <c r="H747" s="350"/>
      <c r="I747" s="361"/>
      <c r="J747" s="362"/>
      <c r="K747" s="361"/>
      <c r="L747" s="363"/>
      <c r="M747" s="363"/>
      <c r="N747" s="419"/>
      <c r="O747" s="419"/>
      <c r="P747" s="419"/>
      <c r="Q747" s="420"/>
      <c r="R747" s="427"/>
      <c r="S747" s="284"/>
      <c r="T747" s="427"/>
      <c r="U747" s="427"/>
      <c r="V747" s="427"/>
      <c r="W747" s="428"/>
      <c r="X747" s="382"/>
      <c r="Y747" s="429"/>
      <c r="Z747" s="429"/>
      <c r="AA747" s="382"/>
      <c r="AB747" s="429"/>
      <c r="AC747" s="429"/>
      <c r="AD747" s="429"/>
      <c r="AE747" s="429"/>
      <c r="AF747" s="429"/>
      <c r="AG747" s="429"/>
      <c r="AM747" s="438"/>
      <c r="AN747" s="429"/>
      <c r="AO747" s="363"/>
      <c r="AP747" s="429"/>
      <c r="AR747" s="429">
        <f t="shared" si="286"/>
        <v>0</v>
      </c>
    </row>
    <row r="748" spans="1:50" s="218" customFormat="1" ht="25.5" customHeight="1" outlineLevel="2">
      <c r="A748" s="215" t="s">
        <v>125</v>
      </c>
      <c r="B748" s="151">
        <v>33</v>
      </c>
      <c r="C748" s="151" t="s">
        <v>128</v>
      </c>
      <c r="D748" s="245" t="s">
        <v>149</v>
      </c>
      <c r="E748" s="151" t="s">
        <v>169</v>
      </c>
      <c r="F748" s="151" t="s">
        <v>649</v>
      </c>
      <c r="G748" s="151" t="s">
        <v>37</v>
      </c>
      <c r="H748" s="151" t="s">
        <v>37</v>
      </c>
      <c r="I748" s="256">
        <v>36</v>
      </c>
      <c r="J748" s="151" t="s">
        <v>82</v>
      </c>
      <c r="K748" s="176" t="s">
        <v>1095</v>
      </c>
      <c r="L748" s="245">
        <v>30341329</v>
      </c>
      <c r="M748" s="855" t="s">
        <v>1609</v>
      </c>
      <c r="N748" s="245" t="s">
        <v>1091</v>
      </c>
      <c r="O748" s="245" t="s">
        <v>1098</v>
      </c>
      <c r="P748" s="245"/>
      <c r="Q748" s="176" t="s">
        <v>1099</v>
      </c>
      <c r="R748" s="273"/>
      <c r="S748" s="274"/>
      <c r="T748" s="327">
        <v>304340000</v>
      </c>
      <c r="U748" s="327"/>
      <c r="V748" s="327">
        <v>309000000</v>
      </c>
      <c r="W748" s="273"/>
      <c r="X748" s="274"/>
      <c r="Y748" s="275">
        <v>309000000</v>
      </c>
      <c r="Z748" s="275">
        <v>267992602</v>
      </c>
      <c r="AA748" s="296"/>
      <c r="AB748" s="297">
        <v>13414000</v>
      </c>
      <c r="AC748" s="297">
        <f t="shared" si="271"/>
        <v>0</v>
      </c>
      <c r="AD748" s="297">
        <f>+AB748-AC748</f>
        <v>13414000</v>
      </c>
      <c r="AE748" s="297">
        <v>0</v>
      </c>
      <c r="AF748" s="297">
        <v>0</v>
      </c>
      <c r="AG748" s="297">
        <v>0</v>
      </c>
      <c r="AH748" s="297">
        <v>0</v>
      </c>
      <c r="AI748" s="297">
        <v>0</v>
      </c>
      <c r="AJ748" s="297">
        <v>0</v>
      </c>
      <c r="AK748" s="297">
        <v>0</v>
      </c>
      <c r="AL748" s="297">
        <v>0</v>
      </c>
      <c r="AM748" s="297">
        <v>0</v>
      </c>
      <c r="AN748" s="297">
        <v>0</v>
      </c>
      <c r="AO748" s="297">
        <v>0</v>
      </c>
      <c r="AP748" s="297">
        <v>0</v>
      </c>
      <c r="AQ748" s="296"/>
      <c r="AR748" s="297">
        <f t="shared" si="286"/>
        <v>27593398</v>
      </c>
      <c r="AS748" s="313" t="s">
        <v>185</v>
      </c>
      <c r="AT748" s="313" t="s">
        <v>1475</v>
      </c>
      <c r="AU748" s="176" t="s">
        <v>138</v>
      </c>
      <c r="AW748" s="218" t="s">
        <v>1654</v>
      </c>
    </row>
    <row r="749" spans="1:50" s="222" customFormat="1" ht="15.75" customHeight="1" outlineLevel="2">
      <c r="A749" s="222" t="s">
        <v>419</v>
      </c>
      <c r="B749" s="410"/>
      <c r="C749" s="410"/>
      <c r="D749" s="410"/>
      <c r="E749" s="410"/>
      <c r="F749" s="410"/>
      <c r="G749" s="410"/>
      <c r="H749" s="410"/>
      <c r="I749" s="412"/>
      <c r="J749" s="413"/>
      <c r="L749" s="363"/>
      <c r="M749" s="363"/>
      <c r="N749" s="414" t="s">
        <v>1091</v>
      </c>
      <c r="O749" s="415"/>
      <c r="P749" s="415"/>
      <c r="Q749" s="416" t="s">
        <v>420</v>
      </c>
      <c r="R749" s="284"/>
      <c r="S749" s="284"/>
      <c r="T749" s="421">
        <v>14643000</v>
      </c>
      <c r="U749" s="421"/>
      <c r="V749" s="432"/>
      <c r="W749" s="422"/>
      <c r="X749" s="382"/>
      <c r="Y749" s="433"/>
      <c r="Z749" s="433"/>
      <c r="AA749" s="382"/>
      <c r="AB749" s="433"/>
      <c r="AC749" s="433">
        <f t="shared" si="271"/>
        <v>0</v>
      </c>
      <c r="AD749" s="433"/>
      <c r="AE749" s="433"/>
      <c r="AF749" s="433"/>
      <c r="AG749" s="433"/>
      <c r="AM749" s="436"/>
      <c r="AN749" s="433"/>
      <c r="AO749" s="363"/>
      <c r="AP749" s="433"/>
      <c r="AR749" s="433">
        <f t="shared" si="286"/>
        <v>0</v>
      </c>
    </row>
    <row r="750" spans="1:50" s="222" customFormat="1" ht="15.95" customHeight="1" outlineLevel="2">
      <c r="A750" s="222" t="s">
        <v>419</v>
      </c>
      <c r="B750" s="350"/>
      <c r="C750" s="350"/>
      <c r="D750" s="350"/>
      <c r="E750" s="350"/>
      <c r="F750" s="350"/>
      <c r="G750" s="350"/>
      <c r="H750" s="350"/>
      <c r="I750" s="361"/>
      <c r="J750" s="362"/>
      <c r="L750" s="363"/>
      <c r="M750" s="363"/>
      <c r="N750" s="414" t="s">
        <v>1091</v>
      </c>
      <c r="O750" s="250"/>
      <c r="P750" s="250"/>
      <c r="Q750" s="417" t="s">
        <v>1094</v>
      </c>
      <c r="R750" s="284"/>
      <c r="S750" s="284"/>
      <c r="T750" s="424">
        <v>281656000</v>
      </c>
      <c r="U750" s="424"/>
      <c r="V750" s="434"/>
      <c r="W750" s="425"/>
      <c r="X750" s="382"/>
      <c r="Y750" s="435"/>
      <c r="Z750" s="435"/>
      <c r="AA750" s="382"/>
      <c r="AB750" s="435"/>
      <c r="AC750" s="435">
        <f t="shared" si="271"/>
        <v>0</v>
      </c>
      <c r="AD750" s="435"/>
      <c r="AE750" s="435"/>
      <c r="AF750" s="435"/>
      <c r="AG750" s="435"/>
      <c r="AM750" s="437"/>
      <c r="AN750" s="435"/>
      <c r="AO750" s="363"/>
      <c r="AP750" s="435"/>
      <c r="AR750" s="435">
        <f t="shared" si="286"/>
        <v>0</v>
      </c>
    </row>
    <row r="751" spans="1:50" s="222" customFormat="1" ht="15.95" customHeight="1" outlineLevel="2">
      <c r="A751" s="222" t="s">
        <v>419</v>
      </c>
      <c r="B751" s="350"/>
      <c r="C751" s="350"/>
      <c r="D751" s="350"/>
      <c r="E751" s="350"/>
      <c r="F751" s="350"/>
      <c r="G751" s="350"/>
      <c r="H751" s="350"/>
      <c r="I751" s="361"/>
      <c r="J751" s="362"/>
      <c r="L751" s="363"/>
      <c r="M751" s="363"/>
      <c r="N751" s="414" t="s">
        <v>1091</v>
      </c>
      <c r="O751" s="250"/>
      <c r="P751" s="250"/>
      <c r="Q751" s="417" t="s">
        <v>423</v>
      </c>
      <c r="R751" s="284"/>
      <c r="S751" s="284"/>
      <c r="T751" s="424">
        <v>8041000</v>
      </c>
      <c r="U751" s="424"/>
      <c r="V751" s="434"/>
      <c r="W751" s="425"/>
      <c r="X751" s="382"/>
      <c r="Y751" s="435"/>
      <c r="Z751" s="435"/>
      <c r="AA751" s="382"/>
      <c r="AB751" s="435"/>
      <c r="AC751" s="435">
        <f t="shared" si="271"/>
        <v>0</v>
      </c>
      <c r="AD751" s="435"/>
      <c r="AE751" s="435"/>
      <c r="AF751" s="435"/>
      <c r="AG751" s="435"/>
      <c r="AM751" s="437"/>
      <c r="AN751" s="435"/>
      <c r="AO751" s="363"/>
      <c r="AP751" s="435"/>
      <c r="AR751" s="435">
        <f t="shared" si="286"/>
        <v>0</v>
      </c>
    </row>
    <row r="752" spans="1:50" s="222" customFormat="1" ht="15.95" customHeight="1" outlineLevel="2">
      <c r="A752" s="222" t="s">
        <v>419</v>
      </c>
      <c r="B752" s="350"/>
      <c r="C752" s="350"/>
      <c r="D752" s="350"/>
      <c r="E752" s="350"/>
      <c r="F752" s="350"/>
      <c r="G752" s="350"/>
      <c r="H752" s="350"/>
      <c r="I752" s="361"/>
      <c r="J752" s="362"/>
      <c r="K752" s="361"/>
      <c r="L752" s="363"/>
      <c r="M752" s="363"/>
      <c r="N752" s="419"/>
      <c r="O752" s="419"/>
      <c r="P752" s="419"/>
      <c r="Q752" s="420"/>
      <c r="R752" s="427"/>
      <c r="S752" s="284"/>
      <c r="T752" s="427"/>
      <c r="U752" s="427"/>
      <c r="V752" s="427"/>
      <c r="W752" s="428"/>
      <c r="X752" s="382"/>
      <c r="Y752" s="429"/>
      <c r="Z752" s="429"/>
      <c r="AA752" s="382"/>
      <c r="AB752" s="429"/>
      <c r="AC752" s="429">
        <f t="shared" si="271"/>
        <v>0</v>
      </c>
      <c r="AD752" s="429"/>
      <c r="AE752" s="429"/>
      <c r="AF752" s="429"/>
      <c r="AG752" s="429"/>
      <c r="AM752" s="438"/>
      <c r="AN752" s="429"/>
      <c r="AO752" s="363"/>
      <c r="AP752" s="429"/>
      <c r="AR752" s="429">
        <f t="shared" si="286"/>
        <v>0</v>
      </c>
    </row>
    <row r="753" spans="1:50" s="218" customFormat="1" ht="25.5" customHeight="1" outlineLevel="2">
      <c r="A753" s="215" t="s">
        <v>125</v>
      </c>
      <c r="B753" s="151">
        <v>33</v>
      </c>
      <c r="C753" s="151" t="s">
        <v>128</v>
      </c>
      <c r="D753" s="245" t="s">
        <v>648</v>
      </c>
      <c r="E753" s="151" t="s">
        <v>169</v>
      </c>
      <c r="F753" s="151" t="s">
        <v>649</v>
      </c>
      <c r="G753" s="151" t="s">
        <v>37</v>
      </c>
      <c r="H753" s="151" t="s">
        <v>37</v>
      </c>
      <c r="I753" s="256">
        <v>36</v>
      </c>
      <c r="J753" s="151" t="s">
        <v>82</v>
      </c>
      <c r="K753" s="176" t="s">
        <v>1090</v>
      </c>
      <c r="L753" s="245">
        <v>30419826</v>
      </c>
      <c r="M753" s="855" t="s">
        <v>1609</v>
      </c>
      <c r="N753" s="245" t="s">
        <v>1091</v>
      </c>
      <c r="O753" s="245" t="s">
        <v>1100</v>
      </c>
      <c r="P753" s="245"/>
      <c r="Q753" s="176" t="s">
        <v>1101</v>
      </c>
      <c r="R753" s="273"/>
      <c r="S753" s="274"/>
      <c r="T753" s="327">
        <v>395740000</v>
      </c>
      <c r="U753" s="327"/>
      <c r="V753" s="327">
        <v>315000000</v>
      </c>
      <c r="W753" s="273"/>
      <c r="X753" s="274"/>
      <c r="Y753" s="275">
        <v>315000000</v>
      </c>
      <c r="Z753" s="275">
        <v>220695807</v>
      </c>
      <c r="AA753" s="296"/>
      <c r="AB753" s="297">
        <v>91905000</v>
      </c>
      <c r="AC753" s="297">
        <f t="shared" si="271"/>
        <v>80672000</v>
      </c>
      <c r="AD753" s="297">
        <f>+AB753-AC753</f>
        <v>11233000</v>
      </c>
      <c r="AE753" s="297">
        <v>0</v>
      </c>
      <c r="AF753" s="297">
        <v>0</v>
      </c>
      <c r="AG753" s="297">
        <v>0</v>
      </c>
      <c r="AH753" s="297">
        <v>0</v>
      </c>
      <c r="AI753" s="297">
        <v>0</v>
      </c>
      <c r="AJ753" s="297">
        <v>0</v>
      </c>
      <c r="AK753" s="297">
        <v>0</v>
      </c>
      <c r="AL753" s="297">
        <v>0</v>
      </c>
      <c r="AM753" s="297">
        <v>0</v>
      </c>
      <c r="AN753" s="297">
        <v>80672000</v>
      </c>
      <c r="AO753" s="297">
        <v>0</v>
      </c>
      <c r="AP753" s="297">
        <v>0</v>
      </c>
      <c r="AQ753" s="296"/>
      <c r="AR753" s="297">
        <f t="shared" si="286"/>
        <v>2399193</v>
      </c>
      <c r="AS753" s="313" t="s">
        <v>185</v>
      </c>
      <c r="AT753" s="313" t="s">
        <v>1475</v>
      </c>
      <c r="AU753" s="176" t="s">
        <v>138</v>
      </c>
      <c r="AW753" s="218" t="s">
        <v>1635</v>
      </c>
      <c r="AX753" s="218" t="s">
        <v>1638</v>
      </c>
    </row>
    <row r="754" spans="1:50" s="222" customFormat="1" ht="15.95" customHeight="1" outlineLevel="2">
      <c r="A754" s="222" t="s">
        <v>419</v>
      </c>
      <c r="B754" s="350"/>
      <c r="C754" s="350"/>
      <c r="D754" s="350"/>
      <c r="E754" s="350"/>
      <c r="F754" s="350"/>
      <c r="G754" s="350"/>
      <c r="H754" s="350"/>
      <c r="I754" s="361"/>
      <c r="J754" s="362"/>
      <c r="L754" s="363"/>
      <c r="M754" s="363"/>
      <c r="N754" s="414" t="s">
        <v>1091</v>
      </c>
      <c r="O754" s="250"/>
      <c r="P754" s="250"/>
      <c r="Q754" s="417" t="s">
        <v>1094</v>
      </c>
      <c r="R754" s="284"/>
      <c r="S754" s="284"/>
      <c r="T754" s="424">
        <v>387036000</v>
      </c>
      <c r="U754" s="424"/>
      <c r="V754" s="424">
        <v>300000000</v>
      </c>
      <c r="W754" s="425"/>
      <c r="X754" s="382"/>
      <c r="Y754" s="426">
        <v>300000000</v>
      </c>
      <c r="Z754" s="426"/>
      <c r="AA754" s="382"/>
      <c r="AB754" s="435"/>
      <c r="AC754" s="435">
        <f t="shared" si="271"/>
        <v>0</v>
      </c>
      <c r="AD754" s="435"/>
      <c r="AE754" s="435"/>
      <c r="AF754" s="435"/>
      <c r="AG754" s="435"/>
      <c r="AM754" s="437"/>
      <c r="AN754" s="435"/>
      <c r="AO754" s="363"/>
      <c r="AP754" s="435"/>
      <c r="AR754" s="435">
        <f t="shared" si="286"/>
        <v>300000000</v>
      </c>
    </row>
    <row r="755" spans="1:50" s="222" customFormat="1" ht="15.95" customHeight="1" outlineLevel="2">
      <c r="A755" s="222" t="s">
        <v>419</v>
      </c>
      <c r="B755" s="350"/>
      <c r="C755" s="350"/>
      <c r="D755" s="350"/>
      <c r="E755" s="350"/>
      <c r="F755" s="350"/>
      <c r="G755" s="350"/>
      <c r="H755" s="350"/>
      <c r="I755" s="361"/>
      <c r="J755" s="362"/>
      <c r="L755" s="363"/>
      <c r="M755" s="363"/>
      <c r="N755" s="414" t="s">
        <v>1091</v>
      </c>
      <c r="O755" s="250"/>
      <c r="P755" s="250"/>
      <c r="Q755" s="417" t="s">
        <v>423</v>
      </c>
      <c r="R755" s="284"/>
      <c r="S755" s="284"/>
      <c r="T755" s="424">
        <v>8704000</v>
      </c>
      <c r="U755" s="424"/>
      <c r="V755" s="424">
        <v>15000000</v>
      </c>
      <c r="W755" s="425"/>
      <c r="X755" s="382"/>
      <c r="Y755" s="426">
        <v>15000000</v>
      </c>
      <c r="Z755" s="426"/>
      <c r="AA755" s="382"/>
      <c r="AB755" s="435"/>
      <c r="AC755" s="435">
        <f t="shared" si="271"/>
        <v>0</v>
      </c>
      <c r="AD755" s="435"/>
      <c r="AE755" s="435"/>
      <c r="AF755" s="435"/>
      <c r="AG755" s="435"/>
      <c r="AM755" s="437"/>
      <c r="AN755" s="435"/>
      <c r="AO755" s="363"/>
      <c r="AP755" s="435"/>
      <c r="AR755" s="435">
        <f t="shared" si="286"/>
        <v>15000000</v>
      </c>
    </row>
    <row r="756" spans="1:50" s="222" customFormat="1" ht="15.95" customHeight="1" outlineLevel="2">
      <c r="A756" s="222" t="s">
        <v>419</v>
      </c>
      <c r="B756" s="350"/>
      <c r="C756" s="350"/>
      <c r="D756" s="350"/>
      <c r="E756" s="350"/>
      <c r="F756" s="350"/>
      <c r="G756" s="350"/>
      <c r="H756" s="350"/>
      <c r="I756" s="361"/>
      <c r="J756" s="362"/>
      <c r="K756" s="361"/>
      <c r="L756" s="363"/>
      <c r="M756" s="363"/>
      <c r="N756" s="419"/>
      <c r="O756" s="419"/>
      <c r="P756" s="419"/>
      <c r="Q756" s="420"/>
      <c r="R756" s="427"/>
      <c r="S756" s="284"/>
      <c r="T756" s="427"/>
      <c r="U756" s="427"/>
      <c r="V756" s="427"/>
      <c r="W756" s="428"/>
      <c r="X756" s="382"/>
      <c r="Y756" s="429"/>
      <c r="Z756" s="429"/>
      <c r="AA756" s="382"/>
      <c r="AB756" s="429"/>
      <c r="AC756" s="429">
        <f t="shared" si="271"/>
        <v>0</v>
      </c>
      <c r="AD756" s="429"/>
      <c r="AE756" s="429"/>
      <c r="AF756" s="429"/>
      <c r="AG756" s="429"/>
      <c r="AM756" s="438"/>
      <c r="AN756" s="429"/>
      <c r="AO756" s="363"/>
      <c r="AP756" s="429"/>
      <c r="AR756" s="429">
        <f t="shared" si="286"/>
        <v>0</v>
      </c>
    </row>
    <row r="757" spans="1:50" s="218" customFormat="1" ht="25.5" customHeight="1" outlineLevel="2">
      <c r="A757" s="215" t="s">
        <v>125</v>
      </c>
      <c r="B757" s="151">
        <v>33</v>
      </c>
      <c r="C757" s="151" t="s">
        <v>128</v>
      </c>
      <c r="D757" s="245" t="s">
        <v>648</v>
      </c>
      <c r="E757" s="151" t="s">
        <v>169</v>
      </c>
      <c r="F757" s="151" t="s">
        <v>649</v>
      </c>
      <c r="G757" s="151" t="s">
        <v>37</v>
      </c>
      <c r="H757" s="151" t="s">
        <v>37</v>
      </c>
      <c r="I757" s="256">
        <v>36</v>
      </c>
      <c r="J757" s="151" t="s">
        <v>82</v>
      </c>
      <c r="K757" s="176" t="s">
        <v>1102</v>
      </c>
      <c r="L757" s="245">
        <v>30341424</v>
      </c>
      <c r="M757" s="855" t="s">
        <v>1609</v>
      </c>
      <c r="N757" s="245" t="s">
        <v>1091</v>
      </c>
      <c r="O757" s="245" t="s">
        <v>1103</v>
      </c>
      <c r="P757" s="245"/>
      <c r="Q757" s="176" t="s">
        <v>1104</v>
      </c>
      <c r="R757" s="273"/>
      <c r="S757" s="274"/>
      <c r="T757" s="327">
        <v>236501000</v>
      </c>
      <c r="U757" s="327"/>
      <c r="V757" s="327">
        <v>169500000</v>
      </c>
      <c r="W757" s="273"/>
      <c r="X757" s="274"/>
      <c r="Y757" s="275">
        <v>169500000</v>
      </c>
      <c r="Z757" s="275">
        <v>123996879</v>
      </c>
      <c r="AA757" s="296"/>
      <c r="AB757" s="297">
        <v>30000000</v>
      </c>
      <c r="AC757" s="297">
        <f t="shared" si="271"/>
        <v>751000</v>
      </c>
      <c r="AD757" s="297">
        <f>+AB757-AC757</f>
        <v>29249000</v>
      </c>
      <c r="AE757" s="297">
        <v>0</v>
      </c>
      <c r="AF757" s="297">
        <v>0</v>
      </c>
      <c r="AG757" s="297">
        <v>0</v>
      </c>
      <c r="AH757" s="297">
        <v>0</v>
      </c>
      <c r="AI757" s="297">
        <v>0</v>
      </c>
      <c r="AJ757" s="297">
        <v>751000</v>
      </c>
      <c r="AK757" s="297">
        <v>0</v>
      </c>
      <c r="AL757" s="297">
        <v>0</v>
      </c>
      <c r="AM757" s="297">
        <v>0</v>
      </c>
      <c r="AN757" s="297">
        <v>0</v>
      </c>
      <c r="AO757" s="297">
        <v>0</v>
      </c>
      <c r="AP757" s="297">
        <v>0</v>
      </c>
      <c r="AQ757" s="296"/>
      <c r="AR757" s="297">
        <f t="shared" si="286"/>
        <v>15503121</v>
      </c>
      <c r="AS757" s="313" t="s">
        <v>185</v>
      </c>
      <c r="AT757" s="313" t="s">
        <v>1475</v>
      </c>
      <c r="AU757" s="176" t="s">
        <v>138</v>
      </c>
      <c r="AW757" s="218" t="s">
        <v>1653</v>
      </c>
      <c r="AX757" s="218" t="s">
        <v>1638</v>
      </c>
    </row>
    <row r="758" spans="1:50" s="222" customFormat="1" ht="15.95" customHeight="1" outlineLevel="2">
      <c r="A758" s="222" t="s">
        <v>419</v>
      </c>
      <c r="B758" s="350"/>
      <c r="C758" s="350"/>
      <c r="D758" s="350"/>
      <c r="E758" s="350"/>
      <c r="F758" s="350"/>
      <c r="G758" s="350"/>
      <c r="H758" s="350"/>
      <c r="I758" s="361"/>
      <c r="J758" s="362"/>
      <c r="L758" s="363"/>
      <c r="M758" s="363"/>
      <c r="N758" s="414" t="s">
        <v>1091</v>
      </c>
      <c r="O758" s="250"/>
      <c r="P758" s="250"/>
      <c r="Q758" s="417" t="s">
        <v>1094</v>
      </c>
      <c r="R758" s="284"/>
      <c r="S758" s="284"/>
      <c r="T758" s="424">
        <v>232578000</v>
      </c>
      <c r="U758" s="424"/>
      <c r="V758" s="434"/>
      <c r="W758" s="425"/>
      <c r="X758" s="382"/>
      <c r="Y758" s="435"/>
      <c r="Z758" s="435"/>
      <c r="AA758" s="382"/>
      <c r="AB758" s="435"/>
      <c r="AC758" s="435">
        <f t="shared" si="271"/>
        <v>0</v>
      </c>
      <c r="AD758" s="435"/>
      <c r="AE758" s="435"/>
      <c r="AF758" s="435"/>
      <c r="AG758" s="435"/>
      <c r="AM758" s="437"/>
      <c r="AN758" s="435"/>
      <c r="AO758" s="363"/>
      <c r="AP758" s="435"/>
      <c r="AR758" s="435">
        <f t="shared" si="286"/>
        <v>0</v>
      </c>
    </row>
    <row r="759" spans="1:50" s="222" customFormat="1" ht="15.95" customHeight="1" outlineLevel="2">
      <c r="A759" s="222" t="s">
        <v>419</v>
      </c>
      <c r="B759" s="350"/>
      <c r="C759" s="350"/>
      <c r="D759" s="350"/>
      <c r="E759" s="350"/>
      <c r="F759" s="350"/>
      <c r="G759" s="350"/>
      <c r="H759" s="350"/>
      <c r="I759" s="361"/>
      <c r="J759" s="362"/>
      <c r="L759" s="363"/>
      <c r="M759" s="363"/>
      <c r="N759" s="414" t="s">
        <v>1091</v>
      </c>
      <c r="O759" s="250"/>
      <c r="P759" s="250"/>
      <c r="Q759" s="417" t="s">
        <v>423</v>
      </c>
      <c r="R759" s="284"/>
      <c r="S759" s="284"/>
      <c r="T759" s="424">
        <v>3923000</v>
      </c>
      <c r="U759" s="424"/>
      <c r="V759" s="434"/>
      <c r="W759" s="425"/>
      <c r="X759" s="382"/>
      <c r="Y759" s="435"/>
      <c r="Z759" s="435"/>
      <c r="AA759" s="382"/>
      <c r="AB759" s="435"/>
      <c r="AC759" s="435">
        <f t="shared" si="271"/>
        <v>0</v>
      </c>
      <c r="AD759" s="435"/>
      <c r="AE759" s="435"/>
      <c r="AF759" s="435"/>
      <c r="AG759" s="435"/>
      <c r="AM759" s="437"/>
      <c r="AN759" s="435"/>
      <c r="AO759" s="363"/>
      <c r="AP759" s="435"/>
      <c r="AR759" s="435">
        <f t="shared" si="286"/>
        <v>0</v>
      </c>
    </row>
    <row r="760" spans="1:50" s="222" customFormat="1" ht="15.95" customHeight="1" outlineLevel="2">
      <c r="A760" s="222" t="s">
        <v>419</v>
      </c>
      <c r="B760" s="350"/>
      <c r="C760" s="350"/>
      <c r="D760" s="350"/>
      <c r="E760" s="350"/>
      <c r="F760" s="350"/>
      <c r="G760" s="350"/>
      <c r="H760" s="350"/>
      <c r="I760" s="361"/>
      <c r="J760" s="362"/>
      <c r="K760" s="418"/>
      <c r="L760" s="363"/>
      <c r="M760" s="363"/>
      <c r="N760" s="419"/>
      <c r="O760" s="419"/>
      <c r="P760" s="419"/>
      <c r="Q760" s="420"/>
      <c r="R760" s="427"/>
      <c r="S760" s="284"/>
      <c r="T760" s="427"/>
      <c r="U760" s="427"/>
      <c r="V760" s="427"/>
      <c r="W760" s="428"/>
      <c r="X760" s="382"/>
      <c r="Y760" s="429"/>
      <c r="Z760" s="429"/>
      <c r="AA760" s="382"/>
      <c r="AB760" s="429"/>
      <c r="AC760" s="429">
        <f t="shared" si="271"/>
        <v>0</v>
      </c>
      <c r="AD760" s="429"/>
      <c r="AE760" s="429"/>
      <c r="AF760" s="429"/>
      <c r="AG760" s="429"/>
      <c r="AM760" s="438"/>
      <c r="AN760" s="429"/>
      <c r="AO760" s="363"/>
      <c r="AP760" s="429"/>
      <c r="AR760" s="429">
        <f t="shared" si="286"/>
        <v>0</v>
      </c>
    </row>
    <row r="761" spans="1:50" s="218" customFormat="1" ht="25.5" customHeight="1" outlineLevel="2">
      <c r="A761" s="215" t="s">
        <v>125</v>
      </c>
      <c r="B761" s="151">
        <v>33</v>
      </c>
      <c r="C761" s="151" t="s">
        <v>128</v>
      </c>
      <c r="D761" s="245" t="s">
        <v>648</v>
      </c>
      <c r="E761" s="151" t="s">
        <v>169</v>
      </c>
      <c r="F761" s="151" t="s">
        <v>649</v>
      </c>
      <c r="G761" s="151" t="s">
        <v>37</v>
      </c>
      <c r="H761" s="151" t="s">
        <v>37</v>
      </c>
      <c r="I761" s="256">
        <v>36</v>
      </c>
      <c r="J761" s="151" t="s">
        <v>82</v>
      </c>
      <c r="K761" s="176" t="s">
        <v>1102</v>
      </c>
      <c r="L761" s="245">
        <v>30341439</v>
      </c>
      <c r="M761" s="855" t="s">
        <v>1609</v>
      </c>
      <c r="N761" s="245" t="s">
        <v>1091</v>
      </c>
      <c r="O761" s="245" t="s">
        <v>1105</v>
      </c>
      <c r="P761" s="245"/>
      <c r="Q761" s="176" t="s">
        <v>1106</v>
      </c>
      <c r="R761" s="273"/>
      <c r="S761" s="274"/>
      <c r="T761" s="327">
        <v>210000000</v>
      </c>
      <c r="U761" s="327"/>
      <c r="V761" s="327">
        <v>210000000</v>
      </c>
      <c r="W761" s="273"/>
      <c r="X761" s="274"/>
      <c r="Y761" s="275">
        <v>210000000</v>
      </c>
      <c r="Z761" s="275">
        <v>30699279</v>
      </c>
      <c r="AA761" s="296"/>
      <c r="AB761" s="297">
        <v>156560000</v>
      </c>
      <c r="AC761" s="297">
        <f t="shared" si="271"/>
        <v>83620</v>
      </c>
      <c r="AD761" s="297">
        <f>+AB761-AC761</f>
        <v>156476380</v>
      </c>
      <c r="AE761" s="297">
        <v>0</v>
      </c>
      <c r="AF761" s="297">
        <v>0</v>
      </c>
      <c r="AG761" s="297">
        <v>0</v>
      </c>
      <c r="AH761" s="297">
        <v>0</v>
      </c>
      <c r="AI761" s="297">
        <v>0</v>
      </c>
      <c r="AJ761" s="297">
        <v>83620</v>
      </c>
      <c r="AK761" s="297">
        <v>0</v>
      </c>
      <c r="AL761" s="297">
        <v>0</v>
      </c>
      <c r="AM761" s="297">
        <v>0</v>
      </c>
      <c r="AN761" s="297">
        <v>0</v>
      </c>
      <c r="AO761" s="297">
        <v>0</v>
      </c>
      <c r="AP761" s="297">
        <v>0</v>
      </c>
      <c r="AQ761" s="296"/>
      <c r="AR761" s="297">
        <f t="shared" si="286"/>
        <v>22740721</v>
      </c>
      <c r="AS761" s="313" t="s">
        <v>185</v>
      </c>
      <c r="AT761" s="313" t="s">
        <v>1475</v>
      </c>
      <c r="AU761" s="176" t="s">
        <v>138</v>
      </c>
      <c r="AW761" s="218" t="s">
        <v>1635</v>
      </c>
      <c r="AX761" s="218" t="s">
        <v>1638</v>
      </c>
    </row>
    <row r="762" spans="1:50" s="222" customFormat="1" ht="15.95" customHeight="1" outlineLevel="2">
      <c r="A762" s="222" t="s">
        <v>419</v>
      </c>
      <c r="B762" s="350"/>
      <c r="C762" s="350"/>
      <c r="D762" s="350"/>
      <c r="E762" s="350"/>
      <c r="F762" s="350"/>
      <c r="G762" s="350"/>
      <c r="H762" s="350"/>
      <c r="I762" s="361"/>
      <c r="J762" s="362"/>
      <c r="L762" s="363"/>
      <c r="M762" s="363"/>
      <c r="N762" s="414" t="s">
        <v>1091</v>
      </c>
      <c r="O762" s="250"/>
      <c r="P762" s="250"/>
      <c r="Q762" s="417" t="s">
        <v>1094</v>
      </c>
      <c r="R762" s="284"/>
      <c r="S762" s="284"/>
      <c r="T762" s="424">
        <v>195467000</v>
      </c>
      <c r="U762" s="424"/>
      <c r="V762" s="434"/>
      <c r="W762" s="425"/>
      <c r="X762" s="382"/>
      <c r="Y762" s="435"/>
      <c r="Z762" s="435"/>
      <c r="AA762" s="382"/>
      <c r="AB762" s="435"/>
      <c r="AC762" s="435">
        <f t="shared" si="271"/>
        <v>0</v>
      </c>
      <c r="AD762" s="435"/>
      <c r="AE762" s="435"/>
      <c r="AF762" s="435"/>
      <c r="AG762" s="435"/>
      <c r="AM762" s="437"/>
      <c r="AN762" s="435"/>
      <c r="AO762" s="363"/>
      <c r="AP762" s="435"/>
      <c r="AR762" s="435">
        <f t="shared" si="286"/>
        <v>0</v>
      </c>
    </row>
    <row r="763" spans="1:50" s="222" customFormat="1" ht="15.95" customHeight="1" outlineLevel="2">
      <c r="A763" s="222" t="s">
        <v>419</v>
      </c>
      <c r="B763" s="350"/>
      <c r="C763" s="350"/>
      <c r="D763" s="350"/>
      <c r="E763" s="350"/>
      <c r="F763" s="350"/>
      <c r="G763" s="350"/>
      <c r="H763" s="350"/>
      <c r="I763" s="361"/>
      <c r="J763" s="362"/>
      <c r="L763" s="363"/>
      <c r="M763" s="363"/>
      <c r="N763" s="414" t="s">
        <v>1091</v>
      </c>
      <c r="O763" s="250"/>
      <c r="P763" s="250"/>
      <c r="Q763" s="417" t="s">
        <v>423</v>
      </c>
      <c r="R763" s="284"/>
      <c r="S763" s="284"/>
      <c r="T763" s="424">
        <v>14533000</v>
      </c>
      <c r="U763" s="424"/>
      <c r="V763" s="434"/>
      <c r="W763" s="425"/>
      <c r="X763" s="382"/>
      <c r="Y763" s="435"/>
      <c r="Z763" s="435"/>
      <c r="AA763" s="382"/>
      <c r="AB763" s="435"/>
      <c r="AC763" s="435">
        <f t="shared" si="271"/>
        <v>0</v>
      </c>
      <c r="AD763" s="435"/>
      <c r="AE763" s="435"/>
      <c r="AF763" s="435"/>
      <c r="AG763" s="435"/>
      <c r="AM763" s="437"/>
      <c r="AN763" s="435"/>
      <c r="AO763" s="363"/>
      <c r="AP763" s="435"/>
      <c r="AR763" s="435">
        <f t="shared" si="286"/>
        <v>0</v>
      </c>
    </row>
    <row r="764" spans="1:50" s="222" customFormat="1" ht="15.95" customHeight="1" outlineLevel="2">
      <c r="A764" s="222" t="s">
        <v>419</v>
      </c>
      <c r="B764" s="350"/>
      <c r="C764" s="350"/>
      <c r="D764" s="350"/>
      <c r="E764" s="350"/>
      <c r="F764" s="350"/>
      <c r="G764" s="350"/>
      <c r="H764" s="350"/>
      <c r="I764" s="361"/>
      <c r="J764" s="362"/>
      <c r="K764" s="418"/>
      <c r="L764" s="363"/>
      <c r="M764" s="363"/>
      <c r="N764" s="419"/>
      <c r="O764" s="419"/>
      <c r="P764" s="419"/>
      <c r="Q764" s="420"/>
      <c r="R764" s="427"/>
      <c r="S764" s="284"/>
      <c r="T764" s="427"/>
      <c r="U764" s="427"/>
      <c r="V764" s="427"/>
      <c r="W764" s="428"/>
      <c r="X764" s="382"/>
      <c r="Y764" s="429"/>
      <c r="Z764" s="429"/>
      <c r="AA764" s="382"/>
      <c r="AB764" s="429"/>
      <c r="AC764" s="429">
        <f t="shared" ref="AC764:AC827" si="287">SUBTOTAL(9,AE764:AP764)</f>
        <v>0</v>
      </c>
      <c r="AD764" s="429"/>
      <c r="AE764" s="429"/>
      <c r="AF764" s="429"/>
      <c r="AG764" s="429"/>
      <c r="AM764" s="438"/>
      <c r="AN764" s="429"/>
      <c r="AO764" s="363"/>
      <c r="AP764" s="429"/>
      <c r="AR764" s="429">
        <f t="shared" si="286"/>
        <v>0</v>
      </c>
    </row>
    <row r="765" spans="1:50" s="218" customFormat="1" ht="25.5" customHeight="1" outlineLevel="2">
      <c r="A765" s="215" t="s">
        <v>125</v>
      </c>
      <c r="B765" s="151">
        <v>33</v>
      </c>
      <c r="C765" s="151" t="s">
        <v>128</v>
      </c>
      <c r="D765" s="245" t="s">
        <v>648</v>
      </c>
      <c r="E765" s="151" t="s">
        <v>169</v>
      </c>
      <c r="F765" s="151" t="s">
        <v>649</v>
      </c>
      <c r="G765" s="151" t="s">
        <v>37</v>
      </c>
      <c r="H765" s="151" t="s">
        <v>37</v>
      </c>
      <c r="I765" s="256">
        <v>36</v>
      </c>
      <c r="J765" s="151" t="s">
        <v>82</v>
      </c>
      <c r="K765" s="176" t="s">
        <v>1090</v>
      </c>
      <c r="L765" s="245">
        <v>30341173</v>
      </c>
      <c r="M765" s="855" t="s">
        <v>1609</v>
      </c>
      <c r="N765" s="245" t="s">
        <v>1091</v>
      </c>
      <c r="O765" s="245" t="s">
        <v>1107</v>
      </c>
      <c r="P765" s="245"/>
      <c r="Q765" s="176" t="s">
        <v>1108</v>
      </c>
      <c r="R765" s="273"/>
      <c r="S765" s="274"/>
      <c r="T765" s="327">
        <v>450000000</v>
      </c>
      <c r="U765" s="327"/>
      <c r="V765" s="327">
        <v>450000000</v>
      </c>
      <c r="W765" s="273"/>
      <c r="X765" s="274"/>
      <c r="Y765" s="275">
        <v>450000000</v>
      </c>
      <c r="Z765" s="275">
        <v>204207260</v>
      </c>
      <c r="AA765" s="296"/>
      <c r="AB765" s="297">
        <v>230000000</v>
      </c>
      <c r="AC765" s="297">
        <f t="shared" si="287"/>
        <v>90000000</v>
      </c>
      <c r="AD765" s="297">
        <f>+AB765-AC765</f>
        <v>140000000</v>
      </c>
      <c r="AE765" s="297">
        <v>0</v>
      </c>
      <c r="AF765" s="297">
        <v>0</v>
      </c>
      <c r="AG765" s="297">
        <v>0</v>
      </c>
      <c r="AH765" s="297">
        <v>0</v>
      </c>
      <c r="AI765" s="297">
        <v>0</v>
      </c>
      <c r="AJ765" s="297">
        <v>0</v>
      </c>
      <c r="AK765" s="297">
        <v>0</v>
      </c>
      <c r="AL765" s="297">
        <v>0</v>
      </c>
      <c r="AM765" s="297">
        <v>0</v>
      </c>
      <c r="AN765" s="297">
        <v>90000000</v>
      </c>
      <c r="AO765" s="297">
        <v>0</v>
      </c>
      <c r="AP765" s="297">
        <v>0</v>
      </c>
      <c r="AQ765" s="296"/>
      <c r="AR765" s="297">
        <f t="shared" si="286"/>
        <v>15792740</v>
      </c>
      <c r="AS765" s="313" t="s">
        <v>185</v>
      </c>
      <c r="AT765" s="313" t="s">
        <v>1475</v>
      </c>
      <c r="AU765" s="176" t="s">
        <v>138</v>
      </c>
      <c r="AW765" s="218" t="s">
        <v>1651</v>
      </c>
      <c r="AX765" s="218" t="s">
        <v>1638</v>
      </c>
    </row>
    <row r="766" spans="1:50" s="222" customFormat="1" ht="15.75" customHeight="1" outlineLevel="2">
      <c r="A766" s="222" t="s">
        <v>419</v>
      </c>
      <c r="B766" s="410"/>
      <c r="C766" s="410"/>
      <c r="D766" s="410"/>
      <c r="E766" s="410"/>
      <c r="F766" s="410"/>
      <c r="G766" s="410"/>
      <c r="H766" s="410"/>
      <c r="I766" s="412"/>
      <c r="J766" s="413"/>
      <c r="L766" s="363"/>
      <c r="M766" s="363"/>
      <c r="N766" s="414" t="s">
        <v>1091</v>
      </c>
      <c r="O766" s="415"/>
      <c r="P766" s="415"/>
      <c r="Q766" s="416" t="s">
        <v>420</v>
      </c>
      <c r="R766" s="284"/>
      <c r="S766" s="284"/>
      <c r="T766" s="421">
        <v>58534000</v>
      </c>
      <c r="U766" s="421"/>
      <c r="V766" s="421">
        <v>58534000</v>
      </c>
      <c r="W766" s="422"/>
      <c r="X766" s="382"/>
      <c r="Y766" s="442">
        <v>58534000</v>
      </c>
      <c r="Z766" s="442"/>
      <c r="AA766" s="382"/>
      <c r="AB766" s="433"/>
      <c r="AC766" s="433">
        <f t="shared" si="287"/>
        <v>0</v>
      </c>
      <c r="AD766" s="433"/>
      <c r="AE766" s="433"/>
      <c r="AF766" s="433"/>
      <c r="AG766" s="433"/>
      <c r="AM766" s="436"/>
      <c r="AN766" s="433"/>
      <c r="AO766" s="363"/>
      <c r="AP766" s="433"/>
      <c r="AR766" s="433">
        <f t="shared" si="286"/>
        <v>58534000</v>
      </c>
    </row>
    <row r="767" spans="1:50" s="222" customFormat="1" ht="15.95" customHeight="1" outlineLevel="2">
      <c r="A767" s="222" t="s">
        <v>419</v>
      </c>
      <c r="B767" s="350"/>
      <c r="C767" s="350"/>
      <c r="D767" s="350"/>
      <c r="E767" s="350"/>
      <c r="F767" s="350"/>
      <c r="G767" s="350"/>
      <c r="H767" s="350"/>
      <c r="I767" s="361"/>
      <c r="J767" s="362"/>
      <c r="L767" s="363"/>
      <c r="M767" s="363"/>
      <c r="N767" s="414" t="s">
        <v>1091</v>
      </c>
      <c r="O767" s="250"/>
      <c r="P767" s="250"/>
      <c r="Q767" s="417" t="s">
        <v>1094</v>
      </c>
      <c r="R767" s="284"/>
      <c r="S767" s="284"/>
      <c r="T767" s="424">
        <v>368931000</v>
      </c>
      <c r="U767" s="424"/>
      <c r="V767" s="424">
        <v>368931000</v>
      </c>
      <c r="W767" s="425"/>
      <c r="X767" s="382"/>
      <c r="Y767" s="426">
        <v>368931000</v>
      </c>
      <c r="Z767" s="426"/>
      <c r="AA767" s="382"/>
      <c r="AB767" s="435"/>
      <c r="AC767" s="435">
        <f t="shared" si="287"/>
        <v>0</v>
      </c>
      <c r="AD767" s="435"/>
      <c r="AE767" s="435"/>
      <c r="AF767" s="435"/>
      <c r="AG767" s="435"/>
      <c r="AM767" s="437"/>
      <c r="AN767" s="435"/>
      <c r="AO767" s="363"/>
      <c r="AP767" s="435"/>
      <c r="AR767" s="435">
        <f t="shared" si="286"/>
        <v>368931000</v>
      </c>
    </row>
    <row r="768" spans="1:50" s="222" customFormat="1" ht="15.95" customHeight="1" outlineLevel="2">
      <c r="A768" s="222" t="s">
        <v>419</v>
      </c>
      <c r="B768" s="350"/>
      <c r="C768" s="350"/>
      <c r="D768" s="350"/>
      <c r="E768" s="350"/>
      <c r="F768" s="350"/>
      <c r="G768" s="350"/>
      <c r="H768" s="350"/>
      <c r="I768" s="361"/>
      <c r="J768" s="362"/>
      <c r="L768" s="363"/>
      <c r="M768" s="363"/>
      <c r="N768" s="414" t="s">
        <v>1091</v>
      </c>
      <c r="O768" s="250"/>
      <c r="P768" s="250"/>
      <c r="Q768" s="417" t="s">
        <v>423</v>
      </c>
      <c r="R768" s="284"/>
      <c r="S768" s="284"/>
      <c r="T768" s="424">
        <v>22535000</v>
      </c>
      <c r="U768" s="424"/>
      <c r="V768" s="424">
        <v>22535000</v>
      </c>
      <c r="W768" s="425"/>
      <c r="X768" s="382"/>
      <c r="Y768" s="426">
        <v>22535000</v>
      </c>
      <c r="Z768" s="426"/>
      <c r="AA768" s="382"/>
      <c r="AB768" s="435"/>
      <c r="AC768" s="435">
        <f t="shared" si="287"/>
        <v>0</v>
      </c>
      <c r="AD768" s="435"/>
      <c r="AE768" s="435"/>
      <c r="AF768" s="435"/>
      <c r="AG768" s="435"/>
      <c r="AM768" s="437"/>
      <c r="AN768" s="435"/>
      <c r="AO768" s="363"/>
      <c r="AP768" s="435"/>
      <c r="AR768" s="435">
        <f t="shared" si="286"/>
        <v>22535000</v>
      </c>
    </row>
    <row r="769" spans="1:50" s="222" customFormat="1" ht="15.95" customHeight="1" outlineLevel="2">
      <c r="A769" s="222" t="s">
        <v>419</v>
      </c>
      <c r="B769" s="350"/>
      <c r="C769" s="350"/>
      <c r="D769" s="350"/>
      <c r="E769" s="350"/>
      <c r="F769" s="350"/>
      <c r="G769" s="350"/>
      <c r="H769" s="350"/>
      <c r="I769" s="361"/>
      <c r="J769" s="362"/>
      <c r="K769" s="418"/>
      <c r="L769" s="363"/>
      <c r="M769" s="363"/>
      <c r="N769" s="419"/>
      <c r="O769" s="419"/>
      <c r="P769" s="419"/>
      <c r="Q769" s="420"/>
      <c r="R769" s="427"/>
      <c r="S769" s="284"/>
      <c r="T769" s="427"/>
      <c r="U769" s="427"/>
      <c r="V769" s="427"/>
      <c r="W769" s="428"/>
      <c r="X769" s="382"/>
      <c r="Y769" s="429"/>
      <c r="Z769" s="429"/>
      <c r="AA769" s="382"/>
      <c r="AB769" s="429"/>
      <c r="AC769" s="429">
        <f t="shared" si="287"/>
        <v>0</v>
      </c>
      <c r="AD769" s="429"/>
      <c r="AE769" s="429"/>
      <c r="AF769" s="429"/>
      <c r="AG769" s="429"/>
      <c r="AM769" s="438"/>
      <c r="AN769" s="429"/>
      <c r="AO769" s="363"/>
      <c r="AP769" s="429"/>
      <c r="AR769" s="429">
        <f t="shared" si="286"/>
        <v>0</v>
      </c>
    </row>
    <row r="770" spans="1:50" s="218" customFormat="1" ht="25.5" customHeight="1" outlineLevel="2">
      <c r="A770" s="215" t="s">
        <v>125</v>
      </c>
      <c r="B770" s="151">
        <v>33</v>
      </c>
      <c r="C770" s="151" t="s">
        <v>128</v>
      </c>
      <c r="D770" s="245" t="s">
        <v>648</v>
      </c>
      <c r="E770" s="151" t="s">
        <v>169</v>
      </c>
      <c r="F770" s="151" t="s">
        <v>649</v>
      </c>
      <c r="G770" s="151" t="s">
        <v>37</v>
      </c>
      <c r="H770" s="151" t="s">
        <v>37</v>
      </c>
      <c r="I770" s="256">
        <v>36</v>
      </c>
      <c r="J770" s="151" t="s">
        <v>82</v>
      </c>
      <c r="K770" s="176" t="s">
        <v>1090</v>
      </c>
      <c r="L770" s="245">
        <v>30329922</v>
      </c>
      <c r="M770" s="855" t="s">
        <v>1609</v>
      </c>
      <c r="N770" s="245" t="s">
        <v>1091</v>
      </c>
      <c r="O770" s="245" t="s">
        <v>1109</v>
      </c>
      <c r="P770" s="245"/>
      <c r="Q770" s="176" t="s">
        <v>1110</v>
      </c>
      <c r="R770" s="273"/>
      <c r="S770" s="274"/>
      <c r="T770" s="327">
        <v>547808000</v>
      </c>
      <c r="U770" s="327"/>
      <c r="V770" s="327">
        <v>530000000</v>
      </c>
      <c r="W770" s="273"/>
      <c r="X770" s="274"/>
      <c r="Y770" s="275">
        <v>530000000</v>
      </c>
      <c r="Z770" s="275">
        <v>243232948</v>
      </c>
      <c r="AA770" s="296"/>
      <c r="AB770" s="297">
        <v>250000000</v>
      </c>
      <c r="AC770" s="297">
        <f t="shared" si="287"/>
        <v>53400000</v>
      </c>
      <c r="AD770" s="297">
        <f>+AB770-AC770</f>
        <v>196600000</v>
      </c>
      <c r="AE770" s="297">
        <v>0</v>
      </c>
      <c r="AF770" s="297">
        <v>0</v>
      </c>
      <c r="AG770" s="297">
        <v>0</v>
      </c>
      <c r="AH770" s="297">
        <v>0</v>
      </c>
      <c r="AI770" s="297">
        <v>0</v>
      </c>
      <c r="AJ770" s="297">
        <v>0</v>
      </c>
      <c r="AK770" s="297">
        <v>0</v>
      </c>
      <c r="AL770" s="297">
        <v>0</v>
      </c>
      <c r="AM770" s="297">
        <v>0</v>
      </c>
      <c r="AN770" s="297">
        <v>53400000</v>
      </c>
      <c r="AO770" s="297">
        <v>0</v>
      </c>
      <c r="AP770" s="297">
        <v>0</v>
      </c>
      <c r="AQ770" s="296"/>
      <c r="AR770" s="297">
        <f t="shared" ref="AR770:AR801" si="288">+Y770-Z770-AC770-AD770</f>
        <v>36767052</v>
      </c>
      <c r="AS770" s="313" t="s">
        <v>185</v>
      </c>
      <c r="AT770" s="313" t="s">
        <v>1475</v>
      </c>
      <c r="AU770" s="176" t="s">
        <v>138</v>
      </c>
      <c r="AW770" s="218" t="s">
        <v>1635</v>
      </c>
      <c r="AX770" s="218" t="s">
        <v>1638</v>
      </c>
    </row>
    <row r="771" spans="1:50" s="222" customFormat="1" ht="15.75" customHeight="1" outlineLevel="2">
      <c r="A771" s="222" t="s">
        <v>419</v>
      </c>
      <c r="B771" s="410"/>
      <c r="C771" s="410"/>
      <c r="D771" s="410"/>
      <c r="E771" s="410"/>
      <c r="F771" s="410"/>
      <c r="G771" s="410"/>
      <c r="H771" s="410"/>
      <c r="I771" s="412"/>
      <c r="J771" s="413"/>
      <c r="L771" s="363"/>
      <c r="M771" s="363"/>
      <c r="N771" s="414" t="s">
        <v>1091</v>
      </c>
      <c r="O771" s="415"/>
      <c r="P771" s="415"/>
      <c r="Q771" s="416" t="s">
        <v>420</v>
      </c>
      <c r="R771" s="284"/>
      <c r="S771" s="284"/>
      <c r="T771" s="421">
        <v>64924000</v>
      </c>
      <c r="U771" s="421"/>
      <c r="V771" s="421">
        <v>61435000</v>
      </c>
      <c r="W771" s="422"/>
      <c r="X771" s="382"/>
      <c r="Y771" s="433">
        <v>61435000</v>
      </c>
      <c r="Z771" s="433"/>
      <c r="AA771" s="382"/>
      <c r="AB771" s="433"/>
      <c r="AC771" s="433">
        <f t="shared" si="287"/>
        <v>0</v>
      </c>
      <c r="AD771" s="433"/>
      <c r="AE771" s="433"/>
      <c r="AF771" s="433"/>
      <c r="AG771" s="433"/>
      <c r="AM771" s="436"/>
      <c r="AN771" s="433"/>
      <c r="AO771" s="363"/>
      <c r="AP771" s="433"/>
      <c r="AR771" s="433">
        <f t="shared" si="288"/>
        <v>61435000</v>
      </c>
    </row>
    <row r="772" spans="1:50" s="222" customFormat="1" ht="15.95" customHeight="1" outlineLevel="2">
      <c r="A772" s="222" t="s">
        <v>419</v>
      </c>
      <c r="B772" s="350"/>
      <c r="C772" s="350"/>
      <c r="D772" s="350"/>
      <c r="E772" s="350"/>
      <c r="F772" s="350"/>
      <c r="G772" s="350"/>
      <c r="H772" s="350"/>
      <c r="I772" s="361"/>
      <c r="J772" s="362"/>
      <c r="L772" s="363"/>
      <c r="M772" s="363"/>
      <c r="N772" s="414" t="s">
        <v>1091</v>
      </c>
      <c r="O772" s="250"/>
      <c r="P772" s="250"/>
      <c r="Q772" s="417" t="s">
        <v>1094</v>
      </c>
      <c r="R772" s="284"/>
      <c r="S772" s="284"/>
      <c r="T772" s="424">
        <v>464441000</v>
      </c>
      <c r="U772" s="424"/>
      <c r="V772" s="424">
        <v>447365000</v>
      </c>
      <c r="W772" s="425"/>
      <c r="X772" s="382"/>
      <c r="Y772" s="435">
        <v>447365000</v>
      </c>
      <c r="Z772" s="435"/>
      <c r="AA772" s="382"/>
      <c r="AB772" s="435"/>
      <c r="AC772" s="435">
        <f t="shared" si="287"/>
        <v>0</v>
      </c>
      <c r="AD772" s="435"/>
      <c r="AE772" s="435"/>
      <c r="AF772" s="435"/>
      <c r="AG772" s="435"/>
      <c r="AM772" s="437"/>
      <c r="AN772" s="435"/>
      <c r="AO772" s="363"/>
      <c r="AP772" s="435"/>
      <c r="AR772" s="435">
        <f t="shared" si="288"/>
        <v>447365000</v>
      </c>
    </row>
    <row r="773" spans="1:50" s="222" customFormat="1" ht="15.95" customHeight="1" outlineLevel="2">
      <c r="A773" s="222" t="s">
        <v>419</v>
      </c>
      <c r="B773" s="350"/>
      <c r="C773" s="350"/>
      <c r="D773" s="350"/>
      <c r="E773" s="350"/>
      <c r="F773" s="350"/>
      <c r="G773" s="350"/>
      <c r="H773" s="350"/>
      <c r="I773" s="361"/>
      <c r="J773" s="362"/>
      <c r="L773" s="363"/>
      <c r="M773" s="363"/>
      <c r="N773" s="414" t="s">
        <v>1091</v>
      </c>
      <c r="O773" s="250"/>
      <c r="P773" s="250"/>
      <c r="Q773" s="417" t="s">
        <v>423</v>
      </c>
      <c r="R773" s="284"/>
      <c r="S773" s="284"/>
      <c r="T773" s="424">
        <v>18443000</v>
      </c>
      <c r="U773" s="424"/>
      <c r="V773" s="424">
        <v>21200000</v>
      </c>
      <c r="W773" s="425"/>
      <c r="X773" s="382"/>
      <c r="Y773" s="435">
        <v>21200000</v>
      </c>
      <c r="Z773" s="435"/>
      <c r="AA773" s="382"/>
      <c r="AB773" s="435"/>
      <c r="AC773" s="435">
        <f t="shared" si="287"/>
        <v>0</v>
      </c>
      <c r="AD773" s="435"/>
      <c r="AE773" s="435"/>
      <c r="AF773" s="435"/>
      <c r="AG773" s="435"/>
      <c r="AM773" s="437"/>
      <c r="AN773" s="435"/>
      <c r="AO773" s="363"/>
      <c r="AP773" s="435"/>
      <c r="AR773" s="435">
        <f t="shared" si="288"/>
        <v>21200000</v>
      </c>
    </row>
    <row r="774" spans="1:50" s="222" customFormat="1" ht="15.95" customHeight="1" outlineLevel="2">
      <c r="A774" s="222" t="s">
        <v>419</v>
      </c>
      <c r="B774" s="350"/>
      <c r="C774" s="350"/>
      <c r="D774" s="350"/>
      <c r="E774" s="350"/>
      <c r="F774" s="350"/>
      <c r="G774" s="350"/>
      <c r="H774" s="350"/>
      <c r="I774" s="361"/>
      <c r="J774" s="362"/>
      <c r="K774" s="418"/>
      <c r="L774" s="363"/>
      <c r="M774" s="363"/>
      <c r="N774" s="419"/>
      <c r="O774" s="419"/>
      <c r="P774" s="419"/>
      <c r="Q774" s="420"/>
      <c r="R774" s="427"/>
      <c r="S774" s="284"/>
      <c r="T774" s="427"/>
      <c r="U774" s="427"/>
      <c r="V774" s="427"/>
      <c r="W774" s="428"/>
      <c r="X774" s="382"/>
      <c r="Y774" s="429"/>
      <c r="Z774" s="429"/>
      <c r="AA774" s="382"/>
      <c r="AB774" s="429"/>
      <c r="AC774" s="429">
        <f t="shared" si="287"/>
        <v>0</v>
      </c>
      <c r="AD774" s="429"/>
      <c r="AE774" s="429"/>
      <c r="AF774" s="429"/>
      <c r="AG774" s="429"/>
      <c r="AM774" s="438"/>
      <c r="AN774" s="429"/>
      <c r="AO774" s="363"/>
      <c r="AP774" s="429"/>
      <c r="AR774" s="429">
        <f t="shared" si="288"/>
        <v>0</v>
      </c>
    </row>
    <row r="775" spans="1:50" s="218" customFormat="1" ht="25.5" customHeight="1" outlineLevel="2">
      <c r="A775" s="215" t="s">
        <v>125</v>
      </c>
      <c r="B775" s="151">
        <v>33</v>
      </c>
      <c r="C775" s="151" t="s">
        <v>128</v>
      </c>
      <c r="D775" s="245" t="s">
        <v>149</v>
      </c>
      <c r="E775" s="151" t="s">
        <v>169</v>
      </c>
      <c r="F775" s="151" t="s">
        <v>140</v>
      </c>
      <c r="G775" s="151" t="s">
        <v>37</v>
      </c>
      <c r="H775" s="151" t="s">
        <v>37</v>
      </c>
      <c r="I775" s="256">
        <v>36</v>
      </c>
      <c r="J775" s="151" t="s">
        <v>80</v>
      </c>
      <c r="K775" s="176" t="s">
        <v>1111</v>
      </c>
      <c r="L775" s="245">
        <v>30136320</v>
      </c>
      <c r="M775" s="855"/>
      <c r="N775" s="245" t="s">
        <v>1091</v>
      </c>
      <c r="O775" s="245" t="s">
        <v>1112</v>
      </c>
      <c r="P775" s="245"/>
      <c r="Q775" s="176" t="s">
        <v>1113</v>
      </c>
      <c r="R775" s="273"/>
      <c r="S775" s="274"/>
      <c r="T775" s="327">
        <v>600000000</v>
      </c>
      <c r="U775" s="327"/>
      <c r="V775" s="327">
        <v>600000000</v>
      </c>
      <c r="W775" s="273"/>
      <c r="X775" s="274"/>
      <c r="Y775" s="275">
        <v>600000000</v>
      </c>
      <c r="Z775" s="275">
        <v>309862776</v>
      </c>
      <c r="AA775" s="296"/>
      <c r="AB775" s="297">
        <v>200000000</v>
      </c>
      <c r="AC775" s="297">
        <f t="shared" si="287"/>
        <v>0</v>
      </c>
      <c r="AD775" s="297">
        <f>+AB775-AC775</f>
        <v>200000000</v>
      </c>
      <c r="AE775" s="297">
        <v>0</v>
      </c>
      <c r="AF775" s="297">
        <v>0</v>
      </c>
      <c r="AG775" s="297">
        <v>0</v>
      </c>
      <c r="AH775" s="297">
        <v>0</v>
      </c>
      <c r="AI775" s="297">
        <v>0</v>
      </c>
      <c r="AJ775" s="297">
        <v>0</v>
      </c>
      <c r="AK775" s="297">
        <v>0</v>
      </c>
      <c r="AL775" s="297">
        <v>0</v>
      </c>
      <c r="AM775" s="297">
        <v>0</v>
      </c>
      <c r="AN775" s="297">
        <v>0</v>
      </c>
      <c r="AO775" s="297">
        <v>0</v>
      </c>
      <c r="AP775" s="297">
        <v>0</v>
      </c>
      <c r="AQ775" s="296"/>
      <c r="AR775" s="297">
        <f t="shared" si="288"/>
        <v>90137224</v>
      </c>
      <c r="AS775" s="313" t="s">
        <v>185</v>
      </c>
      <c r="AT775" s="313" t="s">
        <v>1475</v>
      </c>
      <c r="AU775" s="176" t="s">
        <v>138</v>
      </c>
      <c r="AW775" s="218" t="s">
        <v>1651</v>
      </c>
      <c r="AX775" s="218" t="s">
        <v>1638</v>
      </c>
    </row>
    <row r="776" spans="1:50" s="222" customFormat="1" ht="15.75" customHeight="1" outlineLevel="2">
      <c r="A776" s="222" t="s">
        <v>419</v>
      </c>
      <c r="B776" s="410"/>
      <c r="C776" s="410"/>
      <c r="D776" s="410"/>
      <c r="E776" s="410"/>
      <c r="F776" s="410"/>
      <c r="G776" s="410"/>
      <c r="H776" s="410"/>
      <c r="I776" s="412"/>
      <c r="J776" s="413"/>
      <c r="L776" s="363"/>
      <c r="M776" s="363"/>
      <c r="N776" s="414" t="s">
        <v>1091</v>
      </c>
      <c r="O776" s="415"/>
      <c r="P776" s="415"/>
      <c r="Q776" s="416" t="s">
        <v>420</v>
      </c>
      <c r="R776" s="284"/>
      <c r="S776" s="284"/>
      <c r="T776" s="421">
        <v>95310000</v>
      </c>
      <c r="U776" s="421"/>
      <c r="V776" s="421">
        <v>69600000</v>
      </c>
      <c r="W776" s="422"/>
      <c r="X776" s="382"/>
      <c r="Y776" s="433">
        <v>69600000</v>
      </c>
      <c r="Z776" s="433"/>
      <c r="AA776" s="382"/>
      <c r="AB776" s="433"/>
      <c r="AC776" s="433">
        <f t="shared" si="287"/>
        <v>0</v>
      </c>
      <c r="AD776" s="433"/>
      <c r="AE776" s="433"/>
      <c r="AF776" s="433"/>
      <c r="AG776" s="433"/>
      <c r="AM776" s="436"/>
      <c r="AN776" s="433"/>
      <c r="AO776" s="363"/>
      <c r="AP776" s="433"/>
      <c r="AR776" s="433">
        <f t="shared" si="288"/>
        <v>69600000</v>
      </c>
    </row>
    <row r="777" spans="1:50" s="222" customFormat="1" ht="15.95" customHeight="1" outlineLevel="2">
      <c r="A777" s="222" t="s">
        <v>419</v>
      </c>
      <c r="B777" s="350"/>
      <c r="C777" s="350"/>
      <c r="D777" s="350"/>
      <c r="E777" s="350"/>
      <c r="F777" s="350"/>
      <c r="G777" s="350"/>
      <c r="H777" s="350"/>
      <c r="I777" s="361"/>
      <c r="J777" s="362"/>
      <c r="L777" s="363"/>
      <c r="M777" s="363"/>
      <c r="N777" s="414" t="s">
        <v>1091</v>
      </c>
      <c r="O777" s="250"/>
      <c r="P777" s="250"/>
      <c r="Q777" s="417" t="s">
        <v>1094</v>
      </c>
      <c r="R777" s="284"/>
      <c r="S777" s="284"/>
      <c r="T777" s="424">
        <v>484535000</v>
      </c>
      <c r="U777" s="424"/>
      <c r="V777" s="424">
        <v>519600000</v>
      </c>
      <c r="W777" s="425"/>
      <c r="X777" s="382"/>
      <c r="Y777" s="435">
        <v>519600000</v>
      </c>
      <c r="Z777" s="435"/>
      <c r="AA777" s="382"/>
      <c r="AB777" s="435"/>
      <c r="AC777" s="435">
        <f t="shared" si="287"/>
        <v>0</v>
      </c>
      <c r="AD777" s="435"/>
      <c r="AE777" s="435"/>
      <c r="AF777" s="435"/>
      <c r="AG777" s="435"/>
      <c r="AM777" s="437"/>
      <c r="AN777" s="435"/>
      <c r="AO777" s="363"/>
      <c r="AP777" s="435"/>
      <c r="AR777" s="435">
        <f t="shared" si="288"/>
        <v>519600000</v>
      </c>
    </row>
    <row r="778" spans="1:50" s="222" customFormat="1" ht="15.95" customHeight="1" outlineLevel="2">
      <c r="A778" s="222" t="s">
        <v>419</v>
      </c>
      <c r="B778" s="350"/>
      <c r="C778" s="350"/>
      <c r="D778" s="350"/>
      <c r="E778" s="350"/>
      <c r="F778" s="350"/>
      <c r="G778" s="350"/>
      <c r="H778" s="350"/>
      <c r="I778" s="361"/>
      <c r="J778" s="362"/>
      <c r="L778" s="363"/>
      <c r="M778" s="363"/>
      <c r="N778" s="414" t="s">
        <v>1091</v>
      </c>
      <c r="O778" s="250"/>
      <c r="P778" s="250"/>
      <c r="Q778" s="417" t="s">
        <v>423</v>
      </c>
      <c r="R778" s="284"/>
      <c r="S778" s="284"/>
      <c r="T778" s="424">
        <v>20155000</v>
      </c>
      <c r="U778" s="424"/>
      <c r="V778" s="424">
        <v>10800000</v>
      </c>
      <c r="W778" s="425"/>
      <c r="X778" s="382"/>
      <c r="Y778" s="435">
        <v>10800000</v>
      </c>
      <c r="Z778" s="435"/>
      <c r="AA778" s="382"/>
      <c r="AB778" s="435"/>
      <c r="AC778" s="435">
        <f t="shared" si="287"/>
        <v>0</v>
      </c>
      <c r="AD778" s="435"/>
      <c r="AE778" s="435"/>
      <c r="AF778" s="435"/>
      <c r="AG778" s="435"/>
      <c r="AM778" s="437"/>
      <c r="AN778" s="435"/>
      <c r="AO778" s="363"/>
      <c r="AP778" s="435"/>
      <c r="AR778" s="435">
        <f t="shared" si="288"/>
        <v>10800000</v>
      </c>
    </row>
    <row r="779" spans="1:50" s="222" customFormat="1" ht="15.95" customHeight="1" outlineLevel="2">
      <c r="A779" s="222" t="s">
        <v>419</v>
      </c>
      <c r="B779" s="350"/>
      <c r="C779" s="350"/>
      <c r="D779" s="350"/>
      <c r="E779" s="350"/>
      <c r="F779" s="350"/>
      <c r="G779" s="350"/>
      <c r="H779" s="350"/>
      <c r="I779" s="361"/>
      <c r="J779" s="362"/>
      <c r="K779" s="418"/>
      <c r="L779" s="363"/>
      <c r="M779" s="363"/>
      <c r="N779" s="419"/>
      <c r="O779" s="419"/>
      <c r="P779" s="419"/>
      <c r="Q779" s="420"/>
      <c r="R779" s="427"/>
      <c r="S779" s="284"/>
      <c r="T779" s="427"/>
      <c r="U779" s="427"/>
      <c r="V779" s="427"/>
      <c r="W779" s="428"/>
      <c r="X779" s="382"/>
      <c r="Y779" s="429"/>
      <c r="Z779" s="429"/>
      <c r="AA779" s="382"/>
      <c r="AB779" s="429"/>
      <c r="AC779" s="429">
        <f t="shared" si="287"/>
        <v>0</v>
      </c>
      <c r="AD779" s="429"/>
      <c r="AE779" s="429"/>
      <c r="AF779" s="429"/>
      <c r="AG779" s="429"/>
      <c r="AM779" s="438"/>
      <c r="AN779" s="429"/>
      <c r="AO779" s="363"/>
      <c r="AP779" s="429"/>
      <c r="AR779" s="429">
        <f t="shared" si="288"/>
        <v>0</v>
      </c>
    </row>
    <row r="780" spans="1:50" s="218" customFormat="1" ht="25.5" customHeight="1" outlineLevel="2">
      <c r="A780" s="215" t="s">
        <v>125</v>
      </c>
      <c r="B780" s="151">
        <v>33</v>
      </c>
      <c r="C780" s="151" t="s">
        <v>128</v>
      </c>
      <c r="D780" s="245" t="s">
        <v>149</v>
      </c>
      <c r="E780" s="151" t="s">
        <v>169</v>
      </c>
      <c r="F780" s="151" t="s">
        <v>649</v>
      </c>
      <c r="G780" s="151" t="s">
        <v>37</v>
      </c>
      <c r="H780" s="151" t="s">
        <v>37</v>
      </c>
      <c r="I780" s="256">
        <v>36</v>
      </c>
      <c r="J780" s="151" t="s">
        <v>80</v>
      </c>
      <c r="K780" s="176" t="s">
        <v>1095</v>
      </c>
      <c r="L780" s="245">
        <v>30485206</v>
      </c>
      <c r="M780" s="855"/>
      <c r="N780" s="245" t="s">
        <v>1091</v>
      </c>
      <c r="O780" s="245" t="s">
        <v>1114</v>
      </c>
      <c r="P780" s="245"/>
      <c r="Q780" s="176" t="s">
        <v>1115</v>
      </c>
      <c r="R780" s="273"/>
      <c r="S780" s="274"/>
      <c r="T780" s="327">
        <v>202400000</v>
      </c>
      <c r="U780" s="327"/>
      <c r="V780" s="273"/>
      <c r="W780" s="273"/>
      <c r="X780" s="274"/>
      <c r="Y780" s="275">
        <v>202400000</v>
      </c>
      <c r="Z780" s="275">
        <v>7500000</v>
      </c>
      <c r="AA780" s="296"/>
      <c r="AB780" s="297">
        <v>100000000</v>
      </c>
      <c r="AC780" s="297">
        <f t="shared" si="287"/>
        <v>0</v>
      </c>
      <c r="AD780" s="297">
        <f>+AB780-AC780</f>
        <v>100000000</v>
      </c>
      <c r="AE780" s="297">
        <v>0</v>
      </c>
      <c r="AF780" s="297">
        <v>0</v>
      </c>
      <c r="AG780" s="297">
        <v>0</v>
      </c>
      <c r="AH780" s="297">
        <v>0</v>
      </c>
      <c r="AI780" s="297">
        <v>0</v>
      </c>
      <c r="AJ780" s="297">
        <v>0</v>
      </c>
      <c r="AK780" s="297">
        <v>0</v>
      </c>
      <c r="AL780" s="297">
        <v>0</v>
      </c>
      <c r="AM780" s="297">
        <v>0</v>
      </c>
      <c r="AN780" s="297">
        <v>0</v>
      </c>
      <c r="AO780" s="297">
        <v>0</v>
      </c>
      <c r="AP780" s="297">
        <v>0</v>
      </c>
      <c r="AQ780" s="296"/>
      <c r="AR780" s="297">
        <f t="shared" si="288"/>
        <v>94900000</v>
      </c>
      <c r="AS780" s="313" t="s">
        <v>185</v>
      </c>
      <c r="AT780" s="313" t="s">
        <v>1475</v>
      </c>
      <c r="AU780" s="176" t="s">
        <v>138</v>
      </c>
      <c r="AW780" s="218" t="s">
        <v>1654</v>
      </c>
    </row>
    <row r="781" spans="1:50" s="222" customFormat="1" ht="15.75" customHeight="1" outlineLevel="2">
      <c r="A781" s="222" t="s">
        <v>419</v>
      </c>
      <c r="B781" s="410"/>
      <c r="C781" s="410"/>
      <c r="D781" s="410"/>
      <c r="E781" s="410"/>
      <c r="F781" s="410"/>
      <c r="G781" s="410"/>
      <c r="H781" s="410"/>
      <c r="I781" s="412"/>
      <c r="J781" s="413"/>
      <c r="L781" s="363"/>
      <c r="M781" s="363"/>
      <c r="N781" s="414" t="s">
        <v>1091</v>
      </c>
      <c r="O781" s="415"/>
      <c r="P781" s="415"/>
      <c r="Q781" s="416" t="s">
        <v>420</v>
      </c>
      <c r="R781" s="284"/>
      <c r="S781" s="284"/>
      <c r="T781" s="421">
        <v>30400000</v>
      </c>
      <c r="U781" s="421"/>
      <c r="V781" s="432"/>
      <c r="W781" s="422"/>
      <c r="X781" s="382"/>
      <c r="Y781" s="433"/>
      <c r="Z781" s="433"/>
      <c r="AA781" s="382"/>
      <c r="AB781" s="433"/>
      <c r="AC781" s="433">
        <f t="shared" si="287"/>
        <v>0</v>
      </c>
      <c r="AD781" s="433"/>
      <c r="AE781" s="433"/>
      <c r="AF781" s="433"/>
      <c r="AG781" s="433"/>
      <c r="AM781" s="436"/>
      <c r="AN781" s="433"/>
      <c r="AO781" s="363"/>
      <c r="AP781" s="433"/>
      <c r="AR781" s="433">
        <f t="shared" si="288"/>
        <v>0</v>
      </c>
    </row>
    <row r="782" spans="1:50" s="222" customFormat="1" ht="15.95" customHeight="1" outlineLevel="2">
      <c r="A782" s="222" t="s">
        <v>419</v>
      </c>
      <c r="B782" s="350"/>
      <c r="C782" s="350"/>
      <c r="D782" s="350"/>
      <c r="E782" s="350"/>
      <c r="F782" s="350"/>
      <c r="G782" s="350"/>
      <c r="H782" s="350"/>
      <c r="I782" s="361"/>
      <c r="J782" s="362"/>
      <c r="L782" s="363"/>
      <c r="M782" s="363"/>
      <c r="N782" s="414" t="s">
        <v>1091</v>
      </c>
      <c r="O782" s="250"/>
      <c r="P782" s="250"/>
      <c r="Q782" s="417" t="s">
        <v>1094</v>
      </c>
      <c r="R782" s="284"/>
      <c r="S782" s="284"/>
      <c r="T782" s="424">
        <v>164000000</v>
      </c>
      <c r="U782" s="424"/>
      <c r="V782" s="434"/>
      <c r="W782" s="425"/>
      <c r="X782" s="382"/>
      <c r="Y782" s="435"/>
      <c r="Z782" s="435"/>
      <c r="AA782" s="382"/>
      <c r="AB782" s="435"/>
      <c r="AC782" s="435">
        <f t="shared" si="287"/>
        <v>0</v>
      </c>
      <c r="AD782" s="435"/>
      <c r="AE782" s="435"/>
      <c r="AF782" s="435"/>
      <c r="AG782" s="435"/>
      <c r="AM782" s="437"/>
      <c r="AN782" s="435"/>
      <c r="AO782" s="363"/>
      <c r="AP782" s="435"/>
      <c r="AR782" s="435">
        <f t="shared" si="288"/>
        <v>0</v>
      </c>
    </row>
    <row r="783" spans="1:50" s="222" customFormat="1" ht="15.95" customHeight="1" outlineLevel="2">
      <c r="A783" s="222" t="s">
        <v>419</v>
      </c>
      <c r="B783" s="350"/>
      <c r="C783" s="350"/>
      <c r="D783" s="350"/>
      <c r="E783" s="350"/>
      <c r="F783" s="350"/>
      <c r="G783" s="350"/>
      <c r="H783" s="350"/>
      <c r="I783" s="361"/>
      <c r="J783" s="362"/>
      <c r="L783" s="363"/>
      <c r="M783" s="363"/>
      <c r="N783" s="414" t="s">
        <v>1091</v>
      </c>
      <c r="O783" s="250"/>
      <c r="P783" s="250"/>
      <c r="Q783" s="417" t="s">
        <v>423</v>
      </c>
      <c r="R783" s="284"/>
      <c r="S783" s="284"/>
      <c r="T783" s="424">
        <v>8000000</v>
      </c>
      <c r="U783" s="424"/>
      <c r="V783" s="434"/>
      <c r="W783" s="425"/>
      <c r="X783" s="382"/>
      <c r="Y783" s="435"/>
      <c r="Z783" s="435"/>
      <c r="AA783" s="382"/>
      <c r="AB783" s="435"/>
      <c r="AC783" s="435">
        <f t="shared" si="287"/>
        <v>0</v>
      </c>
      <c r="AD783" s="435"/>
      <c r="AE783" s="435"/>
      <c r="AF783" s="435"/>
      <c r="AG783" s="435"/>
      <c r="AM783" s="437"/>
      <c r="AN783" s="435"/>
      <c r="AO783" s="363"/>
      <c r="AP783" s="435"/>
      <c r="AR783" s="435">
        <f t="shared" si="288"/>
        <v>0</v>
      </c>
    </row>
    <row r="784" spans="1:50" s="222" customFormat="1" ht="15.95" customHeight="1" outlineLevel="2">
      <c r="A784" s="222" t="s">
        <v>419</v>
      </c>
      <c r="B784" s="350"/>
      <c r="C784" s="350"/>
      <c r="D784" s="350"/>
      <c r="E784" s="350"/>
      <c r="F784" s="350"/>
      <c r="G784" s="350"/>
      <c r="H784" s="350"/>
      <c r="I784" s="361"/>
      <c r="J784" s="362"/>
      <c r="K784" s="418"/>
      <c r="L784" s="363"/>
      <c r="M784" s="363"/>
      <c r="N784" s="419"/>
      <c r="O784" s="419"/>
      <c r="P784" s="419"/>
      <c r="Q784" s="420"/>
      <c r="R784" s="427"/>
      <c r="S784" s="284"/>
      <c r="T784" s="427"/>
      <c r="U784" s="427"/>
      <c r="V784" s="427"/>
      <c r="W784" s="428"/>
      <c r="X784" s="382"/>
      <c r="Y784" s="429"/>
      <c r="Z784" s="429"/>
      <c r="AA784" s="382"/>
      <c r="AB784" s="429"/>
      <c r="AC784" s="429">
        <f t="shared" si="287"/>
        <v>0</v>
      </c>
      <c r="AD784" s="429"/>
      <c r="AE784" s="429"/>
      <c r="AF784" s="429"/>
      <c r="AG784" s="429"/>
      <c r="AM784" s="438"/>
      <c r="AN784" s="429"/>
      <c r="AO784" s="363"/>
      <c r="AP784" s="429"/>
      <c r="AR784" s="429">
        <f t="shared" si="288"/>
        <v>0</v>
      </c>
    </row>
    <row r="785" spans="1:50" s="218" customFormat="1" ht="25.5" customHeight="1" outlineLevel="2">
      <c r="A785" s="215" t="s">
        <v>125</v>
      </c>
      <c r="B785" s="151">
        <v>33</v>
      </c>
      <c r="C785" s="151" t="s">
        <v>128</v>
      </c>
      <c r="D785" s="245" t="s">
        <v>149</v>
      </c>
      <c r="E785" s="151" t="s">
        <v>169</v>
      </c>
      <c r="F785" s="151" t="s">
        <v>649</v>
      </c>
      <c r="G785" s="151" t="s">
        <v>37</v>
      </c>
      <c r="H785" s="151" t="s">
        <v>37</v>
      </c>
      <c r="I785" s="256">
        <v>36</v>
      </c>
      <c r="J785" s="151" t="s">
        <v>80</v>
      </c>
      <c r="K785" s="176" t="s">
        <v>1095</v>
      </c>
      <c r="L785" s="245">
        <v>40014803</v>
      </c>
      <c r="M785" s="855"/>
      <c r="N785" s="245" t="s">
        <v>1091</v>
      </c>
      <c r="O785" s="245" t="s">
        <v>1116</v>
      </c>
      <c r="P785" s="245"/>
      <c r="Q785" s="176" t="s">
        <v>1117</v>
      </c>
      <c r="R785" s="273"/>
      <c r="S785" s="274"/>
      <c r="T785" s="327">
        <v>764465000</v>
      </c>
      <c r="U785" s="327"/>
      <c r="V785" s="273"/>
      <c r="W785" s="273"/>
      <c r="X785" s="274"/>
      <c r="Y785" s="275">
        <v>764464200</v>
      </c>
      <c r="Z785" s="275">
        <v>3900000</v>
      </c>
      <c r="AA785" s="296"/>
      <c r="AB785" s="297">
        <v>500000000</v>
      </c>
      <c r="AC785" s="297">
        <f t="shared" si="287"/>
        <v>0</v>
      </c>
      <c r="AD785" s="297">
        <f>+AB785-AC785</f>
        <v>500000000</v>
      </c>
      <c r="AE785" s="297">
        <v>0</v>
      </c>
      <c r="AF785" s="297">
        <v>0</v>
      </c>
      <c r="AG785" s="297">
        <v>0</v>
      </c>
      <c r="AH785" s="297">
        <v>0</v>
      </c>
      <c r="AI785" s="297">
        <v>0</v>
      </c>
      <c r="AJ785" s="297">
        <v>0</v>
      </c>
      <c r="AK785" s="297">
        <v>0</v>
      </c>
      <c r="AL785" s="297">
        <v>0</v>
      </c>
      <c r="AM785" s="297">
        <v>0</v>
      </c>
      <c r="AN785" s="297">
        <v>0</v>
      </c>
      <c r="AO785" s="297">
        <v>0</v>
      </c>
      <c r="AP785" s="297">
        <v>0</v>
      </c>
      <c r="AQ785" s="296"/>
      <c r="AR785" s="297">
        <f t="shared" si="288"/>
        <v>260564200</v>
      </c>
      <c r="AS785" s="313" t="s">
        <v>185</v>
      </c>
      <c r="AT785" s="313" t="s">
        <v>1475</v>
      </c>
      <c r="AU785" s="176" t="s">
        <v>138</v>
      </c>
      <c r="AW785" s="218" t="s">
        <v>1654</v>
      </c>
    </row>
    <row r="786" spans="1:50" s="222" customFormat="1" ht="15.75" customHeight="1" outlineLevel="2">
      <c r="A786" s="222" t="s">
        <v>419</v>
      </c>
      <c r="B786" s="410"/>
      <c r="C786" s="410"/>
      <c r="D786" s="410"/>
      <c r="E786" s="410"/>
      <c r="F786" s="410"/>
      <c r="G786" s="410"/>
      <c r="H786" s="410"/>
      <c r="I786" s="412"/>
      <c r="J786" s="413"/>
      <c r="L786" s="363"/>
      <c r="M786" s="363"/>
      <c r="N786" s="414" t="s">
        <v>1091</v>
      </c>
      <c r="O786" s="415"/>
      <c r="P786" s="415"/>
      <c r="Q786" s="416" t="s">
        <v>420</v>
      </c>
      <c r="R786" s="284"/>
      <c r="S786" s="284"/>
      <c r="T786" s="421">
        <v>95400000</v>
      </c>
      <c r="U786" s="421"/>
      <c r="V786" s="432"/>
      <c r="W786" s="422"/>
      <c r="X786" s="382"/>
      <c r="Y786" s="433"/>
      <c r="Z786" s="433"/>
      <c r="AA786" s="382"/>
      <c r="AB786" s="433"/>
      <c r="AC786" s="433">
        <f t="shared" si="287"/>
        <v>0</v>
      </c>
      <c r="AD786" s="433"/>
      <c r="AE786" s="433"/>
      <c r="AF786" s="433"/>
      <c r="AG786" s="433"/>
      <c r="AM786" s="436"/>
      <c r="AN786" s="433"/>
      <c r="AO786" s="363"/>
      <c r="AP786" s="433"/>
      <c r="AR786" s="433">
        <f t="shared" si="288"/>
        <v>0</v>
      </c>
    </row>
    <row r="787" spans="1:50" s="222" customFormat="1" ht="15.95" customHeight="1" outlineLevel="2">
      <c r="A787" s="222" t="s">
        <v>419</v>
      </c>
      <c r="B787" s="350"/>
      <c r="C787" s="350"/>
      <c r="D787" s="350"/>
      <c r="E787" s="350"/>
      <c r="F787" s="350"/>
      <c r="G787" s="350"/>
      <c r="H787" s="350"/>
      <c r="I787" s="361"/>
      <c r="J787" s="362"/>
      <c r="L787" s="363"/>
      <c r="M787" s="363"/>
      <c r="N787" s="414" t="s">
        <v>1091</v>
      </c>
      <c r="O787" s="250"/>
      <c r="P787" s="250"/>
      <c r="Q787" s="417" t="s">
        <v>1094</v>
      </c>
      <c r="R787" s="284"/>
      <c r="S787" s="284"/>
      <c r="T787" s="424">
        <v>651065000</v>
      </c>
      <c r="U787" s="424"/>
      <c r="V787" s="434"/>
      <c r="W787" s="425"/>
      <c r="X787" s="382"/>
      <c r="Y787" s="435"/>
      <c r="Z787" s="435"/>
      <c r="AA787" s="382"/>
      <c r="AB787" s="435"/>
      <c r="AC787" s="435">
        <f t="shared" si="287"/>
        <v>0</v>
      </c>
      <c r="AD787" s="435"/>
      <c r="AE787" s="435"/>
      <c r="AF787" s="435"/>
      <c r="AG787" s="435"/>
      <c r="AM787" s="437"/>
      <c r="AN787" s="435"/>
      <c r="AO787" s="363"/>
      <c r="AP787" s="435"/>
      <c r="AR787" s="435">
        <f t="shared" si="288"/>
        <v>0</v>
      </c>
    </row>
    <row r="788" spans="1:50" s="222" customFormat="1" ht="15.95" customHeight="1" outlineLevel="2">
      <c r="A788" s="222" t="s">
        <v>419</v>
      </c>
      <c r="B788" s="350"/>
      <c r="C788" s="350"/>
      <c r="D788" s="350"/>
      <c r="E788" s="350"/>
      <c r="F788" s="350"/>
      <c r="G788" s="350"/>
      <c r="H788" s="350"/>
      <c r="I788" s="361"/>
      <c r="J788" s="362"/>
      <c r="L788" s="363"/>
      <c r="M788" s="363"/>
      <c r="N788" s="414" t="s">
        <v>1091</v>
      </c>
      <c r="O788" s="250"/>
      <c r="P788" s="250"/>
      <c r="Q788" s="417" t="s">
        <v>423</v>
      </c>
      <c r="R788" s="284"/>
      <c r="S788" s="284"/>
      <c r="T788" s="424">
        <v>18000000</v>
      </c>
      <c r="U788" s="424"/>
      <c r="V788" s="434"/>
      <c r="W788" s="425"/>
      <c r="X788" s="382"/>
      <c r="Y788" s="435"/>
      <c r="Z788" s="435"/>
      <c r="AA788" s="382"/>
      <c r="AB788" s="435"/>
      <c r="AC788" s="435">
        <f t="shared" si="287"/>
        <v>0</v>
      </c>
      <c r="AD788" s="435"/>
      <c r="AE788" s="435"/>
      <c r="AF788" s="435"/>
      <c r="AG788" s="435"/>
      <c r="AM788" s="437"/>
      <c r="AN788" s="435"/>
      <c r="AO788" s="363"/>
      <c r="AP788" s="435"/>
      <c r="AR788" s="435">
        <f t="shared" si="288"/>
        <v>0</v>
      </c>
    </row>
    <row r="789" spans="1:50" s="222" customFormat="1" ht="15.95" customHeight="1" outlineLevel="2">
      <c r="A789" s="222" t="s">
        <v>419</v>
      </c>
      <c r="B789" s="350"/>
      <c r="C789" s="350"/>
      <c r="D789" s="350"/>
      <c r="E789" s="350"/>
      <c r="F789" s="350"/>
      <c r="G789" s="350"/>
      <c r="H789" s="350"/>
      <c r="I789" s="361"/>
      <c r="J789" s="362"/>
      <c r="K789" s="418"/>
      <c r="L789" s="363"/>
      <c r="M789" s="363"/>
      <c r="N789" s="419"/>
      <c r="O789" s="419"/>
      <c r="P789" s="419"/>
      <c r="Q789" s="420"/>
      <c r="R789" s="427"/>
      <c r="S789" s="284"/>
      <c r="T789" s="427"/>
      <c r="U789" s="427"/>
      <c r="V789" s="427"/>
      <c r="W789" s="428"/>
      <c r="X789" s="382"/>
      <c r="Y789" s="429"/>
      <c r="Z789" s="429"/>
      <c r="AA789" s="382"/>
      <c r="AB789" s="429"/>
      <c r="AC789" s="429">
        <f t="shared" si="287"/>
        <v>0</v>
      </c>
      <c r="AD789" s="429"/>
      <c r="AE789" s="429"/>
      <c r="AF789" s="429"/>
      <c r="AG789" s="429"/>
      <c r="AM789" s="438"/>
      <c r="AN789" s="429"/>
      <c r="AO789" s="363"/>
      <c r="AP789" s="429"/>
      <c r="AR789" s="429">
        <f t="shared" si="288"/>
        <v>0</v>
      </c>
    </row>
    <row r="790" spans="1:50" s="218" customFormat="1" ht="25.5" customHeight="1" outlineLevel="2">
      <c r="A790" s="215" t="s">
        <v>125</v>
      </c>
      <c r="B790" s="151">
        <v>33</v>
      </c>
      <c r="C790" s="151" t="s">
        <v>128</v>
      </c>
      <c r="D790" s="245" t="s">
        <v>648</v>
      </c>
      <c r="E790" s="151" t="s">
        <v>169</v>
      </c>
      <c r="F790" s="151" t="s">
        <v>649</v>
      </c>
      <c r="G790" s="151" t="s">
        <v>37</v>
      </c>
      <c r="H790" s="151" t="s">
        <v>37</v>
      </c>
      <c r="I790" s="256">
        <v>36</v>
      </c>
      <c r="J790" s="151" t="s">
        <v>80</v>
      </c>
      <c r="K790" s="176" t="s">
        <v>1095</v>
      </c>
      <c r="L790" s="245">
        <v>30137060</v>
      </c>
      <c r="M790" s="855"/>
      <c r="N790" s="245" t="s">
        <v>1118</v>
      </c>
      <c r="O790" s="245" t="s">
        <v>1119</v>
      </c>
      <c r="P790" s="245"/>
      <c r="Q790" s="176" t="s">
        <v>1120</v>
      </c>
      <c r="R790" s="273"/>
      <c r="S790" s="274"/>
      <c r="T790" s="327">
        <v>1619231000</v>
      </c>
      <c r="U790" s="327"/>
      <c r="V790" s="273"/>
      <c r="W790" s="273"/>
      <c r="X790" s="274"/>
      <c r="Y790" s="275">
        <v>2332740000</v>
      </c>
      <c r="Z790" s="275">
        <v>2286596682</v>
      </c>
      <c r="AA790" s="296"/>
      <c r="AB790" s="297">
        <v>45892901</v>
      </c>
      <c r="AC790" s="297">
        <f t="shared" si="287"/>
        <v>0</v>
      </c>
      <c r="AD790" s="297">
        <f>+AB790-AC790</f>
        <v>45892901</v>
      </c>
      <c r="AE790" s="297">
        <v>0</v>
      </c>
      <c r="AF790" s="297">
        <v>0</v>
      </c>
      <c r="AG790" s="297">
        <v>0</v>
      </c>
      <c r="AH790" s="297">
        <v>0</v>
      </c>
      <c r="AI790" s="297">
        <v>0</v>
      </c>
      <c r="AJ790" s="297">
        <v>0</v>
      </c>
      <c r="AK790" s="297">
        <v>0</v>
      </c>
      <c r="AL790" s="297">
        <v>0</v>
      </c>
      <c r="AM790" s="297">
        <v>0</v>
      </c>
      <c r="AN790" s="297">
        <v>0</v>
      </c>
      <c r="AO790" s="297">
        <v>0</v>
      </c>
      <c r="AP790" s="297">
        <v>0</v>
      </c>
      <c r="AQ790" s="296"/>
      <c r="AR790" s="297">
        <f t="shared" si="288"/>
        <v>250417</v>
      </c>
      <c r="AS790" s="313" t="s">
        <v>185</v>
      </c>
      <c r="AT790" s="313" t="s">
        <v>1475</v>
      </c>
      <c r="AU790" s="176" t="s">
        <v>138</v>
      </c>
      <c r="AX790" s="218" t="s">
        <v>1638</v>
      </c>
    </row>
    <row r="791" spans="1:50" s="222" customFormat="1" ht="15.75" customHeight="1" outlineLevel="2">
      <c r="A791" s="222" t="s">
        <v>419</v>
      </c>
      <c r="B791" s="410"/>
      <c r="C791" s="410"/>
      <c r="D791" s="410"/>
      <c r="E791" s="410"/>
      <c r="F791" s="410"/>
      <c r="G791" s="410"/>
      <c r="H791" s="410"/>
      <c r="I791" s="412"/>
      <c r="J791" s="413"/>
      <c r="L791" s="363"/>
      <c r="M791" s="363"/>
      <c r="N791" s="414" t="s">
        <v>1118</v>
      </c>
      <c r="O791" s="415"/>
      <c r="P791" s="415"/>
      <c r="Q791" s="416" t="s">
        <v>420</v>
      </c>
      <c r="R791" s="284"/>
      <c r="S791" s="284"/>
      <c r="T791" s="421">
        <v>96571000</v>
      </c>
      <c r="U791" s="421"/>
      <c r="V791" s="432"/>
      <c r="W791" s="422"/>
      <c r="X791" s="382"/>
      <c r="Y791" s="433"/>
      <c r="Z791" s="433"/>
      <c r="AA791" s="382"/>
      <c r="AB791" s="433"/>
      <c r="AC791" s="433">
        <f t="shared" si="287"/>
        <v>0</v>
      </c>
      <c r="AD791" s="433"/>
      <c r="AE791" s="433"/>
      <c r="AF791" s="433"/>
      <c r="AG791" s="433"/>
      <c r="AM791" s="436"/>
      <c r="AN791" s="433"/>
      <c r="AO791" s="363"/>
      <c r="AP791" s="433"/>
      <c r="AR791" s="433">
        <f t="shared" si="288"/>
        <v>0</v>
      </c>
    </row>
    <row r="792" spans="1:50" s="222" customFormat="1" ht="15.95" customHeight="1" outlineLevel="2">
      <c r="A792" s="222" t="s">
        <v>419</v>
      </c>
      <c r="B792" s="350"/>
      <c r="C792" s="350"/>
      <c r="D792" s="350"/>
      <c r="E792" s="350"/>
      <c r="F792" s="350"/>
      <c r="G792" s="350"/>
      <c r="H792" s="350"/>
      <c r="I792" s="361"/>
      <c r="J792" s="362"/>
      <c r="L792" s="363"/>
      <c r="M792" s="363"/>
      <c r="N792" s="414" t="s">
        <v>1118</v>
      </c>
      <c r="O792" s="250"/>
      <c r="P792" s="250"/>
      <c r="Q792" s="417" t="s">
        <v>1094</v>
      </c>
      <c r="R792" s="284"/>
      <c r="S792" s="284"/>
      <c r="T792" s="424">
        <v>1511015000</v>
      </c>
      <c r="U792" s="424"/>
      <c r="V792" s="434"/>
      <c r="W792" s="425"/>
      <c r="X792" s="382"/>
      <c r="Y792" s="435"/>
      <c r="Z792" s="435"/>
      <c r="AA792" s="382"/>
      <c r="AB792" s="435"/>
      <c r="AC792" s="435">
        <f t="shared" si="287"/>
        <v>0</v>
      </c>
      <c r="AD792" s="435"/>
      <c r="AE792" s="435"/>
      <c r="AF792" s="435"/>
      <c r="AG792" s="435"/>
      <c r="AM792" s="437"/>
      <c r="AN792" s="435"/>
      <c r="AO792" s="363"/>
      <c r="AP792" s="435"/>
      <c r="AR792" s="435">
        <f t="shared" si="288"/>
        <v>0</v>
      </c>
    </row>
    <row r="793" spans="1:50" s="222" customFormat="1" ht="15.95" customHeight="1" outlineLevel="2">
      <c r="A793" s="222" t="s">
        <v>419</v>
      </c>
      <c r="B793" s="350"/>
      <c r="C793" s="350"/>
      <c r="D793" s="350"/>
      <c r="E793" s="350"/>
      <c r="F793" s="350"/>
      <c r="G793" s="350"/>
      <c r="H793" s="350"/>
      <c r="I793" s="361"/>
      <c r="J793" s="362"/>
      <c r="L793" s="363"/>
      <c r="M793" s="363"/>
      <c r="N793" s="414" t="s">
        <v>1118</v>
      </c>
      <c r="O793" s="250"/>
      <c r="P793" s="250"/>
      <c r="Q793" s="417" t="s">
        <v>423</v>
      </c>
      <c r="R793" s="284"/>
      <c r="S793" s="284"/>
      <c r="T793" s="424">
        <v>11645000</v>
      </c>
      <c r="U793" s="424"/>
      <c r="V793" s="434"/>
      <c r="W793" s="425"/>
      <c r="X793" s="382"/>
      <c r="Y793" s="435"/>
      <c r="Z793" s="435"/>
      <c r="AA793" s="382"/>
      <c r="AB793" s="435"/>
      <c r="AC793" s="435">
        <f t="shared" si="287"/>
        <v>0</v>
      </c>
      <c r="AD793" s="435"/>
      <c r="AE793" s="435"/>
      <c r="AF793" s="435"/>
      <c r="AG793" s="435"/>
      <c r="AM793" s="437"/>
      <c r="AN793" s="435"/>
      <c r="AO793" s="363"/>
      <c r="AP793" s="435"/>
      <c r="AR793" s="435">
        <f t="shared" si="288"/>
        <v>0</v>
      </c>
    </row>
    <row r="794" spans="1:50" s="222" customFormat="1" ht="15.95" customHeight="1" outlineLevel="2">
      <c r="A794" s="222" t="s">
        <v>419</v>
      </c>
      <c r="B794" s="350"/>
      <c r="C794" s="350"/>
      <c r="D794" s="350"/>
      <c r="E794" s="350"/>
      <c r="F794" s="350"/>
      <c r="G794" s="350"/>
      <c r="H794" s="350"/>
      <c r="I794" s="361"/>
      <c r="J794" s="362"/>
      <c r="K794" s="418"/>
      <c r="L794" s="363"/>
      <c r="M794" s="363"/>
      <c r="N794" s="419"/>
      <c r="O794" s="419"/>
      <c r="P794" s="419"/>
      <c r="Q794" s="420"/>
      <c r="R794" s="427"/>
      <c r="S794" s="284"/>
      <c r="T794" s="427"/>
      <c r="U794" s="427"/>
      <c r="V794" s="427"/>
      <c r="W794" s="428"/>
      <c r="X794" s="382"/>
      <c r="Y794" s="429"/>
      <c r="Z794" s="429"/>
      <c r="AA794" s="382"/>
      <c r="AB794" s="429"/>
      <c r="AC794" s="429">
        <f t="shared" si="287"/>
        <v>0</v>
      </c>
      <c r="AD794" s="429"/>
      <c r="AE794" s="429"/>
      <c r="AF794" s="429"/>
      <c r="AG794" s="429"/>
      <c r="AM794" s="438"/>
      <c r="AN794" s="429"/>
      <c r="AO794" s="363"/>
      <c r="AP794" s="429"/>
      <c r="AR794" s="429">
        <f t="shared" si="288"/>
        <v>0</v>
      </c>
    </row>
    <row r="795" spans="1:50" s="218" customFormat="1" ht="25.5" customHeight="1" outlineLevel="2">
      <c r="A795" s="215" t="s">
        <v>125</v>
      </c>
      <c r="B795" s="151">
        <v>33</v>
      </c>
      <c r="C795" s="151" t="s">
        <v>128</v>
      </c>
      <c r="D795" s="245" t="s">
        <v>648</v>
      </c>
      <c r="E795" s="151" t="s">
        <v>169</v>
      </c>
      <c r="F795" s="151" t="s">
        <v>649</v>
      </c>
      <c r="G795" s="151" t="s">
        <v>37</v>
      </c>
      <c r="H795" s="151" t="s">
        <v>37</v>
      </c>
      <c r="I795" s="256">
        <v>36</v>
      </c>
      <c r="J795" s="151" t="s">
        <v>80</v>
      </c>
      <c r="K795" s="176" t="s">
        <v>1095</v>
      </c>
      <c r="L795" s="245">
        <v>30433775</v>
      </c>
      <c r="M795" s="855"/>
      <c r="N795" s="245" t="s">
        <v>1091</v>
      </c>
      <c r="O795" s="245" t="s">
        <v>1121</v>
      </c>
      <c r="P795" s="245"/>
      <c r="Q795" s="176" t="s">
        <v>1122</v>
      </c>
      <c r="R795" s="273"/>
      <c r="S795" s="274"/>
      <c r="T795" s="327">
        <v>491966000</v>
      </c>
      <c r="U795" s="327"/>
      <c r="V795" s="273"/>
      <c r="W795" s="273"/>
      <c r="X795" s="274"/>
      <c r="Y795" s="275">
        <v>499999334</v>
      </c>
      <c r="Z795" s="275">
        <v>495707192</v>
      </c>
      <c r="AA795" s="296"/>
      <c r="AB795" s="297">
        <v>1190000</v>
      </c>
      <c r="AC795" s="297">
        <f t="shared" si="287"/>
        <v>0</v>
      </c>
      <c r="AD795" s="297">
        <f>+AB795-AC795</f>
        <v>1190000</v>
      </c>
      <c r="AE795" s="297">
        <v>0</v>
      </c>
      <c r="AF795" s="297">
        <v>0</v>
      </c>
      <c r="AG795" s="297">
        <v>0</v>
      </c>
      <c r="AH795" s="297">
        <v>0</v>
      </c>
      <c r="AI795" s="297">
        <v>0</v>
      </c>
      <c r="AJ795" s="297">
        <v>0</v>
      </c>
      <c r="AK795" s="297">
        <v>0</v>
      </c>
      <c r="AL795" s="297">
        <v>0</v>
      </c>
      <c r="AM795" s="297">
        <v>0</v>
      </c>
      <c r="AN795" s="297">
        <v>0</v>
      </c>
      <c r="AO795" s="297">
        <v>0</v>
      </c>
      <c r="AP795" s="297">
        <v>0</v>
      </c>
      <c r="AQ795" s="296"/>
      <c r="AR795" s="297">
        <f t="shared" si="288"/>
        <v>3102142</v>
      </c>
      <c r="AS795" s="313" t="s">
        <v>185</v>
      </c>
      <c r="AT795" s="313" t="s">
        <v>1475</v>
      </c>
      <c r="AU795" s="176" t="s">
        <v>138</v>
      </c>
      <c r="AW795" s="218" t="s">
        <v>1656</v>
      </c>
    </row>
    <row r="796" spans="1:50" s="222" customFormat="1" ht="15.75" customHeight="1" outlineLevel="2">
      <c r="A796" s="222" t="s">
        <v>419</v>
      </c>
      <c r="B796" s="410"/>
      <c r="C796" s="410"/>
      <c r="D796" s="410"/>
      <c r="E796" s="410"/>
      <c r="F796" s="410"/>
      <c r="G796" s="410"/>
      <c r="H796" s="410"/>
      <c r="I796" s="412"/>
      <c r="J796" s="413"/>
      <c r="L796" s="363"/>
      <c r="M796" s="363"/>
      <c r="N796" s="414" t="s">
        <v>1091</v>
      </c>
      <c r="O796" s="415"/>
      <c r="P796" s="415"/>
      <c r="Q796" s="416" t="s">
        <v>420</v>
      </c>
      <c r="R796" s="284"/>
      <c r="S796" s="284"/>
      <c r="T796" s="421">
        <v>73287000</v>
      </c>
      <c r="U796" s="421"/>
      <c r="V796" s="432"/>
      <c r="W796" s="422"/>
      <c r="X796" s="382"/>
      <c r="Y796" s="433"/>
      <c r="Z796" s="433"/>
      <c r="AA796" s="382"/>
      <c r="AB796" s="433"/>
      <c r="AC796" s="433">
        <f t="shared" si="287"/>
        <v>0</v>
      </c>
      <c r="AD796" s="433"/>
      <c r="AE796" s="433"/>
      <c r="AF796" s="433"/>
      <c r="AG796" s="433"/>
      <c r="AM796" s="436"/>
      <c r="AN796" s="433"/>
      <c r="AO796" s="363"/>
      <c r="AP796" s="433"/>
      <c r="AR796" s="433">
        <f t="shared" si="288"/>
        <v>0</v>
      </c>
    </row>
    <row r="797" spans="1:50" s="222" customFormat="1" ht="15.95" customHeight="1" outlineLevel="2">
      <c r="A797" s="222" t="s">
        <v>419</v>
      </c>
      <c r="B797" s="350"/>
      <c r="C797" s="350"/>
      <c r="D797" s="350"/>
      <c r="E797" s="350"/>
      <c r="F797" s="350"/>
      <c r="G797" s="350"/>
      <c r="H797" s="350"/>
      <c r="I797" s="361"/>
      <c r="J797" s="362"/>
      <c r="L797" s="363"/>
      <c r="M797" s="363"/>
      <c r="N797" s="414" t="s">
        <v>1091</v>
      </c>
      <c r="O797" s="250"/>
      <c r="P797" s="250"/>
      <c r="Q797" s="417" t="s">
        <v>1094</v>
      </c>
      <c r="R797" s="284"/>
      <c r="S797" s="284"/>
      <c r="T797" s="424">
        <v>409373000</v>
      </c>
      <c r="U797" s="424"/>
      <c r="V797" s="434"/>
      <c r="W797" s="425"/>
      <c r="X797" s="382"/>
      <c r="Y797" s="435"/>
      <c r="Z797" s="435"/>
      <c r="AA797" s="382"/>
      <c r="AB797" s="435"/>
      <c r="AC797" s="435">
        <f t="shared" si="287"/>
        <v>0</v>
      </c>
      <c r="AD797" s="435"/>
      <c r="AE797" s="435"/>
      <c r="AF797" s="435"/>
      <c r="AG797" s="435"/>
      <c r="AM797" s="437"/>
      <c r="AN797" s="435"/>
      <c r="AO797" s="363"/>
      <c r="AP797" s="435"/>
      <c r="AR797" s="435">
        <f t="shared" si="288"/>
        <v>0</v>
      </c>
    </row>
    <row r="798" spans="1:50" s="222" customFormat="1" ht="15.95" customHeight="1" outlineLevel="2">
      <c r="A798" s="222" t="s">
        <v>419</v>
      </c>
      <c r="B798" s="350"/>
      <c r="C798" s="350"/>
      <c r="D798" s="350"/>
      <c r="E798" s="350"/>
      <c r="F798" s="350"/>
      <c r="G798" s="350"/>
      <c r="H798" s="350"/>
      <c r="I798" s="361"/>
      <c r="J798" s="362"/>
      <c r="L798" s="363"/>
      <c r="M798" s="363"/>
      <c r="N798" s="414" t="s">
        <v>1091</v>
      </c>
      <c r="O798" s="250"/>
      <c r="P798" s="250"/>
      <c r="Q798" s="417" t="s">
        <v>423</v>
      </c>
      <c r="R798" s="284"/>
      <c r="S798" s="284"/>
      <c r="T798" s="424">
        <v>9306000</v>
      </c>
      <c r="U798" s="424"/>
      <c r="V798" s="434"/>
      <c r="W798" s="425"/>
      <c r="X798" s="382"/>
      <c r="Y798" s="435"/>
      <c r="Z798" s="435"/>
      <c r="AA798" s="382"/>
      <c r="AB798" s="435"/>
      <c r="AC798" s="435">
        <f t="shared" si="287"/>
        <v>0</v>
      </c>
      <c r="AD798" s="435"/>
      <c r="AE798" s="435"/>
      <c r="AF798" s="435"/>
      <c r="AG798" s="435"/>
      <c r="AM798" s="437"/>
      <c r="AN798" s="435"/>
      <c r="AO798" s="363"/>
      <c r="AP798" s="435"/>
      <c r="AR798" s="435">
        <f t="shared" si="288"/>
        <v>0</v>
      </c>
    </row>
    <row r="799" spans="1:50" s="222" customFormat="1" ht="15.95" customHeight="1" outlineLevel="2">
      <c r="A799" s="222" t="s">
        <v>419</v>
      </c>
      <c r="B799" s="350"/>
      <c r="C799" s="350"/>
      <c r="D799" s="350"/>
      <c r="E799" s="350"/>
      <c r="F799" s="350"/>
      <c r="G799" s="350"/>
      <c r="H799" s="350"/>
      <c r="I799" s="361"/>
      <c r="J799" s="362"/>
      <c r="K799" s="361"/>
      <c r="L799" s="363"/>
      <c r="M799" s="363"/>
      <c r="N799" s="419"/>
      <c r="O799" s="419"/>
      <c r="P799" s="419"/>
      <c r="Q799" s="420"/>
      <c r="R799" s="427"/>
      <c r="S799" s="284"/>
      <c r="T799" s="427"/>
      <c r="U799" s="427"/>
      <c r="V799" s="427"/>
      <c r="W799" s="428"/>
      <c r="X799" s="382"/>
      <c r="Y799" s="429"/>
      <c r="Z799" s="429"/>
      <c r="AA799" s="382"/>
      <c r="AB799" s="429"/>
      <c r="AC799" s="429">
        <f t="shared" si="287"/>
        <v>0</v>
      </c>
      <c r="AD799" s="429"/>
      <c r="AE799" s="429"/>
      <c r="AF799" s="429"/>
      <c r="AG799" s="429"/>
      <c r="AM799" s="438"/>
      <c r="AN799" s="429"/>
      <c r="AO799" s="363"/>
      <c r="AP799" s="429"/>
      <c r="AR799" s="429">
        <f t="shared" si="288"/>
        <v>0</v>
      </c>
    </row>
    <row r="800" spans="1:50" s="218" customFormat="1" ht="25.5" customHeight="1" outlineLevel="2">
      <c r="A800" s="215" t="s">
        <v>125</v>
      </c>
      <c r="B800" s="151">
        <v>33</v>
      </c>
      <c r="C800" s="151" t="s">
        <v>128</v>
      </c>
      <c r="D800" s="245" t="s">
        <v>618</v>
      </c>
      <c r="E800" s="151" t="s">
        <v>169</v>
      </c>
      <c r="F800" s="151" t="s">
        <v>649</v>
      </c>
      <c r="G800" s="151" t="s">
        <v>37</v>
      </c>
      <c r="H800" s="151" t="s">
        <v>37</v>
      </c>
      <c r="I800" s="256">
        <v>36</v>
      </c>
      <c r="J800" s="151" t="s">
        <v>80</v>
      </c>
      <c r="K800" s="176" t="s">
        <v>1095</v>
      </c>
      <c r="L800" s="245">
        <v>30378428</v>
      </c>
      <c r="M800" s="855"/>
      <c r="N800" s="245" t="s">
        <v>1118</v>
      </c>
      <c r="O800" s="245" t="s">
        <v>1123</v>
      </c>
      <c r="P800" s="245"/>
      <c r="Q800" s="176" t="s">
        <v>1124</v>
      </c>
      <c r="R800" s="273"/>
      <c r="S800" s="274"/>
      <c r="T800" s="327">
        <v>205198000</v>
      </c>
      <c r="U800" s="327"/>
      <c r="V800" s="273"/>
      <c r="W800" s="273"/>
      <c r="X800" s="274"/>
      <c r="Y800" s="275">
        <v>563347000</v>
      </c>
      <c r="Z800" s="275">
        <v>452344503</v>
      </c>
      <c r="AA800" s="296"/>
      <c r="AB800" s="297">
        <v>102527826</v>
      </c>
      <c r="AC800" s="297">
        <f t="shared" si="287"/>
        <v>0</v>
      </c>
      <c r="AD800" s="297">
        <f>+AB800-AC800</f>
        <v>102527826</v>
      </c>
      <c r="AE800" s="297">
        <v>0</v>
      </c>
      <c r="AF800" s="297">
        <v>0</v>
      </c>
      <c r="AG800" s="297">
        <v>0</v>
      </c>
      <c r="AH800" s="297">
        <v>0</v>
      </c>
      <c r="AI800" s="297">
        <v>0</v>
      </c>
      <c r="AJ800" s="297">
        <v>0</v>
      </c>
      <c r="AK800" s="297">
        <v>0</v>
      </c>
      <c r="AL800" s="297">
        <v>0</v>
      </c>
      <c r="AM800" s="297">
        <v>0</v>
      </c>
      <c r="AN800" s="297">
        <v>0</v>
      </c>
      <c r="AO800" s="297">
        <v>0</v>
      </c>
      <c r="AP800" s="297">
        <v>0</v>
      </c>
      <c r="AQ800" s="296"/>
      <c r="AR800" s="297">
        <f t="shared" si="288"/>
        <v>8474671</v>
      </c>
      <c r="AS800" s="313" t="s">
        <v>185</v>
      </c>
      <c r="AT800" s="313" t="s">
        <v>1475</v>
      </c>
      <c r="AU800" s="176" t="s">
        <v>138</v>
      </c>
      <c r="AW800" s="218" t="s">
        <v>1654</v>
      </c>
    </row>
    <row r="801" spans="1:50" s="222" customFormat="1" ht="15.95" customHeight="1" outlineLevel="2">
      <c r="A801" s="222" t="s">
        <v>419</v>
      </c>
      <c r="B801" s="350"/>
      <c r="C801" s="350"/>
      <c r="D801" s="350"/>
      <c r="E801" s="350"/>
      <c r="F801" s="350"/>
      <c r="G801" s="350"/>
      <c r="H801" s="350"/>
      <c r="I801" s="361"/>
      <c r="J801" s="362"/>
      <c r="L801" s="363"/>
      <c r="M801" s="363"/>
      <c r="N801" s="414" t="s">
        <v>1118</v>
      </c>
      <c r="O801" s="250"/>
      <c r="P801" s="250"/>
      <c r="Q801" s="417" t="s">
        <v>1094</v>
      </c>
      <c r="R801" s="284"/>
      <c r="S801" s="284"/>
      <c r="T801" s="424">
        <v>197559000</v>
      </c>
      <c r="U801" s="424"/>
      <c r="V801" s="434"/>
      <c r="W801" s="425"/>
      <c r="X801" s="382"/>
      <c r="Y801" s="435"/>
      <c r="Z801" s="435"/>
      <c r="AA801" s="382"/>
      <c r="AB801" s="435"/>
      <c r="AC801" s="435">
        <f t="shared" si="287"/>
        <v>0</v>
      </c>
      <c r="AD801" s="435"/>
      <c r="AE801" s="435"/>
      <c r="AF801" s="435"/>
      <c r="AG801" s="435"/>
      <c r="AM801" s="437"/>
      <c r="AN801" s="435"/>
      <c r="AO801" s="363"/>
      <c r="AP801" s="435"/>
      <c r="AR801" s="435">
        <f t="shared" si="288"/>
        <v>0</v>
      </c>
    </row>
    <row r="802" spans="1:50" s="222" customFormat="1" ht="15.95" customHeight="1" outlineLevel="2">
      <c r="A802" s="222" t="s">
        <v>419</v>
      </c>
      <c r="B802" s="350"/>
      <c r="C802" s="350"/>
      <c r="D802" s="350"/>
      <c r="E802" s="350"/>
      <c r="F802" s="350"/>
      <c r="G802" s="350"/>
      <c r="H802" s="350"/>
      <c r="I802" s="361"/>
      <c r="J802" s="362"/>
      <c r="L802" s="363"/>
      <c r="M802" s="363"/>
      <c r="N802" s="414" t="s">
        <v>1118</v>
      </c>
      <c r="O802" s="250"/>
      <c r="P802" s="250"/>
      <c r="Q802" s="417" t="s">
        <v>423</v>
      </c>
      <c r="R802" s="284"/>
      <c r="S802" s="284"/>
      <c r="T802" s="424">
        <v>7639000</v>
      </c>
      <c r="U802" s="424"/>
      <c r="V802" s="434"/>
      <c r="W802" s="425"/>
      <c r="X802" s="382"/>
      <c r="Y802" s="435"/>
      <c r="Z802" s="435"/>
      <c r="AA802" s="382"/>
      <c r="AB802" s="435"/>
      <c r="AC802" s="435">
        <f t="shared" si="287"/>
        <v>0</v>
      </c>
      <c r="AD802" s="435"/>
      <c r="AE802" s="435"/>
      <c r="AF802" s="435"/>
      <c r="AG802" s="435"/>
      <c r="AM802" s="437"/>
      <c r="AN802" s="435"/>
      <c r="AO802" s="363"/>
      <c r="AP802" s="435"/>
      <c r="AR802" s="435">
        <f t="shared" ref="AR802:AR833" si="289">+Y802-Z802-AC802-AD802</f>
        <v>0</v>
      </c>
    </row>
    <row r="803" spans="1:50" s="222" customFormat="1" ht="15.95" customHeight="1" outlineLevel="2">
      <c r="A803" s="222" t="s">
        <v>419</v>
      </c>
      <c r="B803" s="350"/>
      <c r="C803" s="350"/>
      <c r="D803" s="350"/>
      <c r="E803" s="350"/>
      <c r="F803" s="350"/>
      <c r="G803" s="350"/>
      <c r="H803" s="350"/>
      <c r="I803" s="361"/>
      <c r="J803" s="362"/>
      <c r="K803" s="418"/>
      <c r="L803" s="363"/>
      <c r="M803" s="363"/>
      <c r="N803" s="419"/>
      <c r="O803" s="419"/>
      <c r="P803" s="419"/>
      <c r="Q803" s="420"/>
      <c r="R803" s="427"/>
      <c r="S803" s="284"/>
      <c r="T803" s="427"/>
      <c r="U803" s="427"/>
      <c r="V803" s="427"/>
      <c r="W803" s="428"/>
      <c r="X803" s="382"/>
      <c r="Y803" s="429"/>
      <c r="Z803" s="429"/>
      <c r="AA803" s="382"/>
      <c r="AB803" s="429"/>
      <c r="AC803" s="429">
        <f t="shared" si="287"/>
        <v>0</v>
      </c>
      <c r="AD803" s="429"/>
      <c r="AE803" s="429"/>
      <c r="AF803" s="429"/>
      <c r="AG803" s="429"/>
      <c r="AM803" s="438"/>
      <c r="AN803" s="429"/>
      <c r="AO803" s="363"/>
      <c r="AP803" s="429"/>
      <c r="AR803" s="429">
        <f t="shared" si="289"/>
        <v>0</v>
      </c>
    </row>
    <row r="804" spans="1:50" s="218" customFormat="1" ht="25.5" customHeight="1" outlineLevel="2">
      <c r="A804" s="215" t="s">
        <v>125</v>
      </c>
      <c r="B804" s="151">
        <v>33</v>
      </c>
      <c r="C804" s="151" t="s">
        <v>128</v>
      </c>
      <c r="D804" s="245" t="s">
        <v>648</v>
      </c>
      <c r="E804" s="151" t="s">
        <v>169</v>
      </c>
      <c r="F804" s="151" t="s">
        <v>649</v>
      </c>
      <c r="G804" s="151" t="s">
        <v>37</v>
      </c>
      <c r="H804" s="151" t="s">
        <v>37</v>
      </c>
      <c r="I804" s="256">
        <v>36</v>
      </c>
      <c r="J804" s="151" t="s">
        <v>80</v>
      </c>
      <c r="K804" s="176" t="s">
        <v>1102</v>
      </c>
      <c r="L804" s="245">
        <v>30482019</v>
      </c>
      <c r="M804" s="855"/>
      <c r="N804" s="245" t="s">
        <v>1091</v>
      </c>
      <c r="O804" s="245" t="s">
        <v>1125</v>
      </c>
      <c r="P804" s="245"/>
      <c r="Q804" s="176" t="s">
        <v>1126</v>
      </c>
      <c r="R804" s="273"/>
      <c r="S804" s="274"/>
      <c r="T804" s="327">
        <v>413028000</v>
      </c>
      <c r="U804" s="327"/>
      <c r="V804" s="273"/>
      <c r="W804" s="273"/>
      <c r="X804" s="274"/>
      <c r="Y804" s="275">
        <v>400000000</v>
      </c>
      <c r="Z804" s="275">
        <v>145063966</v>
      </c>
      <c r="AA804" s="296"/>
      <c r="AB804" s="297">
        <f>200000000-3555000</f>
        <v>196445000</v>
      </c>
      <c r="AC804" s="297">
        <f t="shared" si="287"/>
        <v>6250927</v>
      </c>
      <c r="AD804" s="297">
        <f>+AB804-AC804</f>
        <v>190194073</v>
      </c>
      <c r="AE804" s="297">
        <v>0</v>
      </c>
      <c r="AF804" s="297">
        <v>0</v>
      </c>
      <c r="AG804" s="297">
        <v>0</v>
      </c>
      <c r="AH804" s="297">
        <v>0</v>
      </c>
      <c r="AI804" s="297">
        <v>0</v>
      </c>
      <c r="AJ804" s="297">
        <v>0</v>
      </c>
      <c r="AK804" s="297">
        <v>0</v>
      </c>
      <c r="AL804" s="297">
        <v>0</v>
      </c>
      <c r="AM804" s="297">
        <v>0</v>
      </c>
      <c r="AN804" s="297">
        <v>6250927</v>
      </c>
      <c r="AO804" s="297">
        <v>0</v>
      </c>
      <c r="AP804" s="297">
        <v>0</v>
      </c>
      <c r="AQ804" s="296"/>
      <c r="AR804" s="297">
        <f t="shared" si="289"/>
        <v>58491034</v>
      </c>
      <c r="AS804" s="313" t="s">
        <v>185</v>
      </c>
      <c r="AT804" s="313" t="s">
        <v>1475</v>
      </c>
      <c r="AU804" s="176" t="s">
        <v>138</v>
      </c>
      <c r="AW804" s="218" t="s">
        <v>1635</v>
      </c>
      <c r="AX804" s="218" t="s">
        <v>1638</v>
      </c>
    </row>
    <row r="805" spans="1:50" s="222" customFormat="1" ht="15.75" customHeight="1" outlineLevel="2">
      <c r="A805" s="222" t="s">
        <v>419</v>
      </c>
      <c r="B805" s="410"/>
      <c r="C805" s="410"/>
      <c r="D805" s="410"/>
      <c r="E805" s="410"/>
      <c r="F805" s="410"/>
      <c r="G805" s="410"/>
      <c r="H805" s="410"/>
      <c r="I805" s="412"/>
      <c r="J805" s="413"/>
      <c r="L805" s="363"/>
      <c r="M805" s="363"/>
      <c r="N805" s="414" t="s">
        <v>1091</v>
      </c>
      <c r="O805" s="415"/>
      <c r="P805" s="415"/>
      <c r="Q805" s="416" t="s">
        <v>1094</v>
      </c>
      <c r="R805" s="284"/>
      <c r="S805" s="284"/>
      <c r="T805" s="421">
        <v>407878000</v>
      </c>
      <c r="U805" s="421"/>
      <c r="V805" s="432"/>
      <c r="W805" s="422"/>
      <c r="X805" s="382"/>
      <c r="Y805" s="433"/>
      <c r="Z805" s="433"/>
      <c r="AA805" s="382"/>
      <c r="AB805" s="433"/>
      <c r="AC805" s="433">
        <f t="shared" si="287"/>
        <v>0</v>
      </c>
      <c r="AD805" s="433"/>
      <c r="AE805" s="433"/>
      <c r="AF805" s="433"/>
      <c r="AG805" s="433"/>
      <c r="AM805" s="436"/>
      <c r="AN805" s="433"/>
      <c r="AO805" s="363"/>
      <c r="AP805" s="433"/>
      <c r="AR805" s="433">
        <f t="shared" si="289"/>
        <v>0</v>
      </c>
    </row>
    <row r="806" spans="1:50" s="222" customFormat="1" ht="15.95" customHeight="1" outlineLevel="2">
      <c r="A806" s="222" t="s">
        <v>419</v>
      </c>
      <c r="B806" s="350"/>
      <c r="C806" s="350"/>
      <c r="D806" s="350"/>
      <c r="E806" s="350"/>
      <c r="F806" s="350"/>
      <c r="G806" s="350"/>
      <c r="H806" s="350"/>
      <c r="I806" s="361"/>
      <c r="J806" s="362"/>
      <c r="L806" s="363"/>
      <c r="M806" s="363"/>
      <c r="N806" s="414" t="s">
        <v>1091</v>
      </c>
      <c r="O806" s="250"/>
      <c r="P806" s="250"/>
      <c r="Q806" s="417" t="s">
        <v>423</v>
      </c>
      <c r="R806" s="284"/>
      <c r="S806" s="284"/>
      <c r="T806" s="424">
        <v>5150000</v>
      </c>
      <c r="U806" s="424"/>
      <c r="V806" s="434"/>
      <c r="W806" s="425"/>
      <c r="X806" s="382"/>
      <c r="Y806" s="435"/>
      <c r="Z806" s="435"/>
      <c r="AA806" s="382"/>
      <c r="AB806" s="435"/>
      <c r="AC806" s="435">
        <f t="shared" si="287"/>
        <v>0</v>
      </c>
      <c r="AD806" s="435"/>
      <c r="AE806" s="435"/>
      <c r="AF806" s="435"/>
      <c r="AG806" s="435"/>
      <c r="AM806" s="437"/>
      <c r="AN806" s="435"/>
      <c r="AO806" s="363"/>
      <c r="AP806" s="435"/>
      <c r="AR806" s="435">
        <f t="shared" si="289"/>
        <v>0</v>
      </c>
    </row>
    <row r="807" spans="1:50" s="222" customFormat="1" ht="15.95" customHeight="1" outlineLevel="2">
      <c r="A807" s="222" t="s">
        <v>419</v>
      </c>
      <c r="B807" s="350"/>
      <c r="C807" s="350"/>
      <c r="D807" s="350"/>
      <c r="E807" s="350"/>
      <c r="F807" s="350"/>
      <c r="G807" s="350"/>
      <c r="H807" s="350"/>
      <c r="I807" s="361"/>
      <c r="J807" s="362"/>
      <c r="K807" s="418"/>
      <c r="L807" s="363"/>
      <c r="M807" s="363"/>
      <c r="N807" s="419"/>
      <c r="O807" s="419"/>
      <c r="P807" s="419"/>
      <c r="Q807" s="420"/>
      <c r="R807" s="427"/>
      <c r="S807" s="284"/>
      <c r="T807" s="427"/>
      <c r="U807" s="427"/>
      <c r="V807" s="427"/>
      <c r="W807" s="428"/>
      <c r="X807" s="382"/>
      <c r="Y807" s="429"/>
      <c r="Z807" s="429"/>
      <c r="AA807" s="382"/>
      <c r="AB807" s="429"/>
      <c r="AC807" s="429">
        <f t="shared" si="287"/>
        <v>0</v>
      </c>
      <c r="AD807" s="429"/>
      <c r="AE807" s="429"/>
      <c r="AF807" s="429"/>
      <c r="AG807" s="429"/>
      <c r="AM807" s="438"/>
      <c r="AN807" s="429"/>
      <c r="AO807" s="363"/>
      <c r="AP807" s="429"/>
      <c r="AR807" s="429">
        <f t="shared" si="289"/>
        <v>0</v>
      </c>
    </row>
    <row r="808" spans="1:50" s="218" customFormat="1" ht="25.5" customHeight="1" outlineLevel="2">
      <c r="A808" s="215" t="s">
        <v>125</v>
      </c>
      <c r="B808" s="151">
        <v>33</v>
      </c>
      <c r="C808" s="151" t="s">
        <v>128</v>
      </c>
      <c r="D808" s="245" t="s">
        <v>648</v>
      </c>
      <c r="E808" s="151" t="s">
        <v>169</v>
      </c>
      <c r="F808" s="151" t="s">
        <v>649</v>
      </c>
      <c r="G808" s="151" t="s">
        <v>37</v>
      </c>
      <c r="H808" s="151" t="s">
        <v>37</v>
      </c>
      <c r="I808" s="256">
        <v>36</v>
      </c>
      <c r="J808" s="151" t="s">
        <v>80</v>
      </c>
      <c r="K808" s="176" t="s">
        <v>1127</v>
      </c>
      <c r="L808" s="245">
        <v>30349427</v>
      </c>
      <c r="M808" s="855"/>
      <c r="N808" s="245" t="e">
        <v>#N/A</v>
      </c>
      <c r="O808" s="245" t="s">
        <v>1128</v>
      </c>
      <c r="P808" s="245"/>
      <c r="Q808" s="176" t="s">
        <v>1129</v>
      </c>
      <c r="R808" s="273"/>
      <c r="S808" s="274"/>
      <c r="T808" s="327">
        <v>540800000</v>
      </c>
      <c r="U808" s="327"/>
      <c r="V808" s="273"/>
      <c r="W808" s="273"/>
      <c r="X808" s="274"/>
      <c r="Y808" s="275">
        <v>540800000</v>
      </c>
      <c r="Z808" s="275">
        <v>516277132</v>
      </c>
      <c r="AA808" s="296"/>
      <c r="AB808" s="297">
        <f>+Y808-Z808</f>
        <v>24522868</v>
      </c>
      <c r="AC808" s="297">
        <f t="shared" si="287"/>
        <v>0</v>
      </c>
      <c r="AD808" s="297">
        <f>+AB808-AC808</f>
        <v>24522868</v>
      </c>
      <c r="AE808" s="297">
        <v>0</v>
      </c>
      <c r="AF808" s="297">
        <v>0</v>
      </c>
      <c r="AG808" s="297">
        <v>0</v>
      </c>
      <c r="AH808" s="297">
        <v>0</v>
      </c>
      <c r="AI808" s="297">
        <v>0</v>
      </c>
      <c r="AJ808" s="297">
        <v>0</v>
      </c>
      <c r="AK808" s="297">
        <v>0</v>
      </c>
      <c r="AL808" s="297">
        <v>0</v>
      </c>
      <c r="AM808" s="297">
        <v>0</v>
      </c>
      <c r="AN808" s="297">
        <v>0</v>
      </c>
      <c r="AO808" s="297">
        <v>0</v>
      </c>
      <c r="AP808" s="297">
        <v>0</v>
      </c>
      <c r="AQ808" s="296"/>
      <c r="AR808" s="297">
        <f t="shared" si="289"/>
        <v>0</v>
      </c>
      <c r="AS808" s="313" t="s">
        <v>185</v>
      </c>
      <c r="AT808" s="313" t="s">
        <v>1475</v>
      </c>
      <c r="AU808" s="176" t="s">
        <v>138</v>
      </c>
      <c r="AW808" s="218" t="s">
        <v>1651</v>
      </c>
      <c r="AX808" s="218" t="s">
        <v>1638</v>
      </c>
    </row>
    <row r="809" spans="1:50" s="222" customFormat="1" ht="15.75" customHeight="1" outlineLevel="2">
      <c r="A809" s="222" t="s">
        <v>419</v>
      </c>
      <c r="B809" s="410"/>
      <c r="C809" s="410"/>
      <c r="D809" s="410"/>
      <c r="E809" s="410"/>
      <c r="F809" s="410"/>
      <c r="G809" s="410"/>
      <c r="H809" s="410"/>
      <c r="I809" s="412"/>
      <c r="J809" s="413"/>
      <c r="L809" s="363"/>
      <c r="M809" s="363"/>
      <c r="N809" s="440"/>
      <c r="O809" s="440"/>
      <c r="P809" s="440"/>
      <c r="Q809" s="416" t="s">
        <v>420</v>
      </c>
      <c r="R809" s="284"/>
      <c r="S809" s="284"/>
      <c r="T809" s="421">
        <v>53733000</v>
      </c>
      <c r="U809" s="421"/>
      <c r="V809" s="432"/>
      <c r="W809" s="422"/>
      <c r="X809" s="382"/>
      <c r="Y809" s="433"/>
      <c r="Z809" s="433"/>
      <c r="AA809" s="382"/>
      <c r="AB809" s="433"/>
      <c r="AC809" s="433">
        <f t="shared" si="287"/>
        <v>0</v>
      </c>
      <c r="AD809" s="433"/>
      <c r="AE809" s="433"/>
      <c r="AF809" s="433"/>
      <c r="AG809" s="433"/>
      <c r="AM809" s="436"/>
      <c r="AN809" s="433"/>
      <c r="AO809" s="363"/>
      <c r="AP809" s="433"/>
      <c r="AR809" s="433">
        <f t="shared" si="289"/>
        <v>0</v>
      </c>
    </row>
    <row r="810" spans="1:50" s="222" customFormat="1" ht="15.95" customHeight="1" outlineLevel="2">
      <c r="A810" s="222" t="s">
        <v>419</v>
      </c>
      <c r="B810" s="350"/>
      <c r="C810" s="350"/>
      <c r="D810" s="350"/>
      <c r="E810" s="350"/>
      <c r="F810" s="350"/>
      <c r="G810" s="350"/>
      <c r="H810" s="350"/>
      <c r="I810" s="361"/>
      <c r="J810" s="362"/>
      <c r="L810" s="363"/>
      <c r="M810" s="363"/>
      <c r="N810" s="441"/>
      <c r="O810" s="441"/>
      <c r="P810" s="441"/>
      <c r="Q810" s="417" t="s">
        <v>1094</v>
      </c>
      <c r="R810" s="284"/>
      <c r="S810" s="284"/>
      <c r="T810" s="424">
        <v>455862000</v>
      </c>
      <c r="U810" s="424"/>
      <c r="V810" s="434"/>
      <c r="W810" s="425"/>
      <c r="X810" s="382"/>
      <c r="Y810" s="435"/>
      <c r="Z810" s="435"/>
      <c r="AA810" s="382"/>
      <c r="AB810" s="435"/>
      <c r="AC810" s="435">
        <f t="shared" si="287"/>
        <v>0</v>
      </c>
      <c r="AD810" s="435"/>
      <c r="AE810" s="435"/>
      <c r="AF810" s="435"/>
      <c r="AG810" s="435"/>
      <c r="AM810" s="437"/>
      <c r="AN810" s="435"/>
      <c r="AO810" s="363"/>
      <c r="AP810" s="435"/>
      <c r="AR810" s="435">
        <f t="shared" si="289"/>
        <v>0</v>
      </c>
    </row>
    <row r="811" spans="1:50" s="222" customFormat="1" ht="15.95" customHeight="1" outlineLevel="2">
      <c r="A811" s="222" t="s">
        <v>419</v>
      </c>
      <c r="B811" s="350"/>
      <c r="C811" s="350"/>
      <c r="D811" s="350"/>
      <c r="E811" s="350"/>
      <c r="F811" s="350"/>
      <c r="G811" s="350"/>
      <c r="H811" s="350"/>
      <c r="I811" s="361"/>
      <c r="J811" s="362"/>
      <c r="L811" s="363"/>
      <c r="M811" s="363"/>
      <c r="N811" s="441"/>
      <c r="O811" s="441"/>
      <c r="P811" s="441"/>
      <c r="Q811" s="417" t="s">
        <v>423</v>
      </c>
      <c r="R811" s="284"/>
      <c r="S811" s="284"/>
      <c r="T811" s="424">
        <v>31205000</v>
      </c>
      <c r="U811" s="424"/>
      <c r="V811" s="434"/>
      <c r="W811" s="425"/>
      <c r="X811" s="382"/>
      <c r="Y811" s="435"/>
      <c r="Z811" s="435"/>
      <c r="AA811" s="382"/>
      <c r="AB811" s="435"/>
      <c r="AC811" s="435">
        <f t="shared" si="287"/>
        <v>0</v>
      </c>
      <c r="AD811" s="435"/>
      <c r="AE811" s="435"/>
      <c r="AF811" s="435"/>
      <c r="AG811" s="435"/>
      <c r="AM811" s="437"/>
      <c r="AN811" s="435"/>
      <c r="AO811" s="363"/>
      <c r="AP811" s="435"/>
      <c r="AR811" s="435">
        <f t="shared" si="289"/>
        <v>0</v>
      </c>
    </row>
    <row r="812" spans="1:50" s="222" customFormat="1" ht="15.95" customHeight="1" outlineLevel="2">
      <c r="A812" s="222" t="s">
        <v>419</v>
      </c>
      <c r="B812" s="350"/>
      <c r="C812" s="350"/>
      <c r="D812" s="350"/>
      <c r="E812" s="350"/>
      <c r="F812" s="350"/>
      <c r="G812" s="350"/>
      <c r="H812" s="350"/>
      <c r="I812" s="361"/>
      <c r="J812" s="362"/>
      <c r="K812" s="418"/>
      <c r="L812" s="363"/>
      <c r="M812" s="363"/>
      <c r="N812" s="419"/>
      <c r="O812" s="419"/>
      <c r="P812" s="419"/>
      <c r="Q812" s="420"/>
      <c r="R812" s="427"/>
      <c r="S812" s="284"/>
      <c r="T812" s="427"/>
      <c r="U812" s="427"/>
      <c r="V812" s="427"/>
      <c r="W812" s="428"/>
      <c r="X812" s="382"/>
      <c r="Y812" s="429"/>
      <c r="Z812" s="429"/>
      <c r="AA812" s="382"/>
      <c r="AB812" s="429"/>
      <c r="AC812" s="429">
        <f t="shared" si="287"/>
        <v>0</v>
      </c>
      <c r="AD812" s="429"/>
      <c r="AE812" s="429"/>
      <c r="AF812" s="429"/>
      <c r="AG812" s="429"/>
      <c r="AM812" s="438"/>
      <c r="AN812" s="429"/>
      <c r="AO812" s="363"/>
      <c r="AP812" s="429"/>
      <c r="AR812" s="429">
        <f t="shared" si="289"/>
        <v>0</v>
      </c>
    </row>
    <row r="813" spans="1:50" s="218" customFormat="1" ht="25.5" customHeight="1" outlineLevel="2">
      <c r="A813" s="215" t="s">
        <v>125</v>
      </c>
      <c r="B813" s="151">
        <v>33</v>
      </c>
      <c r="C813" s="151" t="s">
        <v>128</v>
      </c>
      <c r="D813" s="245" t="s">
        <v>618</v>
      </c>
      <c r="E813" s="151" t="s">
        <v>169</v>
      </c>
      <c r="F813" s="151" t="s">
        <v>649</v>
      </c>
      <c r="G813" s="151" t="s">
        <v>37</v>
      </c>
      <c r="H813" s="151" t="s">
        <v>37</v>
      </c>
      <c r="I813" s="256">
        <v>36</v>
      </c>
      <c r="J813" s="151" t="s">
        <v>80</v>
      </c>
      <c r="K813" s="176" t="s">
        <v>1127</v>
      </c>
      <c r="L813" s="245">
        <v>30440729</v>
      </c>
      <c r="M813" s="855"/>
      <c r="N813" s="245" t="s">
        <v>1091</v>
      </c>
      <c r="O813" s="245" t="s">
        <v>1130</v>
      </c>
      <c r="P813" s="245"/>
      <c r="Q813" s="176" t="s">
        <v>1131</v>
      </c>
      <c r="R813" s="273"/>
      <c r="S813" s="274"/>
      <c r="T813" s="327">
        <v>360491000</v>
      </c>
      <c r="U813" s="327"/>
      <c r="V813" s="273"/>
      <c r="W813" s="273"/>
      <c r="X813" s="274"/>
      <c r="Y813" s="275">
        <v>320000000</v>
      </c>
      <c r="Z813" s="275">
        <v>297995504</v>
      </c>
      <c r="AA813" s="296"/>
      <c r="AB813" s="297">
        <v>15900000</v>
      </c>
      <c r="AC813" s="297">
        <f t="shared" si="287"/>
        <v>0</v>
      </c>
      <c r="AD813" s="297">
        <f>+AB813-AC813</f>
        <v>15900000</v>
      </c>
      <c r="AE813" s="297">
        <v>0</v>
      </c>
      <c r="AF813" s="297">
        <v>0</v>
      </c>
      <c r="AG813" s="297">
        <v>0</v>
      </c>
      <c r="AH813" s="297">
        <v>0</v>
      </c>
      <c r="AI813" s="297">
        <v>0</v>
      </c>
      <c r="AJ813" s="297">
        <v>0</v>
      </c>
      <c r="AK813" s="297">
        <v>0</v>
      </c>
      <c r="AL813" s="297">
        <v>0</v>
      </c>
      <c r="AM813" s="297">
        <v>0</v>
      </c>
      <c r="AN813" s="297">
        <v>0</v>
      </c>
      <c r="AO813" s="297">
        <v>0</v>
      </c>
      <c r="AP813" s="297">
        <v>0</v>
      </c>
      <c r="AQ813" s="296"/>
      <c r="AR813" s="297">
        <f t="shared" si="289"/>
        <v>6104496</v>
      </c>
      <c r="AS813" s="313" t="s">
        <v>185</v>
      </c>
      <c r="AT813" s="313" t="s">
        <v>1475</v>
      </c>
      <c r="AU813" s="176" t="s">
        <v>138</v>
      </c>
      <c r="AW813" s="218" t="s">
        <v>1653</v>
      </c>
      <c r="AX813" s="218" t="s">
        <v>1638</v>
      </c>
    </row>
    <row r="814" spans="1:50" s="222" customFormat="1" ht="15.75" customHeight="1" outlineLevel="2">
      <c r="A814" s="222" t="s">
        <v>419</v>
      </c>
      <c r="B814" s="410"/>
      <c r="C814" s="410"/>
      <c r="D814" s="410"/>
      <c r="E814" s="410"/>
      <c r="F814" s="410"/>
      <c r="G814" s="410"/>
      <c r="H814" s="410"/>
      <c r="I814" s="412"/>
      <c r="J814" s="413"/>
      <c r="L814" s="363"/>
      <c r="M814" s="363"/>
      <c r="N814" s="414" t="s">
        <v>1091</v>
      </c>
      <c r="O814" s="415"/>
      <c r="P814" s="415"/>
      <c r="Q814" s="416" t="s">
        <v>420</v>
      </c>
      <c r="R814" s="284"/>
      <c r="S814" s="284"/>
      <c r="T814" s="421">
        <v>5500000</v>
      </c>
      <c r="U814" s="421"/>
      <c r="V814" s="432"/>
      <c r="W814" s="422"/>
      <c r="X814" s="382"/>
      <c r="Y814" s="433"/>
      <c r="Z814" s="433"/>
      <c r="AA814" s="382"/>
      <c r="AB814" s="433"/>
      <c r="AC814" s="433">
        <f t="shared" si="287"/>
        <v>0</v>
      </c>
      <c r="AD814" s="433"/>
      <c r="AE814" s="433"/>
      <c r="AF814" s="433"/>
      <c r="AG814" s="433"/>
      <c r="AM814" s="436"/>
      <c r="AN814" s="433"/>
      <c r="AO814" s="363"/>
      <c r="AP814" s="433"/>
      <c r="AR814" s="433">
        <f t="shared" si="289"/>
        <v>0</v>
      </c>
    </row>
    <row r="815" spans="1:50" s="222" customFormat="1" ht="15.95" customHeight="1" outlineLevel="2">
      <c r="A815" s="222" t="s">
        <v>419</v>
      </c>
      <c r="B815" s="350"/>
      <c r="C815" s="350"/>
      <c r="D815" s="350"/>
      <c r="E815" s="350"/>
      <c r="F815" s="350"/>
      <c r="G815" s="350"/>
      <c r="H815" s="350"/>
      <c r="I815" s="361"/>
      <c r="J815" s="362"/>
      <c r="L815" s="363"/>
      <c r="M815" s="363"/>
      <c r="N815" s="414" t="s">
        <v>1091</v>
      </c>
      <c r="O815" s="250"/>
      <c r="P815" s="250"/>
      <c r="Q815" s="417" t="s">
        <v>1094</v>
      </c>
      <c r="R815" s="284"/>
      <c r="S815" s="284"/>
      <c r="T815" s="424">
        <v>351491000</v>
      </c>
      <c r="U815" s="424"/>
      <c r="V815" s="434"/>
      <c r="W815" s="425"/>
      <c r="X815" s="382"/>
      <c r="Y815" s="435"/>
      <c r="Z815" s="435"/>
      <c r="AA815" s="382"/>
      <c r="AB815" s="435"/>
      <c r="AC815" s="435">
        <f t="shared" si="287"/>
        <v>0</v>
      </c>
      <c r="AD815" s="435"/>
      <c r="AE815" s="435"/>
      <c r="AF815" s="435"/>
      <c r="AG815" s="435"/>
      <c r="AM815" s="437"/>
      <c r="AN815" s="435"/>
      <c r="AO815" s="363"/>
      <c r="AP815" s="435"/>
      <c r="AR815" s="435">
        <f t="shared" si="289"/>
        <v>0</v>
      </c>
    </row>
    <row r="816" spans="1:50" s="222" customFormat="1" ht="15.95" customHeight="1" outlineLevel="2">
      <c r="A816" s="222" t="s">
        <v>419</v>
      </c>
      <c r="B816" s="350"/>
      <c r="C816" s="350"/>
      <c r="D816" s="350"/>
      <c r="E816" s="350"/>
      <c r="F816" s="350"/>
      <c r="G816" s="350"/>
      <c r="H816" s="350"/>
      <c r="I816" s="361"/>
      <c r="J816" s="362"/>
      <c r="L816" s="363"/>
      <c r="M816" s="363"/>
      <c r="N816" s="414" t="s">
        <v>1091</v>
      </c>
      <c r="O816" s="250"/>
      <c r="P816" s="250"/>
      <c r="Q816" s="417" t="s">
        <v>423</v>
      </c>
      <c r="R816" s="284"/>
      <c r="S816" s="284"/>
      <c r="T816" s="424">
        <v>3500000</v>
      </c>
      <c r="U816" s="424"/>
      <c r="V816" s="434"/>
      <c r="W816" s="425"/>
      <c r="X816" s="382"/>
      <c r="Y816" s="435"/>
      <c r="Z816" s="435"/>
      <c r="AA816" s="382"/>
      <c r="AB816" s="435"/>
      <c r="AC816" s="435">
        <f t="shared" si="287"/>
        <v>0</v>
      </c>
      <c r="AD816" s="435"/>
      <c r="AE816" s="435"/>
      <c r="AF816" s="435"/>
      <c r="AG816" s="435"/>
      <c r="AM816" s="437"/>
      <c r="AN816" s="435"/>
      <c r="AO816" s="363"/>
      <c r="AP816" s="435"/>
      <c r="AR816" s="435">
        <f t="shared" si="289"/>
        <v>0</v>
      </c>
    </row>
    <row r="817" spans="1:50" s="222" customFormat="1" ht="15.95" customHeight="1" outlineLevel="2">
      <c r="A817" s="222" t="s">
        <v>419</v>
      </c>
      <c r="B817" s="350"/>
      <c r="C817" s="350"/>
      <c r="D817" s="350"/>
      <c r="E817" s="350"/>
      <c r="F817" s="350"/>
      <c r="G817" s="350"/>
      <c r="H817" s="350"/>
      <c r="I817" s="361"/>
      <c r="J817" s="362"/>
      <c r="K817" s="418"/>
      <c r="L817" s="363"/>
      <c r="M817" s="363"/>
      <c r="N817" s="419"/>
      <c r="O817" s="419"/>
      <c r="P817" s="419"/>
      <c r="Q817" s="420"/>
      <c r="R817" s="427"/>
      <c r="S817" s="284"/>
      <c r="T817" s="427"/>
      <c r="U817" s="427"/>
      <c r="V817" s="427"/>
      <c r="W817" s="428"/>
      <c r="X817" s="382"/>
      <c r="Y817" s="429"/>
      <c r="Z817" s="429"/>
      <c r="AA817" s="382"/>
      <c r="AB817" s="429"/>
      <c r="AC817" s="429">
        <f t="shared" si="287"/>
        <v>0</v>
      </c>
      <c r="AD817" s="429"/>
      <c r="AE817" s="429"/>
      <c r="AF817" s="429"/>
      <c r="AG817" s="429"/>
      <c r="AM817" s="438"/>
      <c r="AN817" s="429"/>
      <c r="AO817" s="363"/>
      <c r="AP817" s="429"/>
      <c r="AR817" s="429">
        <f t="shared" si="289"/>
        <v>0</v>
      </c>
    </row>
    <row r="818" spans="1:50" s="218" customFormat="1" ht="25.5" customHeight="1" outlineLevel="2">
      <c r="A818" s="215" t="s">
        <v>125</v>
      </c>
      <c r="B818" s="151">
        <v>33</v>
      </c>
      <c r="C818" s="151" t="s">
        <v>128</v>
      </c>
      <c r="D818" s="245" t="s">
        <v>648</v>
      </c>
      <c r="E818" s="151" t="s">
        <v>169</v>
      </c>
      <c r="F818" s="151" t="s">
        <v>649</v>
      </c>
      <c r="G818" s="151" t="s">
        <v>37</v>
      </c>
      <c r="H818" s="151" t="s">
        <v>37</v>
      </c>
      <c r="I818" s="256">
        <v>36</v>
      </c>
      <c r="J818" s="151" t="s">
        <v>80</v>
      </c>
      <c r="K818" s="176" t="s">
        <v>1127</v>
      </c>
      <c r="L818" s="245">
        <v>30351343</v>
      </c>
      <c r="M818" s="855"/>
      <c r="N818" s="245" t="s">
        <v>1091</v>
      </c>
      <c r="O818" s="245" t="s">
        <v>1132</v>
      </c>
      <c r="P818" s="245"/>
      <c r="Q818" s="176" t="s">
        <v>1133</v>
      </c>
      <c r="R818" s="273"/>
      <c r="S818" s="274"/>
      <c r="T818" s="327">
        <v>450000000</v>
      </c>
      <c r="U818" s="327"/>
      <c r="V818" s="273"/>
      <c r="W818" s="273"/>
      <c r="X818" s="274"/>
      <c r="Y818" s="275">
        <v>450000000</v>
      </c>
      <c r="Z818" s="275">
        <v>188600072</v>
      </c>
      <c r="AA818" s="296"/>
      <c r="AB818" s="297">
        <v>256959328</v>
      </c>
      <c r="AC818" s="297">
        <f t="shared" si="287"/>
        <v>51400000</v>
      </c>
      <c r="AD818" s="297">
        <f>+AB818-AC818</f>
        <v>205559328</v>
      </c>
      <c r="AE818" s="297">
        <v>0</v>
      </c>
      <c r="AF818" s="297">
        <v>0</v>
      </c>
      <c r="AG818" s="297">
        <v>0</v>
      </c>
      <c r="AH818" s="297">
        <v>0</v>
      </c>
      <c r="AI818" s="297">
        <v>0</v>
      </c>
      <c r="AJ818" s="297">
        <v>0</v>
      </c>
      <c r="AK818" s="297">
        <v>0</v>
      </c>
      <c r="AL818" s="297">
        <v>51400000</v>
      </c>
      <c r="AM818" s="297">
        <v>0</v>
      </c>
      <c r="AN818" s="297">
        <v>0</v>
      </c>
      <c r="AO818" s="297">
        <v>0</v>
      </c>
      <c r="AP818" s="297">
        <v>0</v>
      </c>
      <c r="AQ818" s="296"/>
      <c r="AR818" s="297">
        <f t="shared" si="289"/>
        <v>4440600</v>
      </c>
      <c r="AS818" s="313" t="s">
        <v>185</v>
      </c>
      <c r="AT818" s="313" t="s">
        <v>1475</v>
      </c>
      <c r="AU818" s="176" t="s">
        <v>138</v>
      </c>
      <c r="AW818" s="218" t="s">
        <v>1635</v>
      </c>
      <c r="AX818" s="218" t="s">
        <v>1638</v>
      </c>
    </row>
    <row r="819" spans="1:50" s="222" customFormat="1" ht="15.75" customHeight="1" outlineLevel="2">
      <c r="A819" s="222" t="s">
        <v>419</v>
      </c>
      <c r="B819" s="410"/>
      <c r="C819" s="410"/>
      <c r="D819" s="410"/>
      <c r="E819" s="410"/>
      <c r="F819" s="410"/>
      <c r="G819" s="410"/>
      <c r="H819" s="410"/>
      <c r="I819" s="412"/>
      <c r="J819" s="413"/>
      <c r="L819" s="363"/>
      <c r="M819" s="363"/>
      <c r="N819" s="414" t="s">
        <v>1091</v>
      </c>
      <c r="O819" s="415"/>
      <c r="P819" s="415"/>
      <c r="Q819" s="416" t="s">
        <v>420</v>
      </c>
      <c r="R819" s="284"/>
      <c r="S819" s="284"/>
      <c r="T819" s="421">
        <v>55200000</v>
      </c>
      <c r="U819" s="421"/>
      <c r="V819" s="432"/>
      <c r="W819" s="422"/>
      <c r="X819" s="382"/>
      <c r="Y819" s="433"/>
      <c r="Z819" s="433"/>
      <c r="AA819" s="382"/>
      <c r="AB819" s="433"/>
      <c r="AC819" s="433">
        <f t="shared" si="287"/>
        <v>0</v>
      </c>
      <c r="AD819" s="433"/>
      <c r="AE819" s="433"/>
      <c r="AF819" s="433"/>
      <c r="AG819" s="433"/>
      <c r="AM819" s="436"/>
      <c r="AN819" s="433"/>
      <c r="AO819" s="363"/>
      <c r="AP819" s="433"/>
      <c r="AR819" s="433">
        <f t="shared" si="289"/>
        <v>0</v>
      </c>
    </row>
    <row r="820" spans="1:50" s="222" customFormat="1" ht="15.95" customHeight="1" outlineLevel="2">
      <c r="A820" s="222" t="s">
        <v>419</v>
      </c>
      <c r="B820" s="350"/>
      <c r="C820" s="350"/>
      <c r="D820" s="350"/>
      <c r="E820" s="350"/>
      <c r="F820" s="350"/>
      <c r="G820" s="350"/>
      <c r="H820" s="350"/>
      <c r="I820" s="361"/>
      <c r="J820" s="362"/>
      <c r="L820" s="363"/>
      <c r="M820" s="363"/>
      <c r="N820" s="414" t="s">
        <v>1091</v>
      </c>
      <c r="O820" s="250"/>
      <c r="P820" s="250"/>
      <c r="Q820" s="417" t="s">
        <v>1094</v>
      </c>
      <c r="R820" s="284"/>
      <c r="S820" s="284"/>
      <c r="T820" s="424">
        <v>372100000</v>
      </c>
      <c r="U820" s="424"/>
      <c r="V820" s="434"/>
      <c r="W820" s="425"/>
      <c r="X820" s="382"/>
      <c r="Y820" s="435"/>
      <c r="Z820" s="435"/>
      <c r="AA820" s="382"/>
      <c r="AB820" s="435"/>
      <c r="AC820" s="435">
        <f t="shared" si="287"/>
        <v>0</v>
      </c>
      <c r="AD820" s="435"/>
      <c r="AE820" s="435"/>
      <c r="AF820" s="435"/>
      <c r="AG820" s="435"/>
      <c r="AM820" s="437"/>
      <c r="AN820" s="435"/>
      <c r="AO820" s="363"/>
      <c r="AP820" s="435"/>
      <c r="AR820" s="435">
        <f t="shared" si="289"/>
        <v>0</v>
      </c>
    </row>
    <row r="821" spans="1:50" s="222" customFormat="1" ht="15.95" customHeight="1" outlineLevel="2">
      <c r="A821" s="222" t="s">
        <v>419</v>
      </c>
      <c r="B821" s="350"/>
      <c r="C821" s="350"/>
      <c r="D821" s="350"/>
      <c r="E821" s="350"/>
      <c r="F821" s="350"/>
      <c r="G821" s="350"/>
      <c r="H821" s="350"/>
      <c r="I821" s="361"/>
      <c r="J821" s="362"/>
      <c r="L821" s="363"/>
      <c r="M821" s="363"/>
      <c r="N821" s="414" t="s">
        <v>1091</v>
      </c>
      <c r="O821" s="250"/>
      <c r="P821" s="250"/>
      <c r="Q821" s="417" t="s">
        <v>423</v>
      </c>
      <c r="R821" s="284"/>
      <c r="S821" s="284"/>
      <c r="T821" s="424">
        <v>22700000</v>
      </c>
      <c r="U821" s="424"/>
      <c r="V821" s="434"/>
      <c r="W821" s="425"/>
      <c r="X821" s="382"/>
      <c r="Y821" s="435"/>
      <c r="Z821" s="435"/>
      <c r="AA821" s="382"/>
      <c r="AB821" s="435"/>
      <c r="AC821" s="435">
        <f t="shared" si="287"/>
        <v>0</v>
      </c>
      <c r="AD821" s="435"/>
      <c r="AE821" s="435"/>
      <c r="AF821" s="435"/>
      <c r="AG821" s="435"/>
      <c r="AM821" s="437"/>
      <c r="AN821" s="435"/>
      <c r="AO821" s="363"/>
      <c r="AP821" s="435"/>
      <c r="AR821" s="435">
        <f t="shared" si="289"/>
        <v>0</v>
      </c>
    </row>
    <row r="822" spans="1:50" s="222" customFormat="1" ht="15.95" customHeight="1" outlineLevel="2">
      <c r="A822" s="222" t="s">
        <v>419</v>
      </c>
      <c r="B822" s="350"/>
      <c r="C822" s="350"/>
      <c r="D822" s="350"/>
      <c r="E822" s="350"/>
      <c r="F822" s="350"/>
      <c r="G822" s="350"/>
      <c r="H822" s="350"/>
      <c r="I822" s="361"/>
      <c r="J822" s="362"/>
      <c r="K822" s="418"/>
      <c r="L822" s="363"/>
      <c r="M822" s="363"/>
      <c r="N822" s="419"/>
      <c r="O822" s="419"/>
      <c r="P822" s="419"/>
      <c r="Q822" s="420"/>
      <c r="R822" s="427"/>
      <c r="S822" s="284"/>
      <c r="T822" s="427"/>
      <c r="U822" s="427"/>
      <c r="V822" s="427"/>
      <c r="W822" s="428"/>
      <c r="X822" s="382"/>
      <c r="Y822" s="429"/>
      <c r="Z822" s="429"/>
      <c r="AA822" s="382"/>
      <c r="AB822" s="429"/>
      <c r="AC822" s="429">
        <f t="shared" si="287"/>
        <v>0</v>
      </c>
      <c r="AD822" s="429"/>
      <c r="AE822" s="429"/>
      <c r="AF822" s="429"/>
      <c r="AG822" s="429"/>
      <c r="AM822" s="438"/>
      <c r="AN822" s="429"/>
      <c r="AO822" s="363"/>
      <c r="AP822" s="429"/>
      <c r="AR822" s="429">
        <f t="shared" si="289"/>
        <v>0</v>
      </c>
    </row>
    <row r="823" spans="1:50" s="218" customFormat="1" ht="25.5" customHeight="1" outlineLevel="2">
      <c r="A823" s="215" t="s">
        <v>125</v>
      </c>
      <c r="B823" s="151">
        <v>33</v>
      </c>
      <c r="C823" s="151" t="s">
        <v>128</v>
      </c>
      <c r="D823" s="245" t="s">
        <v>648</v>
      </c>
      <c r="E823" s="151" t="s">
        <v>169</v>
      </c>
      <c r="F823" s="151" t="s">
        <v>649</v>
      </c>
      <c r="G823" s="151" t="s">
        <v>37</v>
      </c>
      <c r="H823" s="151" t="s">
        <v>37</v>
      </c>
      <c r="I823" s="256">
        <v>36</v>
      </c>
      <c r="J823" s="151" t="s">
        <v>80</v>
      </c>
      <c r="K823" s="176" t="s">
        <v>1134</v>
      </c>
      <c r="L823" s="245">
        <v>30343724</v>
      </c>
      <c r="M823" s="855"/>
      <c r="N823" s="245" t="s">
        <v>1091</v>
      </c>
      <c r="O823" s="245" t="s">
        <v>1135</v>
      </c>
      <c r="P823" s="245"/>
      <c r="Q823" s="176" t="s">
        <v>1136</v>
      </c>
      <c r="R823" s="273"/>
      <c r="S823" s="274"/>
      <c r="T823" s="327">
        <v>2160000000</v>
      </c>
      <c r="U823" s="327"/>
      <c r="V823" s="273"/>
      <c r="W823" s="273"/>
      <c r="X823" s="274"/>
      <c r="Y823" s="275">
        <v>2160000000</v>
      </c>
      <c r="Z823" s="275">
        <v>1336907233</v>
      </c>
      <c r="AA823" s="296"/>
      <c r="AB823" s="297">
        <f>262000000+46417962</f>
        <v>308417962</v>
      </c>
      <c r="AC823" s="297">
        <f t="shared" si="287"/>
        <v>0</v>
      </c>
      <c r="AD823" s="297">
        <f>+AB823-AC823</f>
        <v>308417962</v>
      </c>
      <c r="AE823" s="297">
        <v>0</v>
      </c>
      <c r="AF823" s="297">
        <v>0</v>
      </c>
      <c r="AG823" s="297">
        <v>0</v>
      </c>
      <c r="AH823" s="297">
        <v>0</v>
      </c>
      <c r="AI823" s="297">
        <v>0</v>
      </c>
      <c r="AJ823" s="297">
        <v>0</v>
      </c>
      <c r="AK823" s="297">
        <v>0</v>
      </c>
      <c r="AL823" s="297">
        <v>0</v>
      </c>
      <c r="AM823" s="297">
        <v>0</v>
      </c>
      <c r="AN823" s="297">
        <v>0</v>
      </c>
      <c r="AO823" s="297">
        <v>0</v>
      </c>
      <c r="AP823" s="297">
        <v>0</v>
      </c>
      <c r="AQ823" s="296"/>
      <c r="AR823" s="297">
        <f t="shared" si="289"/>
        <v>514674805</v>
      </c>
      <c r="AS823" s="313" t="s">
        <v>185</v>
      </c>
      <c r="AT823" s="313" t="s">
        <v>1475</v>
      </c>
      <c r="AU823" s="176" t="s">
        <v>138</v>
      </c>
      <c r="AX823" s="218" t="s">
        <v>1638</v>
      </c>
    </row>
    <row r="824" spans="1:50" s="222" customFormat="1" ht="15.75" customHeight="1" outlineLevel="2">
      <c r="A824" s="222" t="s">
        <v>419</v>
      </c>
      <c r="B824" s="410"/>
      <c r="C824" s="410"/>
      <c r="D824" s="410"/>
      <c r="E824" s="410"/>
      <c r="F824" s="410"/>
      <c r="G824" s="410"/>
      <c r="H824" s="410"/>
      <c r="I824" s="412"/>
      <c r="J824" s="413"/>
      <c r="L824" s="363"/>
      <c r="M824" s="363"/>
      <c r="N824" s="414" t="s">
        <v>1091</v>
      </c>
      <c r="O824" s="415"/>
      <c r="P824" s="415"/>
      <c r="Q824" s="416" t="s">
        <v>420</v>
      </c>
      <c r="R824" s="284"/>
      <c r="S824" s="284"/>
      <c r="T824" s="421">
        <v>116000000</v>
      </c>
      <c r="U824" s="421"/>
      <c r="V824" s="432"/>
      <c r="W824" s="422"/>
      <c r="X824" s="382"/>
      <c r="Y824" s="433"/>
      <c r="Z824" s="433"/>
      <c r="AA824" s="382"/>
      <c r="AB824" s="433"/>
      <c r="AC824" s="433">
        <f t="shared" si="287"/>
        <v>0</v>
      </c>
      <c r="AD824" s="433"/>
      <c r="AE824" s="433"/>
      <c r="AF824" s="433"/>
      <c r="AG824" s="433"/>
      <c r="AM824" s="436"/>
      <c r="AN824" s="433"/>
      <c r="AO824" s="363"/>
      <c r="AP824" s="433"/>
      <c r="AR824" s="433">
        <f t="shared" si="289"/>
        <v>0</v>
      </c>
    </row>
    <row r="825" spans="1:50" s="222" customFormat="1" ht="15.95" customHeight="1" outlineLevel="2">
      <c r="A825" s="222" t="s">
        <v>419</v>
      </c>
      <c r="B825" s="350"/>
      <c r="C825" s="350"/>
      <c r="D825" s="350"/>
      <c r="E825" s="350"/>
      <c r="F825" s="350"/>
      <c r="G825" s="350"/>
      <c r="H825" s="350"/>
      <c r="I825" s="361"/>
      <c r="J825" s="362"/>
      <c r="L825" s="363"/>
      <c r="M825" s="363"/>
      <c r="N825" s="414" t="s">
        <v>1091</v>
      </c>
      <c r="O825" s="250"/>
      <c r="P825" s="250"/>
      <c r="Q825" s="417" t="s">
        <v>1094</v>
      </c>
      <c r="R825" s="284"/>
      <c r="S825" s="284"/>
      <c r="T825" s="424">
        <v>2039400000</v>
      </c>
      <c r="U825" s="424"/>
      <c r="V825" s="434"/>
      <c r="W825" s="425"/>
      <c r="X825" s="382"/>
      <c r="Y825" s="435"/>
      <c r="Z825" s="435"/>
      <c r="AA825" s="382"/>
      <c r="AB825" s="435"/>
      <c r="AC825" s="435">
        <f t="shared" si="287"/>
        <v>0</v>
      </c>
      <c r="AD825" s="435"/>
      <c r="AE825" s="435"/>
      <c r="AF825" s="435"/>
      <c r="AG825" s="435"/>
      <c r="AM825" s="437"/>
      <c r="AN825" s="435"/>
      <c r="AO825" s="363"/>
      <c r="AP825" s="435"/>
      <c r="AR825" s="435">
        <f t="shared" si="289"/>
        <v>0</v>
      </c>
    </row>
    <row r="826" spans="1:50" s="222" customFormat="1" ht="15.95" customHeight="1" outlineLevel="2">
      <c r="A826" s="222" t="s">
        <v>419</v>
      </c>
      <c r="B826" s="350"/>
      <c r="C826" s="350"/>
      <c r="D826" s="350"/>
      <c r="E826" s="350"/>
      <c r="F826" s="350"/>
      <c r="G826" s="350"/>
      <c r="H826" s="350"/>
      <c r="I826" s="361"/>
      <c r="J826" s="362"/>
      <c r="L826" s="363"/>
      <c r="M826" s="363"/>
      <c r="N826" s="414" t="s">
        <v>1091</v>
      </c>
      <c r="O826" s="250"/>
      <c r="P826" s="250"/>
      <c r="Q826" s="417" t="s">
        <v>423</v>
      </c>
      <c r="R826" s="284"/>
      <c r="S826" s="284"/>
      <c r="T826" s="424">
        <v>4600000</v>
      </c>
      <c r="U826" s="424"/>
      <c r="V826" s="434"/>
      <c r="W826" s="425"/>
      <c r="X826" s="382"/>
      <c r="Y826" s="435"/>
      <c r="Z826" s="435"/>
      <c r="AA826" s="382"/>
      <c r="AB826" s="435"/>
      <c r="AC826" s="435">
        <f t="shared" si="287"/>
        <v>0</v>
      </c>
      <c r="AD826" s="435"/>
      <c r="AE826" s="435"/>
      <c r="AF826" s="435"/>
      <c r="AG826" s="435"/>
      <c r="AM826" s="437"/>
      <c r="AN826" s="435"/>
      <c r="AO826" s="363"/>
      <c r="AP826" s="435"/>
      <c r="AR826" s="435">
        <f t="shared" si="289"/>
        <v>0</v>
      </c>
    </row>
    <row r="827" spans="1:50" s="222" customFormat="1" ht="15.95" customHeight="1" outlineLevel="2">
      <c r="A827" s="222" t="s">
        <v>419</v>
      </c>
      <c r="B827" s="350"/>
      <c r="C827" s="350"/>
      <c r="D827" s="350"/>
      <c r="E827" s="350"/>
      <c r="F827" s="350"/>
      <c r="G827" s="350"/>
      <c r="H827" s="350"/>
      <c r="I827" s="361"/>
      <c r="J827" s="362"/>
      <c r="K827" s="418"/>
      <c r="L827" s="363"/>
      <c r="M827" s="363"/>
      <c r="N827" s="419"/>
      <c r="O827" s="419"/>
      <c r="P827" s="419"/>
      <c r="Q827" s="420"/>
      <c r="R827" s="427"/>
      <c r="S827" s="284"/>
      <c r="T827" s="427"/>
      <c r="U827" s="427"/>
      <c r="V827" s="427"/>
      <c r="W827" s="428"/>
      <c r="X827" s="382"/>
      <c r="Y827" s="429"/>
      <c r="Z827" s="429"/>
      <c r="AA827" s="382"/>
      <c r="AB827" s="429"/>
      <c r="AC827" s="429">
        <f t="shared" si="287"/>
        <v>0</v>
      </c>
      <c r="AD827" s="429"/>
      <c r="AE827" s="429"/>
      <c r="AF827" s="429"/>
      <c r="AG827" s="429"/>
      <c r="AM827" s="438"/>
      <c r="AN827" s="429"/>
      <c r="AO827" s="363"/>
      <c r="AP827" s="429"/>
      <c r="AR827" s="429">
        <f t="shared" si="289"/>
        <v>0</v>
      </c>
    </row>
    <row r="828" spans="1:50" s="218" customFormat="1" ht="25.5" customHeight="1" outlineLevel="2">
      <c r="A828" s="215" t="s">
        <v>125</v>
      </c>
      <c r="B828" s="151">
        <v>33</v>
      </c>
      <c r="C828" s="151" t="s">
        <v>128</v>
      </c>
      <c r="D828" s="245" t="s">
        <v>648</v>
      </c>
      <c r="E828" s="151" t="s">
        <v>169</v>
      </c>
      <c r="F828" s="151" t="s">
        <v>649</v>
      </c>
      <c r="G828" s="151" t="s">
        <v>37</v>
      </c>
      <c r="H828" s="151" t="s">
        <v>37</v>
      </c>
      <c r="I828" s="256">
        <v>36</v>
      </c>
      <c r="J828" s="151" t="s">
        <v>80</v>
      </c>
      <c r="K828" s="176" t="s">
        <v>1137</v>
      </c>
      <c r="L828" s="245">
        <v>30398233</v>
      </c>
      <c r="M828" s="855"/>
      <c r="N828" s="245" t="s">
        <v>1091</v>
      </c>
      <c r="O828" s="245" t="s">
        <v>1138</v>
      </c>
      <c r="P828" s="245"/>
      <c r="Q828" s="443" t="s">
        <v>1139</v>
      </c>
      <c r="R828" s="273"/>
      <c r="S828" s="274"/>
      <c r="T828" s="327">
        <v>900000000</v>
      </c>
      <c r="U828" s="327"/>
      <c r="V828" s="273"/>
      <c r="W828" s="273"/>
      <c r="X828" s="274"/>
      <c r="Y828" s="275">
        <v>900002100</v>
      </c>
      <c r="Z828" s="275">
        <v>475373157</v>
      </c>
      <c r="AA828" s="296"/>
      <c r="AB828" s="297">
        <v>308000000</v>
      </c>
      <c r="AC828" s="297">
        <f t="shared" ref="AC828:AC892" si="290">SUBTOTAL(9,AE828:AP828)</f>
        <v>14027228</v>
      </c>
      <c r="AD828" s="297">
        <f>+AB828-AC828</f>
        <v>293972772</v>
      </c>
      <c r="AE828" s="297">
        <v>0</v>
      </c>
      <c r="AF828" s="297">
        <v>0</v>
      </c>
      <c r="AG828" s="297">
        <v>0</v>
      </c>
      <c r="AH828" s="297">
        <v>0</v>
      </c>
      <c r="AI828" s="297">
        <v>0</v>
      </c>
      <c r="AJ828" s="297">
        <v>0</v>
      </c>
      <c r="AK828" s="297">
        <v>0</v>
      </c>
      <c r="AL828" s="297">
        <v>1250000</v>
      </c>
      <c r="AM828" s="297">
        <v>12777228</v>
      </c>
      <c r="AN828" s="297">
        <v>0</v>
      </c>
      <c r="AO828" s="297">
        <v>0</v>
      </c>
      <c r="AP828" s="297">
        <v>0</v>
      </c>
      <c r="AQ828" s="296"/>
      <c r="AR828" s="297">
        <f t="shared" si="289"/>
        <v>116628943</v>
      </c>
      <c r="AS828" s="313" t="s">
        <v>185</v>
      </c>
      <c r="AT828" s="313" t="s">
        <v>1475</v>
      </c>
      <c r="AU828" s="176" t="s">
        <v>138</v>
      </c>
      <c r="AX828" s="218" t="s">
        <v>1638</v>
      </c>
    </row>
    <row r="829" spans="1:50" s="222" customFormat="1" ht="15.75" customHeight="1" outlineLevel="2">
      <c r="A829" s="222" t="s">
        <v>419</v>
      </c>
      <c r="B829" s="410"/>
      <c r="C829" s="410"/>
      <c r="D829" s="410"/>
      <c r="E829" s="410"/>
      <c r="F829" s="410"/>
      <c r="G829" s="410"/>
      <c r="H829" s="410"/>
      <c r="I829" s="412"/>
      <c r="J829" s="413"/>
      <c r="L829" s="363"/>
      <c r="M829" s="363"/>
      <c r="N829" s="414" t="s">
        <v>1091</v>
      </c>
      <c r="O829" s="415"/>
      <c r="P829" s="415"/>
      <c r="Q829" s="416" t="s">
        <v>420</v>
      </c>
      <c r="R829" s="284"/>
      <c r="S829" s="284"/>
      <c r="T829" s="421">
        <v>65000000</v>
      </c>
      <c r="U829" s="421"/>
      <c r="V829" s="432"/>
      <c r="W829" s="422"/>
      <c r="X829" s="382"/>
      <c r="Y829" s="433"/>
      <c r="Z829" s="433"/>
      <c r="AA829" s="382"/>
      <c r="AB829" s="433"/>
      <c r="AC829" s="433">
        <f t="shared" si="290"/>
        <v>0</v>
      </c>
      <c r="AD829" s="433"/>
      <c r="AE829" s="433"/>
      <c r="AF829" s="433"/>
      <c r="AG829" s="433"/>
      <c r="AM829" s="436"/>
      <c r="AN829" s="433"/>
      <c r="AO829" s="363"/>
      <c r="AP829" s="433"/>
      <c r="AR829" s="433">
        <f t="shared" si="289"/>
        <v>0</v>
      </c>
    </row>
    <row r="830" spans="1:50" s="222" customFormat="1" ht="15.95" customHeight="1" outlineLevel="2">
      <c r="A830" s="222" t="s">
        <v>419</v>
      </c>
      <c r="B830" s="350"/>
      <c r="C830" s="350"/>
      <c r="D830" s="350"/>
      <c r="E830" s="350"/>
      <c r="F830" s="350"/>
      <c r="G830" s="350"/>
      <c r="H830" s="350"/>
      <c r="I830" s="361"/>
      <c r="J830" s="362"/>
      <c r="L830" s="363"/>
      <c r="M830" s="363"/>
      <c r="N830" s="414" t="s">
        <v>1091</v>
      </c>
      <c r="O830" s="250"/>
      <c r="P830" s="250"/>
      <c r="Q830" s="417" t="s">
        <v>1094</v>
      </c>
      <c r="R830" s="284"/>
      <c r="S830" s="284"/>
      <c r="T830" s="424">
        <v>820000000</v>
      </c>
      <c r="U830" s="424"/>
      <c r="V830" s="434"/>
      <c r="W830" s="425"/>
      <c r="X830" s="382"/>
      <c r="Y830" s="435"/>
      <c r="Z830" s="435"/>
      <c r="AA830" s="382"/>
      <c r="AB830" s="435"/>
      <c r="AC830" s="435">
        <f t="shared" si="290"/>
        <v>0</v>
      </c>
      <c r="AD830" s="435"/>
      <c r="AE830" s="435"/>
      <c r="AF830" s="435"/>
      <c r="AG830" s="435"/>
      <c r="AM830" s="437"/>
      <c r="AN830" s="435"/>
      <c r="AO830" s="363"/>
      <c r="AP830" s="435"/>
      <c r="AR830" s="435">
        <f t="shared" si="289"/>
        <v>0</v>
      </c>
    </row>
    <row r="831" spans="1:50" s="222" customFormat="1" ht="15.95" customHeight="1" outlineLevel="2">
      <c r="A831" s="222" t="s">
        <v>419</v>
      </c>
      <c r="B831" s="350"/>
      <c r="C831" s="350"/>
      <c r="D831" s="350"/>
      <c r="E831" s="350"/>
      <c r="F831" s="350"/>
      <c r="G831" s="350"/>
      <c r="H831" s="350"/>
      <c r="I831" s="361"/>
      <c r="J831" s="362"/>
      <c r="L831" s="363"/>
      <c r="M831" s="363"/>
      <c r="N831" s="414" t="s">
        <v>1091</v>
      </c>
      <c r="O831" s="250"/>
      <c r="P831" s="250"/>
      <c r="Q831" s="417" t="s">
        <v>423</v>
      </c>
      <c r="R831" s="284"/>
      <c r="S831" s="284"/>
      <c r="T831" s="424">
        <v>15000000</v>
      </c>
      <c r="U831" s="424"/>
      <c r="V831" s="434"/>
      <c r="W831" s="425"/>
      <c r="X831" s="382"/>
      <c r="Y831" s="435"/>
      <c r="Z831" s="435"/>
      <c r="AA831" s="382"/>
      <c r="AB831" s="435"/>
      <c r="AC831" s="435">
        <f t="shared" si="290"/>
        <v>0</v>
      </c>
      <c r="AD831" s="435"/>
      <c r="AE831" s="435"/>
      <c r="AF831" s="435"/>
      <c r="AG831" s="435"/>
      <c r="AM831" s="437"/>
      <c r="AN831" s="435"/>
      <c r="AO831" s="363"/>
      <c r="AP831" s="435"/>
      <c r="AR831" s="435">
        <f t="shared" si="289"/>
        <v>0</v>
      </c>
    </row>
    <row r="832" spans="1:50" s="222" customFormat="1" ht="15.95" customHeight="1" outlineLevel="2">
      <c r="A832" s="222" t="s">
        <v>419</v>
      </c>
      <c r="B832" s="350"/>
      <c r="C832" s="350"/>
      <c r="D832" s="350"/>
      <c r="E832" s="350"/>
      <c r="F832" s="350"/>
      <c r="G832" s="350"/>
      <c r="H832" s="350"/>
      <c r="I832" s="361"/>
      <c r="J832" s="362"/>
      <c r="K832" s="418"/>
      <c r="L832" s="363"/>
      <c r="M832" s="363"/>
      <c r="N832" s="419"/>
      <c r="O832" s="419"/>
      <c r="P832" s="419"/>
      <c r="Q832" s="420"/>
      <c r="R832" s="427"/>
      <c r="S832" s="284"/>
      <c r="T832" s="427"/>
      <c r="U832" s="427"/>
      <c r="V832" s="427"/>
      <c r="W832" s="428"/>
      <c r="X832" s="382"/>
      <c r="Y832" s="429"/>
      <c r="Z832" s="429"/>
      <c r="AA832" s="382"/>
      <c r="AB832" s="429"/>
      <c r="AC832" s="429">
        <f t="shared" si="290"/>
        <v>0</v>
      </c>
      <c r="AD832" s="429"/>
      <c r="AE832" s="429"/>
      <c r="AF832" s="429"/>
      <c r="AG832" s="429"/>
      <c r="AM832" s="438"/>
      <c r="AN832" s="429"/>
      <c r="AO832" s="363"/>
      <c r="AP832" s="429"/>
      <c r="AR832" s="429">
        <f t="shared" si="289"/>
        <v>0</v>
      </c>
    </row>
    <row r="833" spans="1:50" s="218" customFormat="1" ht="25.5" customHeight="1" outlineLevel="2">
      <c r="A833" s="215" t="s">
        <v>125</v>
      </c>
      <c r="B833" s="151">
        <v>33</v>
      </c>
      <c r="C833" s="151" t="s">
        <v>128</v>
      </c>
      <c r="D833" s="245" t="s">
        <v>618</v>
      </c>
      <c r="E833" s="151" t="s">
        <v>169</v>
      </c>
      <c r="F833" s="151" t="s">
        <v>649</v>
      </c>
      <c r="G833" s="151" t="s">
        <v>37</v>
      </c>
      <c r="H833" s="151" t="s">
        <v>37</v>
      </c>
      <c r="I833" s="256">
        <v>36</v>
      </c>
      <c r="J833" s="151" t="s">
        <v>80</v>
      </c>
      <c r="K833" s="176" t="s">
        <v>1140</v>
      </c>
      <c r="L833" s="245">
        <v>30342025</v>
      </c>
      <c r="M833" s="855"/>
      <c r="N833" s="245" t="s">
        <v>1091</v>
      </c>
      <c r="O833" s="245" t="s">
        <v>1141</v>
      </c>
      <c r="P833" s="245"/>
      <c r="Q833" s="176" t="s">
        <v>1142</v>
      </c>
      <c r="R833" s="273"/>
      <c r="S833" s="274"/>
      <c r="T833" s="327">
        <v>971238000</v>
      </c>
      <c r="U833" s="327"/>
      <c r="V833" s="273"/>
      <c r="W833" s="273"/>
      <c r="X833" s="274"/>
      <c r="Y833" s="275">
        <v>700000000</v>
      </c>
      <c r="Z833" s="275">
        <v>645868063</v>
      </c>
      <c r="AA833" s="296"/>
      <c r="AB833" s="297">
        <f>+Y833-Z833</f>
        <v>54131937</v>
      </c>
      <c r="AC833" s="297">
        <f t="shared" si="290"/>
        <v>20957859</v>
      </c>
      <c r="AD833" s="297">
        <f>+AB833-AC833</f>
        <v>33174078</v>
      </c>
      <c r="AE833" s="297">
        <v>0</v>
      </c>
      <c r="AF833" s="297">
        <v>0</v>
      </c>
      <c r="AG833" s="297">
        <v>0</v>
      </c>
      <c r="AH833" s="297">
        <v>0</v>
      </c>
      <c r="AI833" s="297">
        <v>0</v>
      </c>
      <c r="AJ833" s="297">
        <v>0</v>
      </c>
      <c r="AK833" s="297">
        <v>0</v>
      </c>
      <c r="AL833" s="297">
        <v>20957859</v>
      </c>
      <c r="AM833" s="297">
        <v>0</v>
      </c>
      <c r="AN833" s="297">
        <v>0</v>
      </c>
      <c r="AO833" s="297">
        <v>0</v>
      </c>
      <c r="AP833" s="297">
        <v>0</v>
      </c>
      <c r="AQ833" s="296"/>
      <c r="AR833" s="297">
        <f t="shared" si="289"/>
        <v>0</v>
      </c>
      <c r="AS833" s="313" t="s">
        <v>185</v>
      </c>
      <c r="AT833" s="313" t="s">
        <v>1475</v>
      </c>
      <c r="AU833" s="176" t="s">
        <v>138</v>
      </c>
      <c r="AW833" s="218" t="s">
        <v>1635</v>
      </c>
      <c r="AX833" s="218" t="s">
        <v>1638</v>
      </c>
    </row>
    <row r="834" spans="1:50" s="222" customFormat="1" ht="15.75" customHeight="1" outlineLevel="2">
      <c r="A834" s="222" t="s">
        <v>419</v>
      </c>
      <c r="B834" s="410"/>
      <c r="C834" s="410"/>
      <c r="D834" s="410"/>
      <c r="E834" s="410"/>
      <c r="F834" s="410"/>
      <c r="G834" s="410"/>
      <c r="H834" s="410"/>
      <c r="I834" s="412"/>
      <c r="J834" s="413"/>
      <c r="L834" s="363"/>
      <c r="M834" s="363"/>
      <c r="N834" s="414" t="s">
        <v>1091</v>
      </c>
      <c r="O834" s="415"/>
      <c r="P834" s="415"/>
      <c r="Q834" s="416" t="s">
        <v>420</v>
      </c>
      <c r="R834" s="284"/>
      <c r="S834" s="284"/>
      <c r="T834" s="421">
        <v>564259000</v>
      </c>
      <c r="U834" s="421"/>
      <c r="V834" s="432"/>
      <c r="W834" s="422"/>
      <c r="X834" s="382"/>
      <c r="Y834" s="433"/>
      <c r="Z834" s="433"/>
      <c r="AA834" s="382"/>
      <c r="AB834" s="433"/>
      <c r="AC834" s="433">
        <f t="shared" si="290"/>
        <v>0</v>
      </c>
      <c r="AD834" s="433"/>
      <c r="AE834" s="433"/>
      <c r="AF834" s="433"/>
      <c r="AG834" s="433"/>
      <c r="AM834" s="436"/>
      <c r="AN834" s="433"/>
      <c r="AO834" s="363"/>
      <c r="AP834" s="433"/>
      <c r="AR834" s="433">
        <f t="shared" ref="AR834:AR865" si="291">+Y834-Z834-AC834-AD834</f>
        <v>0</v>
      </c>
    </row>
    <row r="835" spans="1:50" s="222" customFormat="1" ht="15.95" customHeight="1" outlineLevel="2">
      <c r="A835" s="222" t="s">
        <v>419</v>
      </c>
      <c r="B835" s="350"/>
      <c r="C835" s="350"/>
      <c r="D835" s="350"/>
      <c r="E835" s="350"/>
      <c r="F835" s="350"/>
      <c r="G835" s="350"/>
      <c r="H835" s="350"/>
      <c r="I835" s="361"/>
      <c r="J835" s="362"/>
      <c r="L835" s="363"/>
      <c r="M835" s="363"/>
      <c r="N835" s="414" t="s">
        <v>1091</v>
      </c>
      <c r="O835" s="250"/>
      <c r="P835" s="250"/>
      <c r="Q835" s="417" t="s">
        <v>1094</v>
      </c>
      <c r="R835" s="284"/>
      <c r="S835" s="284"/>
      <c r="T835" s="424">
        <v>383044000</v>
      </c>
      <c r="U835" s="424"/>
      <c r="V835" s="434"/>
      <c r="W835" s="425"/>
      <c r="X835" s="382"/>
      <c r="Y835" s="435"/>
      <c r="Z835" s="435"/>
      <c r="AA835" s="382"/>
      <c r="AB835" s="435"/>
      <c r="AC835" s="435">
        <f t="shared" si="290"/>
        <v>0</v>
      </c>
      <c r="AD835" s="435"/>
      <c r="AE835" s="435"/>
      <c r="AF835" s="435"/>
      <c r="AG835" s="435"/>
      <c r="AM835" s="437"/>
      <c r="AN835" s="435"/>
      <c r="AO835" s="363"/>
      <c r="AP835" s="435"/>
      <c r="AR835" s="435">
        <f t="shared" si="291"/>
        <v>0</v>
      </c>
    </row>
    <row r="836" spans="1:50" s="222" customFormat="1" ht="15.95" customHeight="1" outlineLevel="2">
      <c r="A836" s="222" t="s">
        <v>419</v>
      </c>
      <c r="B836" s="350"/>
      <c r="C836" s="350"/>
      <c r="D836" s="350"/>
      <c r="E836" s="350"/>
      <c r="F836" s="350"/>
      <c r="G836" s="350"/>
      <c r="H836" s="350"/>
      <c r="I836" s="361"/>
      <c r="J836" s="362"/>
      <c r="L836" s="363"/>
      <c r="M836" s="363"/>
      <c r="N836" s="414" t="s">
        <v>1091</v>
      </c>
      <c r="O836" s="250"/>
      <c r="P836" s="250"/>
      <c r="Q836" s="417" t="s">
        <v>423</v>
      </c>
      <c r="R836" s="284"/>
      <c r="S836" s="284"/>
      <c r="T836" s="424">
        <v>23935000</v>
      </c>
      <c r="U836" s="424"/>
      <c r="V836" s="434"/>
      <c r="W836" s="425"/>
      <c r="X836" s="382"/>
      <c r="Y836" s="435"/>
      <c r="Z836" s="435"/>
      <c r="AA836" s="382"/>
      <c r="AB836" s="435"/>
      <c r="AC836" s="435">
        <f t="shared" si="290"/>
        <v>0</v>
      </c>
      <c r="AD836" s="435"/>
      <c r="AE836" s="435"/>
      <c r="AF836" s="435"/>
      <c r="AG836" s="435"/>
      <c r="AM836" s="437"/>
      <c r="AN836" s="435"/>
      <c r="AO836" s="363"/>
      <c r="AP836" s="435"/>
      <c r="AR836" s="435">
        <f t="shared" si="291"/>
        <v>0</v>
      </c>
    </row>
    <row r="837" spans="1:50" s="222" customFormat="1" ht="15.95" customHeight="1" outlineLevel="2">
      <c r="A837" s="222" t="s">
        <v>419</v>
      </c>
      <c r="B837" s="350"/>
      <c r="C837" s="350"/>
      <c r="D837" s="350"/>
      <c r="E837" s="350"/>
      <c r="F837" s="350"/>
      <c r="G837" s="350"/>
      <c r="H837" s="350"/>
      <c r="I837" s="361"/>
      <c r="J837" s="362"/>
      <c r="K837" s="418"/>
      <c r="L837" s="363"/>
      <c r="M837" s="363"/>
      <c r="N837" s="419"/>
      <c r="O837" s="419"/>
      <c r="P837" s="419"/>
      <c r="Q837" s="420"/>
      <c r="R837" s="427"/>
      <c r="S837" s="284"/>
      <c r="T837" s="427"/>
      <c r="U837" s="427"/>
      <c r="V837" s="427"/>
      <c r="W837" s="428"/>
      <c r="X837" s="382"/>
      <c r="Y837" s="429"/>
      <c r="Z837" s="429"/>
      <c r="AA837" s="382"/>
      <c r="AB837" s="429"/>
      <c r="AC837" s="429">
        <f t="shared" si="290"/>
        <v>0</v>
      </c>
      <c r="AD837" s="429"/>
      <c r="AE837" s="429"/>
      <c r="AF837" s="429"/>
      <c r="AG837" s="429"/>
      <c r="AM837" s="438"/>
      <c r="AN837" s="429"/>
      <c r="AO837" s="363"/>
      <c r="AP837" s="429"/>
      <c r="AR837" s="429">
        <f t="shared" si="291"/>
        <v>0</v>
      </c>
    </row>
    <row r="838" spans="1:50" s="218" customFormat="1" ht="25.5" customHeight="1" outlineLevel="2">
      <c r="A838" s="215" t="s">
        <v>125</v>
      </c>
      <c r="B838" s="151">
        <v>33</v>
      </c>
      <c r="C838" s="151" t="s">
        <v>128</v>
      </c>
      <c r="D838" s="245" t="s">
        <v>648</v>
      </c>
      <c r="E838" s="151" t="s">
        <v>169</v>
      </c>
      <c r="F838" s="151" t="s">
        <v>140</v>
      </c>
      <c r="G838" s="151" t="s">
        <v>37</v>
      </c>
      <c r="H838" s="151" t="s">
        <v>37</v>
      </c>
      <c r="I838" s="256">
        <v>36</v>
      </c>
      <c r="J838" s="151" t="s">
        <v>80</v>
      </c>
      <c r="K838" s="176" t="s">
        <v>1143</v>
      </c>
      <c r="L838" s="245">
        <v>30434988</v>
      </c>
      <c r="M838" s="855" t="s">
        <v>1608</v>
      </c>
      <c r="N838" s="245" t="s">
        <v>1091</v>
      </c>
      <c r="O838" s="245" t="s">
        <v>1144</v>
      </c>
      <c r="P838" s="245"/>
      <c r="Q838" s="176" t="s">
        <v>1145</v>
      </c>
      <c r="R838" s="273"/>
      <c r="S838" s="274"/>
      <c r="T838" s="327">
        <v>2000000000</v>
      </c>
      <c r="U838" s="327"/>
      <c r="V838" s="273"/>
      <c r="W838" s="273"/>
      <c r="X838" s="274"/>
      <c r="Y838" s="275">
        <v>2000000000</v>
      </c>
      <c r="Z838" s="275">
        <v>1104986431</v>
      </c>
      <c r="AA838" s="296"/>
      <c r="AB838" s="297">
        <f>865810000-6939905</f>
        <v>858870095</v>
      </c>
      <c r="AC838" s="297">
        <f t="shared" si="290"/>
        <v>57028696</v>
      </c>
      <c r="AD838" s="297">
        <f>+AB838-AC838</f>
        <v>801841399</v>
      </c>
      <c r="AE838" s="297">
        <v>0</v>
      </c>
      <c r="AF838" s="297">
        <v>0</v>
      </c>
      <c r="AG838" s="297">
        <v>0</v>
      </c>
      <c r="AH838" s="297">
        <v>0</v>
      </c>
      <c r="AI838" s="297">
        <v>0</v>
      </c>
      <c r="AJ838" s="297">
        <v>0</v>
      </c>
      <c r="AK838" s="297">
        <v>0</v>
      </c>
      <c r="AL838" s="297">
        <v>0</v>
      </c>
      <c r="AM838" s="297">
        <v>0</v>
      </c>
      <c r="AN838" s="297">
        <v>57028696</v>
      </c>
      <c r="AO838" s="297">
        <v>0</v>
      </c>
      <c r="AP838" s="297">
        <v>0</v>
      </c>
      <c r="AQ838" s="296"/>
      <c r="AR838" s="297">
        <f t="shared" si="291"/>
        <v>36143474</v>
      </c>
      <c r="AS838" s="313" t="s">
        <v>185</v>
      </c>
      <c r="AT838" s="313" t="s">
        <v>1475</v>
      </c>
      <c r="AU838" s="176" t="s">
        <v>138</v>
      </c>
      <c r="AW838" s="218" t="s">
        <v>1651</v>
      </c>
      <c r="AX838" s="218" t="s">
        <v>1638</v>
      </c>
    </row>
    <row r="839" spans="1:50" s="222" customFormat="1" ht="15.75" customHeight="1" outlineLevel="2">
      <c r="A839" s="222" t="s">
        <v>419</v>
      </c>
      <c r="B839" s="410"/>
      <c r="C839" s="410"/>
      <c r="D839" s="410"/>
      <c r="E839" s="410"/>
      <c r="F839" s="410"/>
      <c r="G839" s="410"/>
      <c r="H839" s="410"/>
      <c r="I839" s="412"/>
      <c r="J839" s="413"/>
      <c r="L839" s="363"/>
      <c r="M839" s="363"/>
      <c r="N839" s="414" t="s">
        <v>1091</v>
      </c>
      <c r="O839" s="415"/>
      <c r="P839" s="415"/>
      <c r="Q839" s="416" t="s">
        <v>420</v>
      </c>
      <c r="R839" s="284"/>
      <c r="S839" s="284"/>
      <c r="T839" s="421">
        <v>89900000</v>
      </c>
      <c r="U839" s="421"/>
      <c r="V839" s="432"/>
      <c r="W839" s="422"/>
      <c r="X839" s="382"/>
      <c r="Y839" s="433"/>
      <c r="Z839" s="433"/>
      <c r="AA839" s="382"/>
      <c r="AB839" s="433"/>
      <c r="AC839" s="433">
        <f t="shared" si="290"/>
        <v>0</v>
      </c>
      <c r="AD839" s="433"/>
      <c r="AE839" s="433"/>
      <c r="AF839" s="433"/>
      <c r="AG839" s="433"/>
      <c r="AM839" s="436"/>
      <c r="AN839" s="433"/>
      <c r="AO839" s="363"/>
      <c r="AP839" s="433"/>
      <c r="AR839" s="433">
        <f t="shared" si="291"/>
        <v>0</v>
      </c>
    </row>
    <row r="840" spans="1:50" s="222" customFormat="1" ht="15.95" customHeight="1" outlineLevel="2">
      <c r="A840" s="222" t="s">
        <v>419</v>
      </c>
      <c r="B840" s="350"/>
      <c r="C840" s="350"/>
      <c r="D840" s="350"/>
      <c r="E840" s="350"/>
      <c r="F840" s="350"/>
      <c r="G840" s="350"/>
      <c r="H840" s="350"/>
      <c r="I840" s="361"/>
      <c r="J840" s="362"/>
      <c r="L840" s="363"/>
      <c r="M840" s="363"/>
      <c r="N840" s="414" t="s">
        <v>1091</v>
      </c>
      <c r="O840" s="250"/>
      <c r="P840" s="250"/>
      <c r="Q840" s="417" t="s">
        <v>1094</v>
      </c>
      <c r="R840" s="284"/>
      <c r="S840" s="284"/>
      <c r="T840" s="424">
        <v>1899901000</v>
      </c>
      <c r="U840" s="424"/>
      <c r="V840" s="434"/>
      <c r="W840" s="425"/>
      <c r="X840" s="382"/>
      <c r="Y840" s="435"/>
      <c r="Z840" s="435"/>
      <c r="AA840" s="382"/>
      <c r="AB840" s="435"/>
      <c r="AC840" s="435">
        <f t="shared" si="290"/>
        <v>0</v>
      </c>
      <c r="AD840" s="435"/>
      <c r="AE840" s="435"/>
      <c r="AF840" s="435"/>
      <c r="AG840" s="435"/>
      <c r="AM840" s="437"/>
      <c r="AN840" s="435"/>
      <c r="AO840" s="363"/>
      <c r="AP840" s="435"/>
      <c r="AR840" s="435">
        <f t="shared" si="291"/>
        <v>0</v>
      </c>
    </row>
    <row r="841" spans="1:50" s="222" customFormat="1" ht="15.95" customHeight="1" outlineLevel="2">
      <c r="A841" s="222" t="s">
        <v>419</v>
      </c>
      <c r="B841" s="350"/>
      <c r="C841" s="350"/>
      <c r="D841" s="350"/>
      <c r="E841" s="350"/>
      <c r="F841" s="350"/>
      <c r="G841" s="350"/>
      <c r="H841" s="350"/>
      <c r="I841" s="361"/>
      <c r="J841" s="362"/>
      <c r="L841" s="363"/>
      <c r="M841" s="363"/>
      <c r="N841" s="414" t="s">
        <v>1091</v>
      </c>
      <c r="O841" s="250"/>
      <c r="P841" s="250"/>
      <c r="Q841" s="417" t="s">
        <v>423</v>
      </c>
      <c r="R841" s="284"/>
      <c r="S841" s="284"/>
      <c r="T841" s="424">
        <v>10199000</v>
      </c>
      <c r="U841" s="424"/>
      <c r="V841" s="434"/>
      <c r="W841" s="425"/>
      <c r="X841" s="382"/>
      <c r="Y841" s="435"/>
      <c r="Z841" s="435"/>
      <c r="AA841" s="382"/>
      <c r="AB841" s="435"/>
      <c r="AC841" s="435">
        <f t="shared" si="290"/>
        <v>0</v>
      </c>
      <c r="AD841" s="435"/>
      <c r="AE841" s="435"/>
      <c r="AF841" s="435"/>
      <c r="AG841" s="435"/>
      <c r="AM841" s="437"/>
      <c r="AN841" s="435"/>
      <c r="AO841" s="363"/>
      <c r="AP841" s="435"/>
      <c r="AR841" s="435">
        <f t="shared" si="291"/>
        <v>0</v>
      </c>
    </row>
    <row r="842" spans="1:50" s="222" customFormat="1" ht="15.95" customHeight="1" outlineLevel="2">
      <c r="A842" s="222" t="s">
        <v>419</v>
      </c>
      <c r="B842" s="350"/>
      <c r="C842" s="350"/>
      <c r="D842" s="350"/>
      <c r="E842" s="350"/>
      <c r="F842" s="350"/>
      <c r="G842" s="350"/>
      <c r="H842" s="350"/>
      <c r="I842" s="361"/>
      <c r="J842" s="362"/>
      <c r="K842" s="418"/>
      <c r="L842" s="363"/>
      <c r="M842" s="363"/>
      <c r="N842" s="419"/>
      <c r="O842" s="419"/>
      <c r="P842" s="419"/>
      <c r="Q842" s="420"/>
      <c r="R842" s="427"/>
      <c r="S842" s="284"/>
      <c r="T842" s="427"/>
      <c r="U842" s="427"/>
      <c r="V842" s="427"/>
      <c r="W842" s="428"/>
      <c r="X842" s="382"/>
      <c r="Y842" s="429"/>
      <c r="Z842" s="429"/>
      <c r="AA842" s="382"/>
      <c r="AB842" s="429"/>
      <c r="AC842" s="429">
        <f t="shared" si="290"/>
        <v>0</v>
      </c>
      <c r="AD842" s="429"/>
      <c r="AE842" s="429"/>
      <c r="AF842" s="429"/>
      <c r="AG842" s="429"/>
      <c r="AM842" s="438"/>
      <c r="AN842" s="429"/>
      <c r="AO842" s="363"/>
      <c r="AP842" s="429"/>
      <c r="AR842" s="429">
        <f t="shared" si="291"/>
        <v>0</v>
      </c>
    </row>
    <row r="843" spans="1:50" s="218" customFormat="1" ht="25.5" customHeight="1" outlineLevel="2">
      <c r="A843" s="215" t="s">
        <v>125</v>
      </c>
      <c r="B843" s="151">
        <v>33</v>
      </c>
      <c r="C843" s="151" t="s">
        <v>128</v>
      </c>
      <c r="D843" s="245" t="s">
        <v>618</v>
      </c>
      <c r="E843" s="151" t="s">
        <v>169</v>
      </c>
      <c r="F843" s="151" t="s">
        <v>649</v>
      </c>
      <c r="G843" s="151" t="s">
        <v>37</v>
      </c>
      <c r="H843" s="151" t="s">
        <v>37</v>
      </c>
      <c r="I843" s="256">
        <v>36</v>
      </c>
      <c r="J843" s="151" t="s">
        <v>82</v>
      </c>
      <c r="K843" s="176" t="s">
        <v>1140</v>
      </c>
      <c r="L843" s="245">
        <v>30337226</v>
      </c>
      <c r="M843" s="855" t="s">
        <v>1609</v>
      </c>
      <c r="N843" s="245" t="s">
        <v>1091</v>
      </c>
      <c r="O843" s="245" t="s">
        <v>1146</v>
      </c>
      <c r="P843" s="245"/>
      <c r="Q843" s="176" t="s">
        <v>1147</v>
      </c>
      <c r="R843" s="273"/>
      <c r="S843" s="274"/>
      <c r="T843" s="327">
        <v>1781184000</v>
      </c>
      <c r="U843" s="327"/>
      <c r="V843" s="273"/>
      <c r="W843" s="273"/>
      <c r="X843" s="274"/>
      <c r="Y843" s="275">
        <v>1275000000</v>
      </c>
      <c r="Z843" s="275">
        <v>1170998840</v>
      </c>
      <c r="AA843" s="296"/>
      <c r="AB843" s="297">
        <v>66000000</v>
      </c>
      <c r="AC843" s="297">
        <f t="shared" si="290"/>
        <v>0</v>
      </c>
      <c r="AD843" s="297">
        <f>+AB843-AC843</f>
        <v>66000000</v>
      </c>
      <c r="AE843" s="297">
        <v>0</v>
      </c>
      <c r="AF843" s="297">
        <v>0</v>
      </c>
      <c r="AG843" s="297">
        <v>0</v>
      </c>
      <c r="AH843" s="297">
        <v>0</v>
      </c>
      <c r="AI843" s="297">
        <v>0</v>
      </c>
      <c r="AJ843" s="297">
        <v>0</v>
      </c>
      <c r="AK843" s="297">
        <v>0</v>
      </c>
      <c r="AL843" s="297">
        <v>0</v>
      </c>
      <c r="AM843" s="297">
        <v>0</v>
      </c>
      <c r="AN843" s="297">
        <v>0</v>
      </c>
      <c r="AO843" s="297">
        <v>0</v>
      </c>
      <c r="AP843" s="297">
        <v>0</v>
      </c>
      <c r="AQ843" s="296"/>
      <c r="AR843" s="297">
        <f t="shared" si="291"/>
        <v>38001160</v>
      </c>
      <c r="AS843" s="313" t="s">
        <v>185</v>
      </c>
      <c r="AT843" s="313" t="s">
        <v>1475</v>
      </c>
      <c r="AU843" s="176" t="s">
        <v>138</v>
      </c>
      <c r="AW843" s="218" t="s">
        <v>1653</v>
      </c>
      <c r="AX843" s="218" t="s">
        <v>1638</v>
      </c>
    </row>
    <row r="844" spans="1:50" s="222" customFormat="1" ht="15.75" customHeight="1" outlineLevel="2">
      <c r="A844" s="222" t="s">
        <v>419</v>
      </c>
      <c r="B844" s="410"/>
      <c r="C844" s="410"/>
      <c r="D844" s="410"/>
      <c r="E844" s="410"/>
      <c r="F844" s="410"/>
      <c r="G844" s="410"/>
      <c r="H844" s="410"/>
      <c r="I844" s="412"/>
      <c r="J844" s="413"/>
      <c r="L844" s="363"/>
      <c r="M844" s="363"/>
      <c r="N844" s="414" t="s">
        <v>1091</v>
      </c>
      <c r="O844" s="415"/>
      <c r="P844" s="415"/>
      <c r="Q844" s="416" t="s">
        <v>420</v>
      </c>
      <c r="R844" s="284"/>
      <c r="S844" s="284"/>
      <c r="T844" s="421">
        <v>244000000</v>
      </c>
      <c r="U844" s="421"/>
      <c r="V844" s="432"/>
      <c r="W844" s="422"/>
      <c r="X844" s="382"/>
      <c r="Y844" s="433"/>
      <c r="Z844" s="433"/>
      <c r="AA844" s="382"/>
      <c r="AB844" s="433"/>
      <c r="AC844" s="433">
        <f t="shared" si="290"/>
        <v>0</v>
      </c>
      <c r="AD844" s="433"/>
      <c r="AE844" s="433"/>
      <c r="AF844" s="433"/>
      <c r="AG844" s="433"/>
      <c r="AM844" s="436"/>
      <c r="AN844" s="433"/>
      <c r="AO844" s="363"/>
      <c r="AP844" s="433"/>
      <c r="AR844" s="433">
        <f t="shared" si="291"/>
        <v>0</v>
      </c>
    </row>
    <row r="845" spans="1:50" s="222" customFormat="1" ht="15.95" customHeight="1" outlineLevel="2">
      <c r="A845" s="222" t="s">
        <v>419</v>
      </c>
      <c r="B845" s="350"/>
      <c r="C845" s="350"/>
      <c r="D845" s="350"/>
      <c r="E845" s="350"/>
      <c r="F845" s="350"/>
      <c r="G845" s="350"/>
      <c r="H845" s="350"/>
      <c r="I845" s="361"/>
      <c r="J845" s="362"/>
      <c r="L845" s="363"/>
      <c r="M845" s="363"/>
      <c r="N845" s="414" t="s">
        <v>1091</v>
      </c>
      <c r="O845" s="250"/>
      <c r="P845" s="250"/>
      <c r="Q845" s="417" t="s">
        <v>1094</v>
      </c>
      <c r="R845" s="284"/>
      <c r="S845" s="284"/>
      <c r="T845" s="424">
        <v>1526386000</v>
      </c>
      <c r="U845" s="424"/>
      <c r="V845" s="434"/>
      <c r="W845" s="425"/>
      <c r="X845" s="382"/>
      <c r="Y845" s="435"/>
      <c r="Z845" s="435"/>
      <c r="AA845" s="382"/>
      <c r="AB845" s="435"/>
      <c r="AC845" s="435">
        <f t="shared" si="290"/>
        <v>0</v>
      </c>
      <c r="AD845" s="435"/>
      <c r="AE845" s="435"/>
      <c r="AF845" s="435"/>
      <c r="AG845" s="435"/>
      <c r="AM845" s="437"/>
      <c r="AN845" s="435"/>
      <c r="AO845" s="363"/>
      <c r="AP845" s="435"/>
      <c r="AR845" s="435">
        <f t="shared" si="291"/>
        <v>0</v>
      </c>
    </row>
    <row r="846" spans="1:50" s="222" customFormat="1" ht="15.95" customHeight="1" outlineLevel="2">
      <c r="A846" s="222" t="s">
        <v>419</v>
      </c>
      <c r="B846" s="350"/>
      <c r="C846" s="350"/>
      <c r="D846" s="350"/>
      <c r="E846" s="350"/>
      <c r="F846" s="350"/>
      <c r="G846" s="350"/>
      <c r="H846" s="350"/>
      <c r="I846" s="361"/>
      <c r="J846" s="362"/>
      <c r="L846" s="363"/>
      <c r="M846" s="363"/>
      <c r="N846" s="414" t="s">
        <v>1091</v>
      </c>
      <c r="O846" s="250"/>
      <c r="P846" s="250"/>
      <c r="Q846" s="417" t="s">
        <v>423</v>
      </c>
      <c r="R846" s="284"/>
      <c r="S846" s="284"/>
      <c r="T846" s="424">
        <v>10798000</v>
      </c>
      <c r="U846" s="424"/>
      <c r="V846" s="434"/>
      <c r="W846" s="425"/>
      <c r="X846" s="382"/>
      <c r="Y846" s="435"/>
      <c r="Z846" s="435"/>
      <c r="AA846" s="382"/>
      <c r="AB846" s="435"/>
      <c r="AC846" s="435">
        <f t="shared" si="290"/>
        <v>0</v>
      </c>
      <c r="AD846" s="435"/>
      <c r="AE846" s="435"/>
      <c r="AF846" s="435"/>
      <c r="AG846" s="435"/>
      <c r="AM846" s="437"/>
      <c r="AN846" s="435"/>
      <c r="AO846" s="363"/>
      <c r="AP846" s="435"/>
      <c r="AR846" s="435">
        <f t="shared" si="291"/>
        <v>0</v>
      </c>
    </row>
    <row r="847" spans="1:50" s="222" customFormat="1" ht="15.95" customHeight="1" outlineLevel="2">
      <c r="A847" s="222" t="s">
        <v>419</v>
      </c>
      <c r="B847" s="350"/>
      <c r="C847" s="350"/>
      <c r="D847" s="350"/>
      <c r="E847" s="350"/>
      <c r="F847" s="350"/>
      <c r="G847" s="350"/>
      <c r="H847" s="350"/>
      <c r="I847" s="361"/>
      <c r="J847" s="362"/>
      <c r="K847" s="418"/>
      <c r="L847" s="363"/>
      <c r="M847" s="363"/>
      <c r="N847" s="419"/>
      <c r="O847" s="419"/>
      <c r="P847" s="419"/>
      <c r="Q847" s="420"/>
      <c r="R847" s="427"/>
      <c r="S847" s="284"/>
      <c r="T847" s="427"/>
      <c r="U847" s="427"/>
      <c r="V847" s="427"/>
      <c r="W847" s="428"/>
      <c r="X847" s="382"/>
      <c r="Y847" s="429"/>
      <c r="Z847" s="429"/>
      <c r="AA847" s="382"/>
      <c r="AB847" s="429"/>
      <c r="AC847" s="429">
        <f t="shared" si="290"/>
        <v>0</v>
      </c>
      <c r="AD847" s="429"/>
      <c r="AE847" s="429"/>
      <c r="AF847" s="429"/>
      <c r="AG847" s="429"/>
      <c r="AM847" s="438"/>
      <c r="AN847" s="429"/>
      <c r="AO847" s="363"/>
      <c r="AP847" s="429"/>
      <c r="AR847" s="429">
        <f t="shared" si="291"/>
        <v>0</v>
      </c>
    </row>
    <row r="848" spans="1:50" s="218" customFormat="1" ht="25.5" customHeight="1" outlineLevel="2">
      <c r="A848" s="215" t="s">
        <v>125</v>
      </c>
      <c r="B848" s="151">
        <v>33</v>
      </c>
      <c r="C848" s="151" t="s">
        <v>128</v>
      </c>
      <c r="D848" s="245" t="s">
        <v>149</v>
      </c>
      <c r="E848" s="151" t="s">
        <v>169</v>
      </c>
      <c r="F848" s="151" t="s">
        <v>140</v>
      </c>
      <c r="G848" s="151" t="s">
        <v>37</v>
      </c>
      <c r="H848" s="151" t="s">
        <v>37</v>
      </c>
      <c r="I848" s="256">
        <v>36</v>
      </c>
      <c r="J848" s="151" t="s">
        <v>87</v>
      </c>
      <c r="K848" s="176" t="s">
        <v>87</v>
      </c>
      <c r="L848" s="245" t="s">
        <v>87</v>
      </c>
      <c r="M848" s="855"/>
      <c r="N848" s="245"/>
      <c r="O848" s="245" t="s">
        <v>1148</v>
      </c>
      <c r="P848" s="245"/>
      <c r="Q848" s="176" t="s">
        <v>1149</v>
      </c>
      <c r="R848" s="273"/>
      <c r="S848" s="274"/>
      <c r="T848" s="273"/>
      <c r="U848" s="273"/>
      <c r="V848" s="273"/>
      <c r="W848" s="273"/>
      <c r="X848" s="274"/>
      <c r="Y848" s="275">
        <f>+AB848</f>
        <v>1542573000</v>
      </c>
      <c r="Z848" s="275">
        <v>0</v>
      </c>
      <c r="AA848" s="296"/>
      <c r="AB848" s="297">
        <v>1542573000</v>
      </c>
      <c r="AC848" s="297">
        <f t="shared" si="290"/>
        <v>214072797</v>
      </c>
      <c r="AD848" s="297">
        <f>+AB848-AC848</f>
        <v>1328500203</v>
      </c>
      <c r="AE848" s="297">
        <v>0</v>
      </c>
      <c r="AF848" s="297">
        <v>0</v>
      </c>
      <c r="AG848" s="297">
        <v>0</v>
      </c>
      <c r="AH848" s="297">
        <v>0</v>
      </c>
      <c r="AI848" s="297">
        <v>0</v>
      </c>
      <c r="AJ848" s="297">
        <v>3100000</v>
      </c>
      <c r="AK848" s="297">
        <v>700000</v>
      </c>
      <c r="AL848" s="297">
        <v>4295797</v>
      </c>
      <c r="AM848" s="297">
        <v>98350000</v>
      </c>
      <c r="AN848" s="297">
        <v>107627000</v>
      </c>
      <c r="AO848" s="297">
        <v>0</v>
      </c>
      <c r="AP848" s="297">
        <v>0</v>
      </c>
      <c r="AQ848" s="296"/>
      <c r="AR848" s="297">
        <f t="shared" si="291"/>
        <v>0</v>
      </c>
      <c r="AS848" s="313" t="s">
        <v>185</v>
      </c>
      <c r="AT848" s="313" t="s">
        <v>87</v>
      </c>
      <c r="AU848" s="176" t="s">
        <v>138</v>
      </c>
    </row>
    <row r="849" spans="1:50" s="218" customFormat="1" ht="25.5" customHeight="1" outlineLevel="2">
      <c r="A849" s="215" t="s">
        <v>125</v>
      </c>
      <c r="B849" s="151">
        <v>33</v>
      </c>
      <c r="C849" s="151" t="s">
        <v>128</v>
      </c>
      <c r="D849" s="245" t="s">
        <v>618</v>
      </c>
      <c r="E849" s="151" t="s">
        <v>169</v>
      </c>
      <c r="F849" s="151" t="s">
        <v>649</v>
      </c>
      <c r="G849" s="151" t="s">
        <v>37</v>
      </c>
      <c r="H849" s="151" t="s">
        <v>37</v>
      </c>
      <c r="I849" s="256">
        <v>36</v>
      </c>
      <c r="J849" s="151" t="s">
        <v>80</v>
      </c>
      <c r="K849" s="176" t="s">
        <v>1150</v>
      </c>
      <c r="L849" s="245">
        <v>30461825</v>
      </c>
      <c r="M849" s="855"/>
      <c r="N849" s="245" t="s">
        <v>1091</v>
      </c>
      <c r="O849" s="245" t="s">
        <v>1151</v>
      </c>
      <c r="P849" s="245"/>
      <c r="Q849" s="176" t="s">
        <v>1152</v>
      </c>
      <c r="R849" s="273"/>
      <c r="S849" s="274"/>
      <c r="T849" s="327">
        <v>172830000</v>
      </c>
      <c r="U849" s="327"/>
      <c r="V849" s="327">
        <v>172830000</v>
      </c>
      <c r="W849" s="273"/>
      <c r="X849" s="274"/>
      <c r="Y849" s="275">
        <v>172830000</v>
      </c>
      <c r="Z849" s="275">
        <v>28937750</v>
      </c>
      <c r="AA849" s="296"/>
      <c r="AB849" s="297">
        <v>88535667</v>
      </c>
      <c r="AC849" s="297">
        <f t="shared" si="290"/>
        <v>59375500</v>
      </c>
      <c r="AD849" s="297">
        <f>+AB849-AC849</f>
        <v>29160167</v>
      </c>
      <c r="AE849" s="297">
        <v>0</v>
      </c>
      <c r="AF849" s="297">
        <v>0</v>
      </c>
      <c r="AG849" s="297">
        <v>0</v>
      </c>
      <c r="AH849" s="297">
        <v>0</v>
      </c>
      <c r="AI849" s="297">
        <v>0</v>
      </c>
      <c r="AJ849" s="297">
        <v>3000000</v>
      </c>
      <c r="AK849" s="297">
        <v>0</v>
      </c>
      <c r="AL849" s="297">
        <v>31786000</v>
      </c>
      <c r="AM849" s="297">
        <v>0</v>
      </c>
      <c r="AN849" s="297">
        <v>24589500</v>
      </c>
      <c r="AO849" s="297">
        <v>0</v>
      </c>
      <c r="AP849" s="297">
        <v>0</v>
      </c>
      <c r="AQ849" s="296"/>
      <c r="AR849" s="297">
        <f t="shared" si="291"/>
        <v>55356583</v>
      </c>
      <c r="AS849" s="313" t="s">
        <v>185</v>
      </c>
      <c r="AT849" s="313" t="s">
        <v>1475</v>
      </c>
      <c r="AU849" s="176" t="s">
        <v>138</v>
      </c>
      <c r="AX849" s="218" t="s">
        <v>1638</v>
      </c>
    </row>
    <row r="850" spans="1:50" s="222" customFormat="1" ht="15.75" customHeight="1" outlineLevel="2">
      <c r="A850" s="222" t="s">
        <v>419</v>
      </c>
      <c r="B850" s="410"/>
      <c r="C850" s="410"/>
      <c r="D850" s="410"/>
      <c r="E850" s="410"/>
      <c r="F850" s="410"/>
      <c r="G850" s="410"/>
      <c r="H850" s="410"/>
      <c r="I850" s="412"/>
      <c r="J850" s="413"/>
      <c r="L850" s="363"/>
      <c r="M850" s="363"/>
      <c r="N850" s="414" t="s">
        <v>1091</v>
      </c>
      <c r="O850" s="415"/>
      <c r="P850" s="415"/>
      <c r="Q850" s="416" t="s">
        <v>420</v>
      </c>
      <c r="R850" s="284"/>
      <c r="S850" s="284"/>
      <c r="T850" s="421">
        <v>20000000</v>
      </c>
      <c r="U850" s="421"/>
      <c r="V850" s="421">
        <v>20000000</v>
      </c>
      <c r="W850" s="422"/>
      <c r="X850" s="382"/>
      <c r="Y850" s="433">
        <v>20000000</v>
      </c>
      <c r="Z850" s="433"/>
      <c r="AA850" s="382"/>
      <c r="AB850" s="433"/>
      <c r="AC850" s="433">
        <f t="shared" si="290"/>
        <v>0</v>
      </c>
      <c r="AD850" s="433"/>
      <c r="AE850" s="433"/>
      <c r="AF850" s="433"/>
      <c r="AG850" s="433"/>
      <c r="AM850" s="436"/>
      <c r="AN850" s="433"/>
      <c r="AO850" s="363"/>
      <c r="AP850" s="433"/>
      <c r="AR850" s="433">
        <f t="shared" si="291"/>
        <v>20000000</v>
      </c>
    </row>
    <row r="851" spans="1:50" s="222" customFormat="1" ht="15.95" customHeight="1" outlineLevel="2">
      <c r="A851" s="222" t="s">
        <v>419</v>
      </c>
      <c r="B851" s="350"/>
      <c r="C851" s="350"/>
      <c r="D851" s="350"/>
      <c r="E851" s="350"/>
      <c r="F851" s="350"/>
      <c r="G851" s="350"/>
      <c r="H851" s="350"/>
      <c r="I851" s="361"/>
      <c r="J851" s="362"/>
      <c r="L851" s="363"/>
      <c r="M851" s="363"/>
      <c r="N851" s="414" t="s">
        <v>1091</v>
      </c>
      <c r="O851" s="250"/>
      <c r="P851" s="250"/>
      <c r="Q851" s="417" t="s">
        <v>1094</v>
      </c>
      <c r="R851" s="284"/>
      <c r="S851" s="284"/>
      <c r="T851" s="424">
        <v>143933000</v>
      </c>
      <c r="U851" s="424"/>
      <c r="V851" s="424">
        <v>143930000</v>
      </c>
      <c r="W851" s="425"/>
      <c r="X851" s="382"/>
      <c r="Y851" s="435">
        <v>143930000</v>
      </c>
      <c r="Z851" s="435"/>
      <c r="AA851" s="382"/>
      <c r="AB851" s="435"/>
      <c r="AC851" s="435">
        <f t="shared" si="290"/>
        <v>0</v>
      </c>
      <c r="AD851" s="435"/>
      <c r="AE851" s="435"/>
      <c r="AF851" s="435"/>
      <c r="AG851" s="435"/>
      <c r="AM851" s="437"/>
      <c r="AN851" s="435"/>
      <c r="AO851" s="363"/>
      <c r="AP851" s="435"/>
      <c r="AR851" s="435">
        <f t="shared" si="291"/>
        <v>143930000</v>
      </c>
    </row>
    <row r="852" spans="1:50" s="222" customFormat="1" ht="15.95" customHeight="1" outlineLevel="2">
      <c r="A852" s="222" t="s">
        <v>419</v>
      </c>
      <c r="B852" s="350"/>
      <c r="C852" s="350"/>
      <c r="D852" s="350"/>
      <c r="E852" s="350"/>
      <c r="F852" s="350"/>
      <c r="G852" s="350"/>
      <c r="H852" s="350"/>
      <c r="I852" s="361"/>
      <c r="J852" s="362"/>
      <c r="L852" s="363"/>
      <c r="M852" s="363"/>
      <c r="N852" s="414" t="s">
        <v>1091</v>
      </c>
      <c r="O852" s="250"/>
      <c r="P852" s="250"/>
      <c r="Q852" s="417" t="s">
        <v>423</v>
      </c>
      <c r="R852" s="284"/>
      <c r="S852" s="284"/>
      <c r="T852" s="424">
        <v>8897000</v>
      </c>
      <c r="U852" s="424"/>
      <c r="V852" s="424">
        <v>8900000</v>
      </c>
      <c r="W852" s="425"/>
      <c r="X852" s="382"/>
      <c r="Y852" s="435">
        <v>8900000</v>
      </c>
      <c r="Z852" s="435"/>
      <c r="AA852" s="382"/>
      <c r="AB852" s="435"/>
      <c r="AC852" s="435">
        <f t="shared" si="290"/>
        <v>0</v>
      </c>
      <c r="AD852" s="435"/>
      <c r="AE852" s="435"/>
      <c r="AF852" s="435"/>
      <c r="AG852" s="435"/>
      <c r="AM852" s="437"/>
      <c r="AN852" s="435"/>
      <c r="AO852" s="363"/>
      <c r="AP852" s="435"/>
      <c r="AR852" s="435">
        <f t="shared" si="291"/>
        <v>8900000</v>
      </c>
    </row>
    <row r="853" spans="1:50" s="222" customFormat="1" ht="15.95" customHeight="1" outlineLevel="2">
      <c r="A853" s="222" t="s">
        <v>419</v>
      </c>
      <c r="B853" s="350"/>
      <c r="C853" s="350"/>
      <c r="D853" s="350"/>
      <c r="E853" s="350"/>
      <c r="F853" s="350"/>
      <c r="G853" s="350"/>
      <c r="H853" s="350"/>
      <c r="I853" s="361"/>
      <c r="J853" s="362"/>
      <c r="K853" s="418"/>
      <c r="L853" s="363"/>
      <c r="M853" s="363"/>
      <c r="N853" s="419"/>
      <c r="O853" s="419"/>
      <c r="P853" s="419"/>
      <c r="Q853" s="420"/>
      <c r="R853" s="427"/>
      <c r="S853" s="284"/>
      <c r="T853" s="427"/>
      <c r="U853" s="427"/>
      <c r="V853" s="427"/>
      <c r="W853" s="428"/>
      <c r="X853" s="382"/>
      <c r="Y853" s="429"/>
      <c r="Z853" s="429"/>
      <c r="AA853" s="382"/>
      <c r="AB853" s="429"/>
      <c r="AC853" s="429">
        <f t="shared" si="290"/>
        <v>0</v>
      </c>
      <c r="AD853" s="429"/>
      <c r="AE853" s="429"/>
      <c r="AF853" s="429"/>
      <c r="AG853" s="429"/>
      <c r="AM853" s="438"/>
      <c r="AN853" s="429"/>
      <c r="AO853" s="363"/>
      <c r="AP853" s="429"/>
      <c r="AR853" s="429">
        <f t="shared" si="291"/>
        <v>0</v>
      </c>
    </row>
    <row r="854" spans="1:50" s="218" customFormat="1" ht="25.5" customHeight="1" outlineLevel="2">
      <c r="A854" s="215" t="s">
        <v>125</v>
      </c>
      <c r="B854" s="151">
        <v>33</v>
      </c>
      <c r="C854" s="151" t="s">
        <v>128</v>
      </c>
      <c r="D854" s="245" t="s">
        <v>618</v>
      </c>
      <c r="E854" s="151" t="s">
        <v>169</v>
      </c>
      <c r="F854" s="151" t="s">
        <v>649</v>
      </c>
      <c r="G854" s="151" t="s">
        <v>37</v>
      </c>
      <c r="H854" s="151" t="s">
        <v>37</v>
      </c>
      <c r="I854" s="256">
        <v>36</v>
      </c>
      <c r="J854" s="151" t="s">
        <v>80</v>
      </c>
      <c r="K854" s="176" t="s">
        <v>1153</v>
      </c>
      <c r="L854" s="245">
        <v>30484364</v>
      </c>
      <c r="M854" s="855"/>
      <c r="N854" s="245" t="s">
        <v>1091</v>
      </c>
      <c r="O854" s="245" t="s">
        <v>1154</v>
      </c>
      <c r="P854" s="245"/>
      <c r="Q854" s="176" t="s">
        <v>1155</v>
      </c>
      <c r="R854" s="273"/>
      <c r="S854" s="274"/>
      <c r="T854" s="327">
        <v>230000000</v>
      </c>
      <c r="U854" s="327"/>
      <c r="V854" s="327">
        <v>230000000</v>
      </c>
      <c r="W854" s="273"/>
      <c r="X854" s="274"/>
      <c r="Y854" s="275">
        <v>230000000</v>
      </c>
      <c r="Z854" s="275">
        <v>223000000</v>
      </c>
      <c r="AA854" s="296"/>
      <c r="AB854" s="297">
        <v>7000000</v>
      </c>
      <c r="AC854" s="297">
        <f t="shared" si="290"/>
        <v>0</v>
      </c>
      <c r="AD854" s="297">
        <f>+AB854-AC854</f>
        <v>7000000</v>
      </c>
      <c r="AE854" s="297">
        <v>0</v>
      </c>
      <c r="AF854" s="297">
        <v>0</v>
      </c>
      <c r="AG854" s="297">
        <v>0</v>
      </c>
      <c r="AH854" s="297">
        <v>0</v>
      </c>
      <c r="AI854" s="297">
        <v>0</v>
      </c>
      <c r="AJ854" s="297">
        <v>0</v>
      </c>
      <c r="AK854" s="297">
        <v>0</v>
      </c>
      <c r="AL854" s="297">
        <v>0</v>
      </c>
      <c r="AM854" s="297">
        <v>0</v>
      </c>
      <c r="AN854" s="297">
        <v>0</v>
      </c>
      <c r="AO854" s="297">
        <v>0</v>
      </c>
      <c r="AP854" s="297">
        <v>0</v>
      </c>
      <c r="AQ854" s="296"/>
      <c r="AR854" s="297">
        <f t="shared" si="291"/>
        <v>0</v>
      </c>
      <c r="AS854" s="313" t="s">
        <v>185</v>
      </c>
      <c r="AT854" s="313" t="s">
        <v>1475</v>
      </c>
      <c r="AU854" s="176" t="s">
        <v>138</v>
      </c>
      <c r="AW854" s="218" t="s">
        <v>1654</v>
      </c>
    </row>
    <row r="855" spans="1:50" s="222" customFormat="1" ht="15.75" customHeight="1" outlineLevel="2">
      <c r="A855" s="222" t="s">
        <v>419</v>
      </c>
      <c r="B855" s="410"/>
      <c r="C855" s="410"/>
      <c r="D855" s="410"/>
      <c r="E855" s="410"/>
      <c r="F855" s="410"/>
      <c r="G855" s="410"/>
      <c r="H855" s="410"/>
      <c r="I855" s="412"/>
      <c r="J855" s="413"/>
      <c r="L855" s="363"/>
      <c r="M855" s="363"/>
      <c r="N855" s="414" t="s">
        <v>1091</v>
      </c>
      <c r="O855" s="415"/>
      <c r="P855" s="415"/>
      <c r="Q855" s="416" t="s">
        <v>420</v>
      </c>
      <c r="R855" s="284"/>
      <c r="S855" s="284"/>
      <c r="T855" s="421">
        <v>13000000</v>
      </c>
      <c r="U855" s="421"/>
      <c r="V855" s="421">
        <v>9600000</v>
      </c>
      <c r="W855" s="422"/>
      <c r="X855" s="382"/>
      <c r="Y855" s="433">
        <v>9600000</v>
      </c>
      <c r="Z855" s="433"/>
      <c r="AA855" s="382"/>
      <c r="AB855" s="433"/>
      <c r="AC855" s="433">
        <f t="shared" si="290"/>
        <v>0</v>
      </c>
      <c r="AD855" s="433"/>
      <c r="AE855" s="433"/>
      <c r="AF855" s="433"/>
      <c r="AG855" s="433"/>
      <c r="AM855" s="436"/>
      <c r="AN855" s="433"/>
      <c r="AO855" s="363"/>
      <c r="AP855" s="433"/>
      <c r="AR855" s="433">
        <f t="shared" si="291"/>
        <v>9600000</v>
      </c>
    </row>
    <row r="856" spans="1:50" s="222" customFormat="1" ht="15.95" customHeight="1" outlineLevel="2">
      <c r="A856" s="222" t="s">
        <v>419</v>
      </c>
      <c r="B856" s="350"/>
      <c r="C856" s="350"/>
      <c r="D856" s="350"/>
      <c r="E856" s="350"/>
      <c r="F856" s="350"/>
      <c r="G856" s="350"/>
      <c r="H856" s="350"/>
      <c r="I856" s="361"/>
      <c r="J856" s="362"/>
      <c r="L856" s="363"/>
      <c r="M856" s="363"/>
      <c r="N856" s="414" t="s">
        <v>1091</v>
      </c>
      <c r="O856" s="250"/>
      <c r="P856" s="250"/>
      <c r="Q856" s="417" t="s">
        <v>1094</v>
      </c>
      <c r="R856" s="284"/>
      <c r="S856" s="284"/>
      <c r="T856" s="424">
        <v>210000000</v>
      </c>
      <c r="U856" s="424"/>
      <c r="V856" s="424">
        <v>213000000</v>
      </c>
      <c r="W856" s="425"/>
      <c r="X856" s="382"/>
      <c r="Y856" s="435">
        <v>213000000</v>
      </c>
      <c r="Z856" s="435"/>
      <c r="AA856" s="382"/>
      <c r="AB856" s="435"/>
      <c r="AC856" s="435">
        <f t="shared" si="290"/>
        <v>0</v>
      </c>
      <c r="AD856" s="435"/>
      <c r="AE856" s="435"/>
      <c r="AF856" s="435"/>
      <c r="AG856" s="435"/>
      <c r="AM856" s="437"/>
      <c r="AN856" s="435"/>
      <c r="AO856" s="363"/>
      <c r="AP856" s="435"/>
      <c r="AR856" s="435">
        <f t="shared" si="291"/>
        <v>213000000</v>
      </c>
    </row>
    <row r="857" spans="1:50" s="222" customFormat="1" ht="15.95" customHeight="1" outlineLevel="2">
      <c r="A857" s="222" t="s">
        <v>419</v>
      </c>
      <c r="B857" s="350"/>
      <c r="C857" s="350"/>
      <c r="D857" s="350"/>
      <c r="E857" s="350"/>
      <c r="F857" s="350"/>
      <c r="G857" s="350"/>
      <c r="H857" s="350"/>
      <c r="I857" s="361"/>
      <c r="J857" s="362"/>
      <c r="L857" s="363"/>
      <c r="M857" s="363"/>
      <c r="N857" s="414" t="s">
        <v>1091</v>
      </c>
      <c r="O857" s="250"/>
      <c r="P857" s="250"/>
      <c r="Q857" s="417" t="s">
        <v>423</v>
      </c>
      <c r="R857" s="284"/>
      <c r="S857" s="284"/>
      <c r="T857" s="424">
        <v>7000000</v>
      </c>
      <c r="U857" s="424"/>
      <c r="V857" s="424">
        <v>7400000</v>
      </c>
      <c r="W857" s="425"/>
      <c r="X857" s="382"/>
      <c r="Y857" s="435">
        <v>7400000</v>
      </c>
      <c r="Z857" s="435"/>
      <c r="AA857" s="382"/>
      <c r="AB857" s="435"/>
      <c r="AC857" s="435">
        <f t="shared" si="290"/>
        <v>0</v>
      </c>
      <c r="AD857" s="435"/>
      <c r="AE857" s="435"/>
      <c r="AF857" s="435"/>
      <c r="AG857" s="435"/>
      <c r="AM857" s="437"/>
      <c r="AN857" s="435"/>
      <c r="AO857" s="363"/>
      <c r="AP857" s="435"/>
      <c r="AR857" s="435">
        <f t="shared" si="291"/>
        <v>7400000</v>
      </c>
    </row>
    <row r="858" spans="1:50" s="222" customFormat="1" ht="15.95" customHeight="1" outlineLevel="2">
      <c r="A858" s="222" t="s">
        <v>419</v>
      </c>
      <c r="B858" s="350"/>
      <c r="C858" s="350"/>
      <c r="D858" s="350"/>
      <c r="E858" s="350"/>
      <c r="F858" s="350"/>
      <c r="G858" s="350"/>
      <c r="H858" s="350"/>
      <c r="I858" s="361"/>
      <c r="J858" s="362"/>
      <c r="K858" s="418"/>
      <c r="L858" s="363"/>
      <c r="M858" s="363"/>
      <c r="N858" s="419"/>
      <c r="O858" s="419"/>
      <c r="P858" s="419"/>
      <c r="Q858" s="420"/>
      <c r="R858" s="427"/>
      <c r="S858" s="284"/>
      <c r="T858" s="427"/>
      <c r="U858" s="427"/>
      <c r="V858" s="427"/>
      <c r="W858" s="428"/>
      <c r="X858" s="382"/>
      <c r="Y858" s="429"/>
      <c r="Z858" s="429"/>
      <c r="AA858" s="382"/>
      <c r="AB858" s="429"/>
      <c r="AC858" s="429">
        <f t="shared" si="290"/>
        <v>0</v>
      </c>
      <c r="AD858" s="429"/>
      <c r="AE858" s="429"/>
      <c r="AF858" s="429"/>
      <c r="AG858" s="429"/>
      <c r="AM858" s="438"/>
      <c r="AN858" s="429"/>
      <c r="AO858" s="363"/>
      <c r="AP858" s="429"/>
      <c r="AR858" s="429">
        <f t="shared" si="291"/>
        <v>0</v>
      </c>
    </row>
    <row r="859" spans="1:50" s="218" customFormat="1" ht="25.5" customHeight="1" outlineLevel="2">
      <c r="A859" s="215" t="s">
        <v>125</v>
      </c>
      <c r="B859" s="151">
        <v>33</v>
      </c>
      <c r="C859" s="151" t="s">
        <v>128</v>
      </c>
      <c r="D859" s="245" t="s">
        <v>149</v>
      </c>
      <c r="E859" s="151" t="s">
        <v>169</v>
      </c>
      <c r="F859" s="151" t="s">
        <v>140</v>
      </c>
      <c r="G859" s="151" t="s">
        <v>37</v>
      </c>
      <c r="H859" s="151" t="s">
        <v>37</v>
      </c>
      <c r="I859" s="256">
        <v>36</v>
      </c>
      <c r="J859" s="151" t="s">
        <v>82</v>
      </c>
      <c r="K859" s="176" t="s">
        <v>1156</v>
      </c>
      <c r="L859" s="245">
        <v>30426980</v>
      </c>
      <c r="M859" s="855" t="s">
        <v>1609</v>
      </c>
      <c r="N859" s="245" t="s">
        <v>1091</v>
      </c>
      <c r="O859" s="245" t="s">
        <v>1157</v>
      </c>
      <c r="P859" s="245"/>
      <c r="Q859" s="176" t="s">
        <v>1158</v>
      </c>
      <c r="R859" s="273"/>
      <c r="S859" s="274"/>
      <c r="T859" s="327">
        <v>500000000</v>
      </c>
      <c r="U859" s="327"/>
      <c r="V859" s="273"/>
      <c r="W859" s="273"/>
      <c r="X859" s="274"/>
      <c r="Y859" s="275">
        <v>500000000</v>
      </c>
      <c r="Z859" s="275">
        <v>246117549</v>
      </c>
      <c r="AA859" s="296"/>
      <c r="AB859" s="297">
        <v>185000000</v>
      </c>
      <c r="AC859" s="297">
        <f t="shared" si="290"/>
        <v>19609648</v>
      </c>
      <c r="AD859" s="297">
        <f>+AB859-AC859</f>
        <v>165390352</v>
      </c>
      <c r="AE859" s="297">
        <v>0</v>
      </c>
      <c r="AF859" s="297">
        <v>0</v>
      </c>
      <c r="AG859" s="297">
        <v>0</v>
      </c>
      <c r="AH859" s="297">
        <v>0</v>
      </c>
      <c r="AI859" s="297">
        <v>0</v>
      </c>
      <c r="AJ859" s="297">
        <v>0</v>
      </c>
      <c r="AK859" s="297">
        <v>2282186</v>
      </c>
      <c r="AL859" s="297">
        <v>15391000</v>
      </c>
      <c r="AM859" s="297">
        <v>0</v>
      </c>
      <c r="AN859" s="297">
        <v>1936462</v>
      </c>
      <c r="AO859" s="297">
        <v>0</v>
      </c>
      <c r="AP859" s="297">
        <v>0</v>
      </c>
      <c r="AQ859" s="296"/>
      <c r="AR859" s="297">
        <f t="shared" si="291"/>
        <v>68882451</v>
      </c>
      <c r="AS859" s="313" t="s">
        <v>185</v>
      </c>
      <c r="AT859" s="313" t="s">
        <v>1475</v>
      </c>
      <c r="AU859" s="176" t="s">
        <v>138</v>
      </c>
      <c r="AX859" s="218" t="s">
        <v>1638</v>
      </c>
    </row>
    <row r="860" spans="1:50" s="222" customFormat="1" ht="15.75" customHeight="1" outlineLevel="2">
      <c r="A860" s="222" t="s">
        <v>419</v>
      </c>
      <c r="B860" s="410"/>
      <c r="C860" s="410"/>
      <c r="D860" s="410"/>
      <c r="E860" s="410"/>
      <c r="F860" s="410"/>
      <c r="G860" s="410"/>
      <c r="H860" s="410"/>
      <c r="I860" s="412"/>
      <c r="J860" s="413"/>
      <c r="L860" s="363"/>
      <c r="M860" s="363"/>
      <c r="N860" s="414" t="s">
        <v>1091</v>
      </c>
      <c r="O860" s="415"/>
      <c r="P860" s="415"/>
      <c r="Q860" s="416" t="s">
        <v>420</v>
      </c>
      <c r="R860" s="284"/>
      <c r="S860" s="284"/>
      <c r="T860" s="421">
        <v>60000000</v>
      </c>
      <c r="U860" s="421"/>
      <c r="V860" s="432"/>
      <c r="W860" s="422"/>
      <c r="X860" s="301"/>
      <c r="Y860" s="422"/>
      <c r="Z860" s="422"/>
      <c r="AA860" s="301"/>
      <c r="AB860" s="422"/>
      <c r="AC860" s="433">
        <f t="shared" si="290"/>
        <v>0</v>
      </c>
      <c r="AD860" s="433"/>
      <c r="AE860" s="433"/>
      <c r="AF860" s="433"/>
      <c r="AG860" s="433"/>
      <c r="AM860" s="436"/>
      <c r="AN860" s="433"/>
      <c r="AO860" s="363"/>
      <c r="AP860" s="433"/>
      <c r="AR860" s="433">
        <f t="shared" si="291"/>
        <v>0</v>
      </c>
    </row>
    <row r="861" spans="1:50" s="222" customFormat="1" ht="15.75" customHeight="1" outlineLevel="2">
      <c r="A861" s="222" t="s">
        <v>419</v>
      </c>
      <c r="B861" s="350"/>
      <c r="C861" s="350"/>
      <c r="D861" s="350"/>
      <c r="E861" s="350"/>
      <c r="F861" s="350"/>
      <c r="G861" s="350"/>
      <c r="H861" s="350"/>
      <c r="I861" s="361"/>
      <c r="J861" s="362"/>
      <c r="L861" s="363"/>
      <c r="M861" s="363"/>
      <c r="N861" s="414" t="s">
        <v>1091</v>
      </c>
      <c r="O861" s="250"/>
      <c r="P861" s="250"/>
      <c r="Q861" s="417" t="s">
        <v>1094</v>
      </c>
      <c r="R861" s="284"/>
      <c r="S861" s="284"/>
      <c r="T861" s="424">
        <v>415000000</v>
      </c>
      <c r="U861" s="424"/>
      <c r="V861" s="434"/>
      <c r="W861" s="425"/>
      <c r="X861" s="301"/>
      <c r="Y861" s="425"/>
      <c r="Z861" s="425"/>
      <c r="AA861" s="301"/>
      <c r="AB861" s="425"/>
      <c r="AC861" s="435">
        <f t="shared" si="290"/>
        <v>0</v>
      </c>
      <c r="AD861" s="435"/>
      <c r="AE861" s="435"/>
      <c r="AF861" s="435"/>
      <c r="AG861" s="435"/>
      <c r="AM861" s="437"/>
      <c r="AN861" s="435"/>
      <c r="AO861" s="363"/>
      <c r="AP861" s="435"/>
      <c r="AR861" s="435">
        <f t="shared" si="291"/>
        <v>0</v>
      </c>
    </row>
    <row r="862" spans="1:50" s="222" customFormat="1" ht="15.95" customHeight="1" outlineLevel="2">
      <c r="A862" s="222" t="s">
        <v>419</v>
      </c>
      <c r="B862" s="350"/>
      <c r="C862" s="350"/>
      <c r="D862" s="350"/>
      <c r="E862" s="350"/>
      <c r="F862" s="350"/>
      <c r="G862" s="350"/>
      <c r="H862" s="350"/>
      <c r="I862" s="361"/>
      <c r="J862" s="362"/>
      <c r="L862" s="363"/>
      <c r="M862" s="363"/>
      <c r="N862" s="414" t="s">
        <v>1091</v>
      </c>
      <c r="O862" s="250"/>
      <c r="P862" s="250"/>
      <c r="Q862" s="417" t="s">
        <v>423</v>
      </c>
      <c r="R862" s="284"/>
      <c r="S862" s="284"/>
      <c r="T862" s="424">
        <v>25000000</v>
      </c>
      <c r="U862" s="424"/>
      <c r="V862" s="434"/>
      <c r="W862" s="425"/>
      <c r="X862" s="301"/>
      <c r="Y862" s="425"/>
      <c r="Z862" s="425"/>
      <c r="AA862" s="301"/>
      <c r="AB862" s="425"/>
      <c r="AC862" s="435">
        <f t="shared" si="290"/>
        <v>0</v>
      </c>
      <c r="AD862" s="435"/>
      <c r="AE862" s="435"/>
      <c r="AF862" s="435"/>
      <c r="AG862" s="435"/>
      <c r="AM862" s="437"/>
      <c r="AN862" s="435"/>
      <c r="AO862" s="363"/>
      <c r="AP862" s="435"/>
      <c r="AR862" s="435">
        <f t="shared" si="291"/>
        <v>0</v>
      </c>
    </row>
    <row r="863" spans="1:50" s="222" customFormat="1" ht="15.95" customHeight="1" outlineLevel="2">
      <c r="A863" s="222" t="s">
        <v>419</v>
      </c>
      <c r="B863" s="350"/>
      <c r="C863" s="350"/>
      <c r="D863" s="350"/>
      <c r="E863" s="350"/>
      <c r="F863" s="350"/>
      <c r="G863" s="350"/>
      <c r="H863" s="350"/>
      <c r="I863" s="361"/>
      <c r="J863" s="362"/>
      <c r="K863" s="361"/>
      <c r="L863" s="363"/>
      <c r="M863" s="363"/>
      <c r="N863" s="363"/>
      <c r="O863" s="363"/>
      <c r="P863" s="363"/>
      <c r="Q863" s="444"/>
      <c r="R863" s="284"/>
      <c r="S863" s="284"/>
      <c r="T863" s="284"/>
      <c r="U863" s="284"/>
      <c r="V863" s="284"/>
      <c r="W863" s="301"/>
      <c r="X863" s="301"/>
      <c r="Y863" s="428"/>
      <c r="Z863" s="428"/>
      <c r="AA863" s="301"/>
      <c r="AB863" s="428"/>
      <c r="AC863" s="429">
        <f t="shared" si="290"/>
        <v>0</v>
      </c>
      <c r="AD863" s="429"/>
      <c r="AE863" s="429"/>
      <c r="AF863" s="429"/>
      <c r="AG863" s="429"/>
      <c r="AM863" s="438"/>
      <c r="AN863" s="429"/>
      <c r="AO863" s="363"/>
      <c r="AP863" s="429"/>
      <c r="AR863" s="429">
        <f t="shared" si="291"/>
        <v>0</v>
      </c>
    </row>
    <row r="864" spans="1:50" s="218" customFormat="1" ht="25.5" customHeight="1" outlineLevel="2">
      <c r="A864" s="215" t="s">
        <v>125</v>
      </c>
      <c r="B864" s="151">
        <v>33</v>
      </c>
      <c r="C864" s="151" t="s">
        <v>128</v>
      </c>
      <c r="D864" s="245" t="s">
        <v>149</v>
      </c>
      <c r="E864" s="151" t="s">
        <v>169</v>
      </c>
      <c r="F864" s="151" t="s">
        <v>140</v>
      </c>
      <c r="G864" s="151" t="s">
        <v>37</v>
      </c>
      <c r="H864" s="151" t="s">
        <v>37</v>
      </c>
      <c r="I864" s="256">
        <v>36</v>
      </c>
      <c r="J864" s="151" t="s">
        <v>80</v>
      </c>
      <c r="K864" s="176" t="s">
        <v>1657</v>
      </c>
      <c r="L864" s="245">
        <v>40016769</v>
      </c>
      <c r="M864" s="855"/>
      <c r="N864" s="245" t="s">
        <v>1091</v>
      </c>
      <c r="O864" s="245" t="s">
        <v>1159</v>
      </c>
      <c r="P864" s="245"/>
      <c r="Q864" s="176" t="s">
        <v>1160</v>
      </c>
      <c r="R864" s="273" t="s">
        <v>1161</v>
      </c>
      <c r="S864" s="274"/>
      <c r="T864" s="327">
        <v>1000000000</v>
      </c>
      <c r="U864" s="327"/>
      <c r="V864" s="273"/>
      <c r="W864" s="273"/>
      <c r="X864" s="274"/>
      <c r="Y864" s="275">
        <v>1000000000</v>
      </c>
      <c r="Z864" s="275">
        <v>120977000</v>
      </c>
      <c r="AA864" s="296"/>
      <c r="AB864" s="297">
        <f>200000000+259648000</f>
        <v>459648000</v>
      </c>
      <c r="AC864" s="297">
        <f t="shared" si="290"/>
        <v>459648000</v>
      </c>
      <c r="AD864" s="297">
        <f>+AB864-AC864</f>
        <v>0</v>
      </c>
      <c r="AE864" s="297">
        <v>0</v>
      </c>
      <c r="AF864" s="297">
        <v>0</v>
      </c>
      <c r="AG864" s="297">
        <v>0</v>
      </c>
      <c r="AH864" s="297">
        <v>0</v>
      </c>
      <c r="AI864" s="297">
        <v>0</v>
      </c>
      <c r="AJ864" s="297">
        <v>459648000</v>
      </c>
      <c r="AK864" s="297">
        <v>0</v>
      </c>
      <c r="AL864" s="297">
        <v>0</v>
      </c>
      <c r="AM864" s="297">
        <v>0</v>
      </c>
      <c r="AN864" s="297">
        <v>0</v>
      </c>
      <c r="AO864" s="297">
        <v>0</v>
      </c>
      <c r="AP864" s="297">
        <v>0</v>
      </c>
      <c r="AQ864" s="296"/>
      <c r="AR864" s="297">
        <f t="shared" si="291"/>
        <v>419375000</v>
      </c>
      <c r="AS864" s="313" t="s">
        <v>185</v>
      </c>
      <c r="AT864" s="313" t="s">
        <v>1475</v>
      </c>
      <c r="AU864" s="176" t="s">
        <v>138</v>
      </c>
      <c r="AW864" s="218" t="s">
        <v>1654</v>
      </c>
    </row>
    <row r="865" spans="1:50" s="222" customFormat="1" ht="15.75" customHeight="1" outlineLevel="2">
      <c r="A865" s="222" t="s">
        <v>419</v>
      </c>
      <c r="B865" s="410"/>
      <c r="C865" s="410"/>
      <c r="D865" s="410"/>
      <c r="E865" s="410"/>
      <c r="F865" s="410"/>
      <c r="G865" s="410"/>
      <c r="H865" s="410"/>
      <c r="I865" s="412"/>
      <c r="J865" s="413"/>
      <c r="L865" s="363"/>
      <c r="M865" s="363"/>
      <c r="N865" s="414" t="s">
        <v>1091</v>
      </c>
      <c r="O865" s="415"/>
      <c r="P865" s="415"/>
      <c r="Q865" s="416" t="s">
        <v>420</v>
      </c>
      <c r="R865" s="284"/>
      <c r="S865" s="284"/>
      <c r="T865" s="421">
        <v>120000000</v>
      </c>
      <c r="U865" s="421"/>
      <c r="V865" s="432"/>
      <c r="W865" s="422"/>
      <c r="X865" s="301"/>
      <c r="Y865" s="422">
        <v>120000000</v>
      </c>
      <c r="Z865" s="422"/>
      <c r="AA865" s="301"/>
      <c r="AB865" s="422"/>
      <c r="AC865" s="433">
        <f t="shared" si="290"/>
        <v>0</v>
      </c>
      <c r="AD865" s="433"/>
      <c r="AE865" s="433"/>
      <c r="AF865" s="433"/>
      <c r="AG865" s="433"/>
      <c r="AM865" s="436"/>
      <c r="AN865" s="433"/>
      <c r="AO865" s="363"/>
      <c r="AP865" s="433"/>
      <c r="AR865" s="433">
        <f t="shared" si="291"/>
        <v>120000000</v>
      </c>
    </row>
    <row r="866" spans="1:50" s="222" customFormat="1" ht="15.75" customHeight="1" outlineLevel="2">
      <c r="A866" s="222" t="s">
        <v>419</v>
      </c>
      <c r="B866" s="350"/>
      <c r="C866" s="350"/>
      <c r="D866" s="350"/>
      <c r="E866" s="350"/>
      <c r="F866" s="350"/>
      <c r="G866" s="350"/>
      <c r="H866" s="350"/>
      <c r="I866" s="361"/>
      <c r="J866" s="362"/>
      <c r="L866" s="363"/>
      <c r="M866" s="363"/>
      <c r="N866" s="414" t="s">
        <v>1091</v>
      </c>
      <c r="O866" s="250"/>
      <c r="P866" s="250"/>
      <c r="Q866" s="417" t="s">
        <v>1094</v>
      </c>
      <c r="R866" s="284"/>
      <c r="S866" s="284"/>
      <c r="T866" s="424">
        <v>830000000</v>
      </c>
      <c r="U866" s="424"/>
      <c r="V866" s="434"/>
      <c r="W866" s="425"/>
      <c r="X866" s="301"/>
      <c r="Y866" s="425">
        <v>830000000</v>
      </c>
      <c r="Z866" s="425"/>
      <c r="AA866" s="301"/>
      <c r="AB866" s="425"/>
      <c r="AC866" s="435">
        <f t="shared" si="290"/>
        <v>0</v>
      </c>
      <c r="AD866" s="435"/>
      <c r="AE866" s="435"/>
      <c r="AF866" s="435"/>
      <c r="AG866" s="435"/>
      <c r="AM866" s="437"/>
      <c r="AN866" s="435"/>
      <c r="AO866" s="363"/>
      <c r="AP866" s="435"/>
      <c r="AR866" s="435">
        <f t="shared" ref="AR866:AR876" si="292">+Y866-Z866-AC866-AD866</f>
        <v>830000000</v>
      </c>
    </row>
    <row r="867" spans="1:50" s="222" customFormat="1" ht="15.95" customHeight="1" outlineLevel="2">
      <c r="A867" s="222" t="s">
        <v>419</v>
      </c>
      <c r="B867" s="350"/>
      <c r="C867" s="350"/>
      <c r="D867" s="350"/>
      <c r="E867" s="350"/>
      <c r="F867" s="350"/>
      <c r="G867" s="350"/>
      <c r="H867" s="350"/>
      <c r="I867" s="361"/>
      <c r="J867" s="362"/>
      <c r="L867" s="363"/>
      <c r="M867" s="363"/>
      <c r="N867" s="414" t="s">
        <v>1091</v>
      </c>
      <c r="O867" s="250"/>
      <c r="P867" s="250"/>
      <c r="Q867" s="417" t="s">
        <v>423</v>
      </c>
      <c r="R867" s="284"/>
      <c r="S867" s="284"/>
      <c r="T867" s="424">
        <v>50000000</v>
      </c>
      <c r="U867" s="424"/>
      <c r="V867" s="434"/>
      <c r="W867" s="425"/>
      <c r="X867" s="301"/>
      <c r="Y867" s="425">
        <v>50000000</v>
      </c>
      <c r="Z867" s="425"/>
      <c r="AA867" s="301"/>
      <c r="AB867" s="425"/>
      <c r="AC867" s="435">
        <f t="shared" si="290"/>
        <v>0</v>
      </c>
      <c r="AD867" s="435"/>
      <c r="AE867" s="435"/>
      <c r="AF867" s="435"/>
      <c r="AG867" s="435"/>
      <c r="AM867" s="437"/>
      <c r="AN867" s="435"/>
      <c r="AO867" s="363"/>
      <c r="AP867" s="435"/>
      <c r="AR867" s="435">
        <f t="shared" si="292"/>
        <v>50000000</v>
      </c>
    </row>
    <row r="868" spans="1:50" s="222" customFormat="1" ht="15.95" customHeight="1" outlineLevel="2">
      <c r="A868" s="222" t="s">
        <v>419</v>
      </c>
      <c r="B868" s="350"/>
      <c r="C868" s="350"/>
      <c r="D868" s="350"/>
      <c r="E868" s="350"/>
      <c r="F868" s="350"/>
      <c r="G868" s="350"/>
      <c r="H868" s="350"/>
      <c r="I868" s="361"/>
      <c r="J868" s="362"/>
      <c r="K868" s="361"/>
      <c r="L868" s="363"/>
      <c r="M868" s="363"/>
      <c r="N868" s="363"/>
      <c r="O868" s="363"/>
      <c r="P868" s="363"/>
      <c r="Q868" s="444"/>
      <c r="R868" s="284"/>
      <c r="S868" s="284"/>
      <c r="T868" s="284"/>
      <c r="U868" s="284"/>
      <c r="V868" s="284"/>
      <c r="W868" s="301"/>
      <c r="X868" s="301"/>
      <c r="Y868" s="428"/>
      <c r="Z868" s="428"/>
      <c r="AA868" s="301"/>
      <c r="AB868" s="428"/>
      <c r="AC868" s="429">
        <f t="shared" si="290"/>
        <v>0</v>
      </c>
      <c r="AD868" s="429"/>
      <c r="AE868" s="429"/>
      <c r="AF868" s="429"/>
      <c r="AG868" s="429"/>
      <c r="AM868" s="438"/>
      <c r="AN868" s="429"/>
      <c r="AO868" s="363"/>
      <c r="AP868" s="429"/>
      <c r="AR868" s="429">
        <f t="shared" si="292"/>
        <v>0</v>
      </c>
    </row>
    <row r="869" spans="1:50" s="218" customFormat="1" ht="25.5" customHeight="1" outlineLevel="2">
      <c r="A869" s="215" t="s">
        <v>125</v>
      </c>
      <c r="B869" s="151">
        <v>33</v>
      </c>
      <c r="C869" s="151" t="s">
        <v>128</v>
      </c>
      <c r="D869" s="245" t="s">
        <v>149</v>
      </c>
      <c r="E869" s="151" t="s">
        <v>169</v>
      </c>
      <c r="F869" s="151" t="s">
        <v>140</v>
      </c>
      <c r="G869" s="151" t="s">
        <v>37</v>
      </c>
      <c r="H869" s="151" t="s">
        <v>37</v>
      </c>
      <c r="I869" s="256">
        <v>36</v>
      </c>
      <c r="J869" s="151" t="s">
        <v>80</v>
      </c>
      <c r="K869" s="176" t="s">
        <v>1156</v>
      </c>
      <c r="L869" s="245">
        <v>40004275</v>
      </c>
      <c r="M869" s="855"/>
      <c r="N869" s="245" t="s">
        <v>1091</v>
      </c>
      <c r="O869" s="245" t="s">
        <v>1162</v>
      </c>
      <c r="P869" s="245"/>
      <c r="Q869" s="176" t="s">
        <v>1163</v>
      </c>
      <c r="R869" s="273"/>
      <c r="S869" s="274"/>
      <c r="T869" s="273"/>
      <c r="U869" s="273"/>
      <c r="V869" s="273"/>
      <c r="W869" s="273"/>
      <c r="X869" s="274"/>
      <c r="Y869" s="275">
        <v>1200000000</v>
      </c>
      <c r="Z869" s="275">
        <v>7925370</v>
      </c>
      <c r="AA869" s="296"/>
      <c r="AB869" s="297">
        <f>141938709+6939905</f>
        <v>148878614</v>
      </c>
      <c r="AC869" s="297">
        <f t="shared" si="290"/>
        <v>126547614</v>
      </c>
      <c r="AD869" s="297">
        <f>+AB869-AC869</f>
        <v>22331000</v>
      </c>
      <c r="AE869" s="297">
        <v>0</v>
      </c>
      <c r="AF869" s="297">
        <v>0</v>
      </c>
      <c r="AG869" s="297">
        <v>0</v>
      </c>
      <c r="AH869" s="297">
        <v>0</v>
      </c>
      <c r="AI869" s="297">
        <v>0</v>
      </c>
      <c r="AJ869" s="297">
        <v>0</v>
      </c>
      <c r="AK869" s="297">
        <v>47162028</v>
      </c>
      <c r="AL869" s="297">
        <v>15086452</v>
      </c>
      <c r="AM869" s="297">
        <v>64299134</v>
      </c>
      <c r="AN869" s="297">
        <v>0</v>
      </c>
      <c r="AO869" s="297">
        <v>0</v>
      </c>
      <c r="AP869" s="297">
        <v>0</v>
      </c>
      <c r="AQ869" s="296"/>
      <c r="AR869" s="297">
        <f t="shared" si="292"/>
        <v>1043196016</v>
      </c>
      <c r="AS869" s="313" t="s">
        <v>185</v>
      </c>
      <c r="AT869" s="313" t="s">
        <v>1475</v>
      </c>
      <c r="AU869" s="176" t="s">
        <v>138</v>
      </c>
      <c r="AW869" s="218" t="s">
        <v>1635</v>
      </c>
      <c r="AX869" s="218" t="s">
        <v>1638</v>
      </c>
    </row>
    <row r="870" spans="1:50" s="218" customFormat="1" ht="25.5" customHeight="1" outlineLevel="2">
      <c r="A870" s="215" t="s">
        <v>125</v>
      </c>
      <c r="B870" s="151">
        <v>33</v>
      </c>
      <c r="C870" s="151" t="s">
        <v>128</v>
      </c>
      <c r="D870" s="245" t="s">
        <v>164</v>
      </c>
      <c r="E870" s="151" t="s">
        <v>1164</v>
      </c>
      <c r="F870" s="151" t="s">
        <v>164</v>
      </c>
      <c r="G870" s="151" t="s">
        <v>37</v>
      </c>
      <c r="H870" s="151" t="s">
        <v>37</v>
      </c>
      <c r="I870" s="256">
        <v>36</v>
      </c>
      <c r="J870" s="151" t="s">
        <v>80</v>
      </c>
      <c r="K870" s="176" t="s">
        <v>1165</v>
      </c>
      <c r="L870" s="245">
        <v>40015599</v>
      </c>
      <c r="M870" s="855"/>
      <c r="N870" s="245" t="e">
        <v>#N/A</v>
      </c>
      <c r="O870" s="245" t="s">
        <v>1166</v>
      </c>
      <c r="P870" s="245"/>
      <c r="Q870" s="176" t="s">
        <v>1167</v>
      </c>
      <c r="R870" s="273" t="s">
        <v>1168</v>
      </c>
      <c r="S870" s="274"/>
      <c r="T870" s="273"/>
      <c r="U870" s="273"/>
      <c r="V870" s="273"/>
      <c r="W870" s="273"/>
      <c r="X870" s="274"/>
      <c r="Y870" s="275">
        <v>200000000</v>
      </c>
      <c r="Z870" s="275">
        <v>16850000</v>
      </c>
      <c r="AA870" s="296"/>
      <c r="AB870" s="297">
        <v>100000000</v>
      </c>
      <c r="AC870" s="297">
        <f t="shared" si="290"/>
        <v>0</v>
      </c>
      <c r="AD870" s="297">
        <f>+AB870-AC870</f>
        <v>100000000</v>
      </c>
      <c r="AE870" s="297">
        <v>0</v>
      </c>
      <c r="AF870" s="297">
        <v>0</v>
      </c>
      <c r="AG870" s="297">
        <v>0</v>
      </c>
      <c r="AH870" s="297">
        <v>0</v>
      </c>
      <c r="AI870" s="297">
        <v>0</v>
      </c>
      <c r="AJ870" s="297">
        <v>0</v>
      </c>
      <c r="AK870" s="297">
        <v>0</v>
      </c>
      <c r="AL870" s="297">
        <v>0</v>
      </c>
      <c r="AM870" s="297">
        <v>0</v>
      </c>
      <c r="AN870" s="297">
        <v>0</v>
      </c>
      <c r="AO870" s="297">
        <v>0</v>
      </c>
      <c r="AP870" s="297">
        <v>0</v>
      </c>
      <c r="AQ870" s="296"/>
      <c r="AR870" s="297">
        <f t="shared" si="292"/>
        <v>83150000</v>
      </c>
      <c r="AS870" s="313" t="s">
        <v>185</v>
      </c>
      <c r="AT870" s="313" t="s">
        <v>1475</v>
      </c>
      <c r="AU870" s="176" t="s">
        <v>138</v>
      </c>
      <c r="AW870" s="218" t="s">
        <v>1654</v>
      </c>
    </row>
    <row r="871" spans="1:50" s="218" customFormat="1" ht="25.5" customHeight="1" outlineLevel="2">
      <c r="A871" s="215" t="s">
        <v>125</v>
      </c>
      <c r="B871" s="151">
        <v>33</v>
      </c>
      <c r="C871" s="151" t="s">
        <v>128</v>
      </c>
      <c r="D871" s="245" t="s">
        <v>648</v>
      </c>
      <c r="E871" s="151" t="s">
        <v>169</v>
      </c>
      <c r="F871" s="151" t="s">
        <v>649</v>
      </c>
      <c r="G871" s="151" t="s">
        <v>37</v>
      </c>
      <c r="H871" s="151" t="s">
        <v>37</v>
      </c>
      <c r="I871" s="256">
        <v>36</v>
      </c>
      <c r="J871" s="151" t="s">
        <v>80</v>
      </c>
      <c r="K871" s="176" t="s">
        <v>1102</v>
      </c>
      <c r="L871" s="245">
        <v>30482027</v>
      </c>
      <c r="M871" s="855"/>
      <c r="N871" s="245" t="s">
        <v>1091</v>
      </c>
      <c r="O871" s="245" t="s">
        <v>1169</v>
      </c>
      <c r="P871" s="245"/>
      <c r="Q871" s="176" t="s">
        <v>1170</v>
      </c>
      <c r="R871" s="273"/>
      <c r="S871" s="274"/>
      <c r="T871" s="327">
        <v>694302000</v>
      </c>
      <c r="U871" s="327"/>
      <c r="V871" s="273"/>
      <c r="W871" s="273"/>
      <c r="X871" s="274"/>
      <c r="Y871" s="275">
        <v>499999364</v>
      </c>
      <c r="Z871" s="275">
        <v>420749364</v>
      </c>
      <c r="AA871" s="296"/>
      <c r="AB871" s="297">
        <f>53555000+72529</f>
        <v>53627529</v>
      </c>
      <c r="AC871" s="297">
        <f t="shared" si="290"/>
        <v>53627529</v>
      </c>
      <c r="AD871" s="297">
        <f>+AB871-AC871</f>
        <v>0</v>
      </c>
      <c r="AE871" s="297">
        <v>0</v>
      </c>
      <c r="AF871" s="297">
        <v>0</v>
      </c>
      <c r="AG871" s="297">
        <v>0</v>
      </c>
      <c r="AH871" s="297">
        <v>0</v>
      </c>
      <c r="AI871" s="297">
        <v>0</v>
      </c>
      <c r="AJ871" s="297">
        <v>72529</v>
      </c>
      <c r="AK871" s="297">
        <v>0</v>
      </c>
      <c r="AL871" s="297">
        <v>0</v>
      </c>
      <c r="AM871" s="297">
        <v>0</v>
      </c>
      <c r="AN871" s="297">
        <v>53555000</v>
      </c>
      <c r="AO871" s="297">
        <v>0</v>
      </c>
      <c r="AP871" s="297">
        <v>0</v>
      </c>
      <c r="AQ871" s="296"/>
      <c r="AR871" s="297">
        <f t="shared" si="292"/>
        <v>25622471</v>
      </c>
      <c r="AS871" s="313" t="s">
        <v>185</v>
      </c>
      <c r="AT871" s="313" t="s">
        <v>1475</v>
      </c>
      <c r="AU871" s="176" t="s">
        <v>138</v>
      </c>
      <c r="AW871" s="218" t="s">
        <v>1635</v>
      </c>
      <c r="AX871" s="218" t="s">
        <v>1638</v>
      </c>
    </row>
    <row r="872" spans="1:50" s="222" customFormat="1" ht="15.75" customHeight="1" outlineLevel="2">
      <c r="A872" s="222" t="s">
        <v>419</v>
      </c>
      <c r="B872" s="410"/>
      <c r="C872" s="410"/>
      <c r="D872" s="410"/>
      <c r="E872" s="410"/>
      <c r="F872" s="410"/>
      <c r="G872" s="410"/>
      <c r="H872" s="410"/>
      <c r="I872" s="412"/>
      <c r="J872" s="413"/>
      <c r="L872" s="363"/>
      <c r="M872" s="363"/>
      <c r="N872" s="414" t="s">
        <v>1091</v>
      </c>
      <c r="O872" s="415"/>
      <c r="P872" s="415"/>
      <c r="Q872" s="416" t="s">
        <v>1094</v>
      </c>
      <c r="R872" s="284"/>
      <c r="S872" s="284"/>
      <c r="T872" s="421">
        <v>423766000</v>
      </c>
      <c r="U872" s="421"/>
      <c r="V872" s="432"/>
      <c r="W872" s="422"/>
      <c r="X872" s="382"/>
      <c r="Y872" s="433"/>
      <c r="Z872" s="433"/>
      <c r="AA872" s="382"/>
      <c r="AB872" s="433"/>
      <c r="AC872" s="433">
        <f t="shared" si="290"/>
        <v>0</v>
      </c>
      <c r="AD872" s="433"/>
      <c r="AE872" s="433"/>
      <c r="AF872" s="433"/>
      <c r="AG872" s="433"/>
      <c r="AM872" s="436"/>
      <c r="AN872" s="433"/>
      <c r="AO872" s="363"/>
      <c r="AP872" s="433"/>
      <c r="AR872" s="433">
        <f t="shared" si="292"/>
        <v>0</v>
      </c>
    </row>
    <row r="873" spans="1:50" s="222" customFormat="1" ht="15.95" customHeight="1" outlineLevel="2">
      <c r="A873" s="222" t="s">
        <v>419</v>
      </c>
      <c r="B873" s="350"/>
      <c r="C873" s="350"/>
      <c r="D873" s="350"/>
      <c r="E873" s="350"/>
      <c r="F873" s="350"/>
      <c r="G873" s="350"/>
      <c r="H873" s="350"/>
      <c r="I873" s="361"/>
      <c r="J873" s="362"/>
      <c r="L873" s="363"/>
      <c r="M873" s="363"/>
      <c r="N873" s="414" t="s">
        <v>1091</v>
      </c>
      <c r="O873" s="250"/>
      <c r="P873" s="250"/>
      <c r="Q873" s="417" t="s">
        <v>423</v>
      </c>
      <c r="R873" s="284"/>
      <c r="S873" s="284"/>
      <c r="T873" s="424">
        <v>270536000</v>
      </c>
      <c r="U873" s="424"/>
      <c r="V873" s="434"/>
      <c r="W873" s="425"/>
      <c r="X873" s="382"/>
      <c r="Y873" s="435"/>
      <c r="Z873" s="435"/>
      <c r="AA873" s="382"/>
      <c r="AB873" s="435"/>
      <c r="AC873" s="435">
        <f t="shared" si="290"/>
        <v>0</v>
      </c>
      <c r="AD873" s="435"/>
      <c r="AE873" s="435"/>
      <c r="AF873" s="435"/>
      <c r="AG873" s="435"/>
      <c r="AM873" s="437"/>
      <c r="AN873" s="435"/>
      <c r="AO873" s="363"/>
      <c r="AP873" s="435"/>
      <c r="AR873" s="435">
        <f t="shared" si="292"/>
        <v>0</v>
      </c>
    </row>
    <row r="874" spans="1:50" s="222" customFormat="1" ht="15.95" customHeight="1" outlineLevel="2">
      <c r="A874" s="222" t="s">
        <v>419</v>
      </c>
      <c r="B874" s="350"/>
      <c r="C874" s="350"/>
      <c r="D874" s="350"/>
      <c r="E874" s="350"/>
      <c r="F874" s="350"/>
      <c r="G874" s="350"/>
      <c r="H874" s="350"/>
      <c r="I874" s="361"/>
      <c r="J874" s="362"/>
      <c r="K874" s="361"/>
      <c r="L874" s="363"/>
      <c r="M874" s="363"/>
      <c r="N874" s="363"/>
      <c r="O874" s="363"/>
      <c r="P874" s="363"/>
      <c r="Q874" s="420"/>
      <c r="R874" s="427"/>
      <c r="S874" s="284"/>
      <c r="T874" s="427"/>
      <c r="U874" s="427"/>
      <c r="V874" s="427"/>
      <c r="W874" s="428"/>
      <c r="X874" s="382"/>
      <c r="Y874" s="429"/>
      <c r="Z874" s="429"/>
      <c r="AA874" s="382"/>
      <c r="AB874" s="429"/>
      <c r="AC874" s="429">
        <f t="shared" si="290"/>
        <v>0</v>
      </c>
      <c r="AD874" s="429"/>
      <c r="AE874" s="429"/>
      <c r="AF874" s="429"/>
      <c r="AG874" s="429"/>
      <c r="AM874" s="438"/>
      <c r="AN874" s="429"/>
      <c r="AO874" s="363"/>
      <c r="AP874" s="429"/>
      <c r="AR874" s="429">
        <f t="shared" si="292"/>
        <v>0</v>
      </c>
    </row>
    <row r="875" spans="1:50" s="217" customFormat="1" ht="25.5" customHeight="1" outlineLevel="1">
      <c r="A875" s="215" t="s">
        <v>125</v>
      </c>
      <c r="B875" s="151">
        <v>33</v>
      </c>
      <c r="C875" s="151" t="s">
        <v>196</v>
      </c>
      <c r="D875" s="245" t="s">
        <v>618</v>
      </c>
      <c r="E875" s="151" t="s">
        <v>169</v>
      </c>
      <c r="F875" s="151" t="s">
        <v>649</v>
      </c>
      <c r="G875" s="151" t="s">
        <v>37</v>
      </c>
      <c r="H875" s="151" t="s">
        <v>37</v>
      </c>
      <c r="I875" s="256">
        <v>36</v>
      </c>
      <c r="J875" s="151" t="s">
        <v>82</v>
      </c>
      <c r="K875" s="176" t="s">
        <v>1095</v>
      </c>
      <c r="L875" s="245">
        <v>30341323</v>
      </c>
      <c r="M875" s="855" t="s">
        <v>1609</v>
      </c>
      <c r="N875" s="245"/>
      <c r="O875" s="245" t="s">
        <v>1171</v>
      </c>
      <c r="P875" s="245"/>
      <c r="Q875" s="176" t="s">
        <v>1172</v>
      </c>
      <c r="R875" s="273"/>
      <c r="S875" s="274"/>
      <c r="T875" s="273"/>
      <c r="U875" s="273"/>
      <c r="V875" s="273"/>
      <c r="W875" s="273"/>
      <c r="X875" s="274"/>
      <c r="Y875" s="275">
        <v>189316581</v>
      </c>
      <c r="Z875" s="275">
        <v>189316581</v>
      </c>
      <c r="AA875" s="296"/>
      <c r="AB875" s="297">
        <f>+Y875-Z875</f>
        <v>0</v>
      </c>
      <c r="AC875" s="297">
        <f t="shared" si="290"/>
        <v>0</v>
      </c>
      <c r="AD875" s="297">
        <f>+AB875-AC875</f>
        <v>0</v>
      </c>
      <c r="AE875" s="297">
        <v>0</v>
      </c>
      <c r="AF875" s="297">
        <v>0</v>
      </c>
      <c r="AG875" s="297">
        <v>0</v>
      </c>
      <c r="AH875" s="297">
        <v>0</v>
      </c>
      <c r="AI875" s="297">
        <v>0</v>
      </c>
      <c r="AJ875" s="297">
        <v>0</v>
      </c>
      <c r="AK875" s="297">
        <v>0</v>
      </c>
      <c r="AL875" s="297">
        <v>0</v>
      </c>
      <c r="AM875" s="297">
        <v>0</v>
      </c>
      <c r="AN875" s="297">
        <v>0</v>
      </c>
      <c r="AO875" s="297">
        <v>0</v>
      </c>
      <c r="AP875" s="297">
        <v>0</v>
      </c>
      <c r="AQ875" s="296"/>
      <c r="AR875" s="297">
        <f t="shared" si="292"/>
        <v>0</v>
      </c>
      <c r="AS875" s="313" t="s">
        <v>185</v>
      </c>
      <c r="AT875" s="313" t="s">
        <v>1623</v>
      </c>
      <c r="AU875" s="176" t="s">
        <v>301</v>
      </c>
      <c r="AX875" s="218" t="s">
        <v>1638</v>
      </c>
    </row>
    <row r="876" spans="1:50" s="217" customFormat="1" ht="25.5" customHeight="1" outlineLevel="1">
      <c r="A876" s="215" t="s">
        <v>125</v>
      </c>
      <c r="B876" s="247"/>
      <c r="C876" s="247"/>
      <c r="D876" s="248"/>
      <c r="E876" s="249"/>
      <c r="F876" s="249"/>
      <c r="G876" s="249"/>
      <c r="H876" s="249"/>
      <c r="I876" s="249"/>
      <c r="J876" s="247"/>
      <c r="K876" s="259"/>
      <c r="L876" s="248"/>
      <c r="M876" s="248"/>
      <c r="N876" s="250"/>
      <c r="O876" s="250"/>
      <c r="P876" s="250"/>
      <c r="Q876" s="109" t="s">
        <v>187</v>
      </c>
      <c r="R876" s="402"/>
      <c r="S876" s="279"/>
      <c r="T876" s="279"/>
      <c r="U876" s="279"/>
      <c r="V876" s="279"/>
      <c r="W876" s="279"/>
      <c r="X876" s="281"/>
      <c r="Y876" s="286">
        <f>+Y738+Y743+Y748+Y753+Y757+Y761+Y765+Y770+Y775+Y780+Y785+Y790+Y795+Y800+Y804+Y808+Y813+Y818+Y823+Y828+Y833+Y838+Y843+Y848+Y849+Y854+Y859+Y864+Y869+Y870+Y871+Y875</f>
        <v>22029971579</v>
      </c>
      <c r="Z876" s="286">
        <f t="shared" ref="Z876:AP876" si="293">+Z738+Z743+Z748+Z753+Z757+Z761+Z765+Z770+Z775+Z780+Z785+Z790+Z795+Z800+Z804+Z808+Z813+Z818+Z823+Z828+Z833+Z838+Z843+Z848+Z849+Z854+Z859+Z864+Z869+Z870+Z871+Z875</f>
        <v>12223592199</v>
      </c>
      <c r="AA876" s="303"/>
      <c r="AB876" s="286">
        <f t="shared" si="293"/>
        <v>6741139145</v>
      </c>
      <c r="AC876" s="286">
        <f t="shared" si="290"/>
        <v>1347452418</v>
      </c>
      <c r="AD876" s="286">
        <f t="shared" si="293"/>
        <v>5393686727</v>
      </c>
      <c r="AE876" s="286">
        <f t="shared" si="293"/>
        <v>0</v>
      </c>
      <c r="AF876" s="286">
        <f t="shared" si="293"/>
        <v>0</v>
      </c>
      <c r="AG876" s="286">
        <f t="shared" si="293"/>
        <v>0</v>
      </c>
      <c r="AH876" s="286">
        <f t="shared" si="293"/>
        <v>0</v>
      </c>
      <c r="AI876" s="286">
        <f t="shared" si="293"/>
        <v>0</v>
      </c>
      <c r="AJ876" s="286">
        <v>466655149</v>
      </c>
      <c r="AK876" s="286">
        <v>50144214</v>
      </c>
      <c r="AL876" s="286">
        <v>140167108</v>
      </c>
      <c r="AM876" s="286">
        <f t="shared" si="293"/>
        <v>175426362</v>
      </c>
      <c r="AN876" s="286">
        <f t="shared" si="293"/>
        <v>515059585</v>
      </c>
      <c r="AO876" s="286">
        <f t="shared" si="293"/>
        <v>0</v>
      </c>
      <c r="AP876" s="286">
        <f t="shared" si="293"/>
        <v>0</v>
      </c>
      <c r="AQ876" s="287"/>
      <c r="AR876" s="286">
        <f t="shared" si="292"/>
        <v>3065240235</v>
      </c>
      <c r="AS876" s="315"/>
      <c r="AT876" s="315"/>
      <c r="AU876" s="220"/>
    </row>
    <row r="877" spans="1:50" ht="18.75" customHeight="1" outlineLevel="1">
      <c r="A877" s="215" t="s">
        <v>125</v>
      </c>
      <c r="B877" s="249"/>
      <c r="C877" s="249"/>
      <c r="D877" s="250"/>
      <c r="E877" s="249"/>
      <c r="F877" s="249"/>
      <c r="G877" s="249"/>
      <c r="H877" s="249"/>
      <c r="I877" s="249"/>
      <c r="J877" s="249"/>
      <c r="K877" s="261"/>
      <c r="L877" s="250"/>
      <c r="M877" s="250"/>
      <c r="N877" s="250"/>
      <c r="O877" s="250"/>
      <c r="P877" s="250"/>
      <c r="Q877" s="261"/>
      <c r="R877" s="283"/>
      <c r="S877" s="283"/>
      <c r="T877" s="283"/>
      <c r="U877" s="283"/>
      <c r="V877" s="283"/>
      <c r="W877" s="283"/>
      <c r="X877" s="283"/>
      <c r="Y877" s="284"/>
      <c r="Z877" s="284"/>
      <c r="AA877" s="301"/>
      <c r="AB877" s="301"/>
      <c r="AC877" s="301"/>
      <c r="AD877" s="301"/>
      <c r="AE877" s="301"/>
      <c r="AF877" s="301"/>
      <c r="AG877" s="301"/>
      <c r="AH877" s="301"/>
      <c r="AI877" s="301"/>
      <c r="AJ877" s="301"/>
      <c r="AK877" s="301"/>
      <c r="AL877" s="301"/>
      <c r="AM877" s="301"/>
      <c r="AN877" s="301"/>
      <c r="AO877" s="301"/>
      <c r="AP877" s="301"/>
      <c r="AQ877" s="301"/>
      <c r="AR877" s="301"/>
      <c r="AS877" s="316"/>
      <c r="AT877" s="316"/>
      <c r="AU877" s="317"/>
    </row>
    <row r="878" spans="1:50" s="217" customFormat="1" ht="25.5" customHeight="1" outlineLevel="1">
      <c r="A878" s="215" t="s">
        <v>125</v>
      </c>
      <c r="B878" s="247"/>
      <c r="C878" s="247"/>
      <c r="D878" s="248"/>
      <c r="E878" s="249"/>
      <c r="F878" s="249"/>
      <c r="G878" s="249"/>
      <c r="H878" s="249"/>
      <c r="I878" s="249"/>
      <c r="J878" s="247"/>
      <c r="K878" s="259"/>
      <c r="L878" s="248"/>
      <c r="M878" s="248"/>
      <c r="N878" s="250"/>
      <c r="O878" s="250"/>
      <c r="P878" s="250"/>
      <c r="Q878" s="99" t="s">
        <v>188</v>
      </c>
      <c r="R878" s="283"/>
      <c r="S878" s="283"/>
      <c r="T878" s="283"/>
      <c r="U878" s="283"/>
      <c r="V878" s="283"/>
      <c r="W878" s="283"/>
      <c r="X878" s="283"/>
      <c r="Y878" s="285"/>
      <c r="Z878" s="285"/>
      <c r="AA878" s="302"/>
      <c r="AB878" s="302"/>
      <c r="AC878" s="302"/>
      <c r="AD878" s="302"/>
      <c r="AE878" s="302"/>
      <c r="AF878" s="302"/>
      <c r="AG878" s="302"/>
      <c r="AH878" s="301"/>
      <c r="AI878" s="301"/>
      <c r="AJ878" s="301"/>
      <c r="AK878" s="301"/>
      <c r="AL878" s="301"/>
      <c r="AM878" s="301"/>
      <c r="AN878" s="301"/>
      <c r="AO878" s="301"/>
      <c r="AP878" s="301"/>
      <c r="AQ878" s="302"/>
      <c r="AR878" s="302"/>
      <c r="AS878" s="315"/>
      <c r="AT878" s="315"/>
      <c r="AU878" s="220"/>
    </row>
    <row r="879" spans="1:50" s="218" customFormat="1" ht="25.5" customHeight="1" outlineLevel="2">
      <c r="A879" s="215" t="s">
        <v>125</v>
      </c>
      <c r="B879" s="151">
        <v>33</v>
      </c>
      <c r="C879" s="854" t="s">
        <v>196</v>
      </c>
      <c r="D879" s="245" t="s">
        <v>618</v>
      </c>
      <c r="E879" s="854" t="s">
        <v>130</v>
      </c>
      <c r="F879" s="151" t="s">
        <v>649</v>
      </c>
      <c r="G879" s="151" t="s">
        <v>37</v>
      </c>
      <c r="H879" s="151" t="s">
        <v>37</v>
      </c>
      <c r="I879" s="256">
        <v>36</v>
      </c>
      <c r="J879" s="151" t="s">
        <v>80</v>
      </c>
      <c r="K879" s="856" t="s">
        <v>1639</v>
      </c>
      <c r="L879" s="855">
        <v>40026610</v>
      </c>
      <c r="M879" s="855"/>
      <c r="N879" s="855"/>
      <c r="O879" s="855"/>
      <c r="P879" s="855"/>
      <c r="Q879" s="856" t="s">
        <v>1640</v>
      </c>
      <c r="R879" s="857" t="s">
        <v>1641</v>
      </c>
      <c r="S879" s="274"/>
      <c r="T879" s="857"/>
      <c r="U879" s="857"/>
      <c r="V879" s="857"/>
      <c r="W879" s="857"/>
      <c r="X879" s="274"/>
      <c r="Y879" s="858">
        <v>14917780</v>
      </c>
      <c r="Z879" s="858">
        <v>0</v>
      </c>
      <c r="AA879" s="296"/>
      <c r="AB879" s="859">
        <v>14917780</v>
      </c>
      <c r="AC879" s="297">
        <f t="shared" si="290"/>
        <v>0</v>
      </c>
      <c r="AD879" s="297">
        <f t="shared" ref="AD879:AD886" si="294">+AB879-AC879</f>
        <v>14917780</v>
      </c>
      <c r="AE879" s="859"/>
      <c r="AF879" s="859"/>
      <c r="AG879" s="859"/>
      <c r="AH879" s="859"/>
      <c r="AI879" s="859"/>
      <c r="AJ879" s="859"/>
      <c r="AK879" s="859"/>
      <c r="AL879" s="859"/>
      <c r="AM879" s="859"/>
      <c r="AN879" s="859"/>
      <c r="AO879" s="859"/>
      <c r="AP879" s="859"/>
      <c r="AQ879" s="296"/>
      <c r="AR879" s="297">
        <f t="shared" ref="AR879:AR886" si="295">+Y879-Z879-AC879-AD879</f>
        <v>0</v>
      </c>
      <c r="AS879" s="860" t="s">
        <v>185</v>
      </c>
      <c r="AT879" s="860"/>
      <c r="AU879" s="176" t="s">
        <v>1644</v>
      </c>
    </row>
    <row r="880" spans="1:50" s="218" customFormat="1" ht="25.5" customHeight="1" outlineLevel="2">
      <c r="A880" s="215" t="s">
        <v>125</v>
      </c>
      <c r="B880" s="151">
        <v>33</v>
      </c>
      <c r="C880" s="854" t="s">
        <v>196</v>
      </c>
      <c r="D880" s="245" t="s">
        <v>618</v>
      </c>
      <c r="E880" s="854" t="s">
        <v>130</v>
      </c>
      <c r="F880" s="151" t="s">
        <v>649</v>
      </c>
      <c r="G880" s="151" t="s">
        <v>37</v>
      </c>
      <c r="H880" s="151" t="s">
        <v>37</v>
      </c>
      <c r="I880" s="256">
        <v>36</v>
      </c>
      <c r="J880" s="151" t="s">
        <v>80</v>
      </c>
      <c r="K880" s="856" t="s">
        <v>1639</v>
      </c>
      <c r="L880" s="855">
        <v>40026612</v>
      </c>
      <c r="M880" s="855"/>
      <c r="N880" s="855"/>
      <c r="O880" s="855"/>
      <c r="P880" s="855"/>
      <c r="Q880" s="856" t="s">
        <v>1642</v>
      </c>
      <c r="R880" s="857" t="s">
        <v>1643</v>
      </c>
      <c r="S880" s="274"/>
      <c r="T880" s="857"/>
      <c r="U880" s="857"/>
      <c r="V880" s="857"/>
      <c r="W880" s="857"/>
      <c r="X880" s="274"/>
      <c r="Y880" s="858">
        <v>6261750</v>
      </c>
      <c r="Z880" s="858">
        <v>0</v>
      </c>
      <c r="AA880" s="296"/>
      <c r="AB880" s="859">
        <v>6261750</v>
      </c>
      <c r="AC880" s="297">
        <f t="shared" si="290"/>
        <v>0</v>
      </c>
      <c r="AD880" s="297">
        <f t="shared" si="294"/>
        <v>6261750</v>
      </c>
      <c r="AE880" s="859"/>
      <c r="AF880" s="859"/>
      <c r="AG880" s="859"/>
      <c r="AH880" s="859"/>
      <c r="AI880" s="859"/>
      <c r="AJ880" s="859"/>
      <c r="AK880" s="859"/>
      <c r="AL880" s="859"/>
      <c r="AM880" s="859"/>
      <c r="AN880" s="859"/>
      <c r="AO880" s="859"/>
      <c r="AP880" s="859"/>
      <c r="AQ880" s="296"/>
      <c r="AR880" s="297">
        <f t="shared" si="295"/>
        <v>0</v>
      </c>
      <c r="AS880" s="860" t="s">
        <v>185</v>
      </c>
      <c r="AT880" s="860"/>
      <c r="AU880" s="176" t="s">
        <v>1644</v>
      </c>
    </row>
    <row r="881" spans="1:49" s="218" customFormat="1" ht="25.5" customHeight="1" outlineLevel="2">
      <c r="A881" s="215" t="s">
        <v>556</v>
      </c>
      <c r="B881" s="151">
        <v>33</v>
      </c>
      <c r="C881" s="151" t="s">
        <v>128</v>
      </c>
      <c r="D881" s="245" t="s">
        <v>204</v>
      </c>
      <c r="E881" s="151" t="s">
        <v>169</v>
      </c>
      <c r="F881" s="151" t="s">
        <v>649</v>
      </c>
      <c r="G881" s="151" t="s">
        <v>37</v>
      </c>
      <c r="H881" s="151" t="s">
        <v>37</v>
      </c>
      <c r="I881" s="256">
        <v>36</v>
      </c>
      <c r="J881" s="151" t="s">
        <v>80</v>
      </c>
      <c r="K881" s="176" t="s">
        <v>1173</v>
      </c>
      <c r="L881" s="245">
        <v>40005399</v>
      </c>
      <c r="M881" s="855"/>
      <c r="N881" s="245"/>
      <c r="O881" s="245" t="s">
        <v>1174</v>
      </c>
      <c r="P881" s="245"/>
      <c r="Q881" s="176" t="s">
        <v>1175</v>
      </c>
      <c r="R881" s="273" t="s">
        <v>1176</v>
      </c>
      <c r="S881" s="274"/>
      <c r="T881" s="327">
        <v>2212769000</v>
      </c>
      <c r="U881" s="327"/>
      <c r="V881" s="273"/>
      <c r="W881" s="273"/>
      <c r="X881" s="274"/>
      <c r="Y881" s="275">
        <v>2212769231</v>
      </c>
      <c r="Z881" s="275">
        <v>0</v>
      </c>
      <c r="AA881" s="296"/>
      <c r="AB881" s="297">
        <f>320000000-72529</f>
        <v>319927471</v>
      </c>
      <c r="AC881" s="297">
        <f t="shared" si="290"/>
        <v>0</v>
      </c>
      <c r="AD881" s="297">
        <f t="shared" si="294"/>
        <v>319927471</v>
      </c>
      <c r="AE881" s="297">
        <v>0</v>
      </c>
      <c r="AF881" s="297">
        <v>0</v>
      </c>
      <c r="AG881" s="297">
        <v>0</v>
      </c>
      <c r="AH881" s="297">
        <v>0</v>
      </c>
      <c r="AI881" s="297">
        <v>0</v>
      </c>
      <c r="AJ881" s="297">
        <v>0</v>
      </c>
      <c r="AK881" s="297">
        <v>0</v>
      </c>
      <c r="AL881" s="297">
        <v>0</v>
      </c>
      <c r="AM881" s="297">
        <v>0</v>
      </c>
      <c r="AN881" s="297">
        <v>0</v>
      </c>
      <c r="AO881" s="297">
        <v>0</v>
      </c>
      <c r="AP881" s="297">
        <v>0</v>
      </c>
      <c r="AQ881" s="296"/>
      <c r="AR881" s="297">
        <f t="shared" si="295"/>
        <v>1892841760</v>
      </c>
      <c r="AS881" s="313" t="s">
        <v>185</v>
      </c>
      <c r="AT881" s="313" t="s">
        <v>1475</v>
      </c>
      <c r="AU881" s="176" t="s">
        <v>200</v>
      </c>
      <c r="AW881" s="218" t="s">
        <v>1655</v>
      </c>
    </row>
    <row r="882" spans="1:49" s="218" customFormat="1" ht="25.5" customHeight="1" outlineLevel="2">
      <c r="A882" s="215" t="s">
        <v>125</v>
      </c>
      <c r="B882" s="151">
        <v>33</v>
      </c>
      <c r="C882" s="151" t="s">
        <v>128</v>
      </c>
      <c r="D882" s="245" t="s">
        <v>149</v>
      </c>
      <c r="E882" s="151" t="s">
        <v>169</v>
      </c>
      <c r="F882" s="151" t="s">
        <v>140</v>
      </c>
      <c r="G882" s="151" t="s">
        <v>37</v>
      </c>
      <c r="H882" s="151" t="s">
        <v>37</v>
      </c>
      <c r="I882" s="256">
        <v>36</v>
      </c>
      <c r="J882" s="151" t="s">
        <v>80</v>
      </c>
      <c r="K882" s="176"/>
      <c r="L882" s="245">
        <v>30485056</v>
      </c>
      <c r="M882" s="855"/>
      <c r="N882" s="245" t="e">
        <v>#N/A</v>
      </c>
      <c r="O882" s="245" t="s">
        <v>1177</v>
      </c>
      <c r="P882" s="245"/>
      <c r="Q882" s="176" t="s">
        <v>1178</v>
      </c>
      <c r="R882" s="273" t="s">
        <v>1179</v>
      </c>
      <c r="S882" s="274"/>
      <c r="T882" s="273"/>
      <c r="U882" s="273"/>
      <c r="V882" s="273"/>
      <c r="W882" s="273"/>
      <c r="X882" s="274"/>
      <c r="Y882" s="275">
        <v>327800000</v>
      </c>
      <c r="Z882" s="275">
        <v>0</v>
      </c>
      <c r="AA882" s="296"/>
      <c r="AB882" s="297">
        <v>120000000</v>
      </c>
      <c r="AC882" s="297">
        <f t="shared" si="290"/>
        <v>0</v>
      </c>
      <c r="AD882" s="297">
        <f t="shared" si="294"/>
        <v>120000000</v>
      </c>
      <c r="AE882" s="297">
        <v>0</v>
      </c>
      <c r="AF882" s="297">
        <v>0</v>
      </c>
      <c r="AG882" s="297">
        <v>0</v>
      </c>
      <c r="AH882" s="297">
        <v>0</v>
      </c>
      <c r="AI882" s="297">
        <v>0</v>
      </c>
      <c r="AJ882" s="297">
        <v>0</v>
      </c>
      <c r="AK882" s="297">
        <v>0</v>
      </c>
      <c r="AL882" s="297">
        <v>0</v>
      </c>
      <c r="AM882" s="297">
        <v>0</v>
      </c>
      <c r="AN882" s="297">
        <v>0</v>
      </c>
      <c r="AO882" s="297">
        <v>0</v>
      </c>
      <c r="AP882" s="297">
        <v>0</v>
      </c>
      <c r="AQ882" s="296"/>
      <c r="AR882" s="297">
        <f t="shared" si="295"/>
        <v>207800000</v>
      </c>
      <c r="AS882" s="313" t="s">
        <v>185</v>
      </c>
      <c r="AT882" s="313" t="s">
        <v>1475</v>
      </c>
      <c r="AU882" s="176" t="s">
        <v>200</v>
      </c>
      <c r="AW882" s="218" t="s">
        <v>1654</v>
      </c>
    </row>
    <row r="883" spans="1:49" s="218" customFormat="1" ht="25.5" customHeight="1" outlineLevel="2">
      <c r="A883" s="215" t="s">
        <v>125</v>
      </c>
      <c r="B883" s="151">
        <v>33</v>
      </c>
      <c r="C883" s="151" t="s">
        <v>128</v>
      </c>
      <c r="D883" s="245" t="s">
        <v>149</v>
      </c>
      <c r="E883" s="151" t="s">
        <v>169</v>
      </c>
      <c r="F883" s="151" t="s">
        <v>140</v>
      </c>
      <c r="G883" s="151" t="s">
        <v>37</v>
      </c>
      <c r="H883" s="151" t="s">
        <v>37</v>
      </c>
      <c r="I883" s="256">
        <v>36</v>
      </c>
      <c r="J883" s="151" t="s">
        <v>80</v>
      </c>
      <c r="K883" s="176" t="s">
        <v>1127</v>
      </c>
      <c r="L883" s="245">
        <v>40016559</v>
      </c>
      <c r="M883" s="855"/>
      <c r="N883" s="245" t="e">
        <v>#N/A</v>
      </c>
      <c r="O883" s="245" t="s">
        <v>1180</v>
      </c>
      <c r="P883" s="245"/>
      <c r="Q883" s="176" t="s">
        <v>1181</v>
      </c>
      <c r="R883" s="273" t="s">
        <v>1182</v>
      </c>
      <c r="S883" s="274"/>
      <c r="T883" s="273"/>
      <c r="U883" s="273"/>
      <c r="V883" s="273"/>
      <c r="W883" s="273"/>
      <c r="X883" s="274"/>
      <c r="Y883" s="275">
        <v>231418750</v>
      </c>
      <c r="Z883" s="275">
        <v>0</v>
      </c>
      <c r="AA883" s="296"/>
      <c r="AB883" s="297">
        <v>110000000</v>
      </c>
      <c r="AC883" s="297">
        <f t="shared" si="290"/>
        <v>0</v>
      </c>
      <c r="AD883" s="297">
        <f t="shared" si="294"/>
        <v>110000000</v>
      </c>
      <c r="AE883" s="297">
        <v>0</v>
      </c>
      <c r="AF883" s="297">
        <v>0</v>
      </c>
      <c r="AG883" s="297">
        <v>0</v>
      </c>
      <c r="AH883" s="297">
        <v>0</v>
      </c>
      <c r="AI883" s="297">
        <v>0</v>
      </c>
      <c r="AJ883" s="297">
        <v>0</v>
      </c>
      <c r="AK883" s="297">
        <v>0</v>
      </c>
      <c r="AL883" s="297">
        <v>0</v>
      </c>
      <c r="AM883" s="297">
        <v>0</v>
      </c>
      <c r="AN883" s="297">
        <v>0</v>
      </c>
      <c r="AO883" s="297">
        <v>0</v>
      </c>
      <c r="AP883" s="297">
        <v>0</v>
      </c>
      <c r="AQ883" s="296"/>
      <c r="AR883" s="297">
        <f t="shared" si="295"/>
        <v>121418750</v>
      </c>
      <c r="AS883" s="313" t="s">
        <v>185</v>
      </c>
      <c r="AT883" s="313" t="s">
        <v>1475</v>
      </c>
      <c r="AU883" s="176" t="s">
        <v>200</v>
      </c>
      <c r="AW883" s="218" t="s">
        <v>1654</v>
      </c>
    </row>
    <row r="884" spans="1:49" s="218" customFormat="1" ht="25.5" customHeight="1" outlineLevel="2">
      <c r="A884" s="215" t="s">
        <v>125</v>
      </c>
      <c r="B884" s="151">
        <v>33</v>
      </c>
      <c r="C884" s="151" t="s">
        <v>128</v>
      </c>
      <c r="D884" s="245" t="s">
        <v>204</v>
      </c>
      <c r="E884" s="151" t="s">
        <v>169</v>
      </c>
      <c r="F884" s="151" t="s">
        <v>648</v>
      </c>
      <c r="G884" s="151" t="s">
        <v>37</v>
      </c>
      <c r="H884" s="151" t="s">
        <v>37</v>
      </c>
      <c r="I884" s="256">
        <v>36</v>
      </c>
      <c r="J884" s="151" t="s">
        <v>80</v>
      </c>
      <c r="K884" s="176" t="s">
        <v>1090</v>
      </c>
      <c r="L884" s="245">
        <v>40012343</v>
      </c>
      <c r="M884" s="855" t="s">
        <v>1608</v>
      </c>
      <c r="N884" s="245" t="e">
        <v>#N/A</v>
      </c>
      <c r="O884" s="245" t="s">
        <v>1183</v>
      </c>
      <c r="P884" s="245"/>
      <c r="Q884" s="176" t="s">
        <v>1184</v>
      </c>
      <c r="R884" s="273" t="s">
        <v>1185</v>
      </c>
      <c r="S884" s="274"/>
      <c r="T884" s="273"/>
      <c r="U884" s="273"/>
      <c r="V884" s="273"/>
      <c r="W884" s="273"/>
      <c r="X884" s="274"/>
      <c r="Y884" s="275">
        <v>2256500000</v>
      </c>
      <c r="Z884" s="275">
        <v>0</v>
      </c>
      <c r="AA884" s="296"/>
      <c r="AB884" s="297">
        <f>400000000-259648000</f>
        <v>140352000</v>
      </c>
      <c r="AC884" s="297">
        <f t="shared" si="290"/>
        <v>0</v>
      </c>
      <c r="AD884" s="297">
        <f t="shared" si="294"/>
        <v>140352000</v>
      </c>
      <c r="AE884" s="297">
        <v>0</v>
      </c>
      <c r="AF884" s="297">
        <v>0</v>
      </c>
      <c r="AG884" s="297">
        <v>0</v>
      </c>
      <c r="AH884" s="297">
        <v>0</v>
      </c>
      <c r="AI884" s="297">
        <v>0</v>
      </c>
      <c r="AJ884" s="297">
        <v>0</v>
      </c>
      <c r="AK884" s="297">
        <v>0</v>
      </c>
      <c r="AL884" s="297">
        <v>0</v>
      </c>
      <c r="AM884" s="297">
        <v>0</v>
      </c>
      <c r="AN884" s="297">
        <v>0</v>
      </c>
      <c r="AO884" s="297">
        <v>0</v>
      </c>
      <c r="AP884" s="297">
        <v>0</v>
      </c>
      <c r="AQ884" s="296"/>
      <c r="AR884" s="297">
        <f t="shared" si="295"/>
        <v>2116148000</v>
      </c>
      <c r="AS884" s="313" t="s">
        <v>185</v>
      </c>
      <c r="AT884" s="313" t="s">
        <v>1475</v>
      </c>
      <c r="AU884" s="176" t="s">
        <v>200</v>
      </c>
      <c r="AW884" s="218" t="s">
        <v>1654</v>
      </c>
    </row>
    <row r="885" spans="1:49" s="218" customFormat="1" ht="25.5" customHeight="1" outlineLevel="2">
      <c r="A885" s="215" t="s">
        <v>125</v>
      </c>
      <c r="B885" s="151">
        <v>33</v>
      </c>
      <c r="C885" s="151" t="s">
        <v>128</v>
      </c>
      <c r="D885" s="245" t="s">
        <v>618</v>
      </c>
      <c r="E885" s="151" t="s">
        <v>169</v>
      </c>
      <c r="F885" s="151" t="s">
        <v>619</v>
      </c>
      <c r="G885" s="151" t="s">
        <v>37</v>
      </c>
      <c r="H885" s="151" t="s">
        <v>37</v>
      </c>
      <c r="I885" s="256">
        <v>36</v>
      </c>
      <c r="J885" s="151" t="s">
        <v>80</v>
      </c>
      <c r="K885" s="176" t="s">
        <v>1140</v>
      </c>
      <c r="L885" s="245">
        <v>40017839</v>
      </c>
      <c r="M885" s="855"/>
      <c r="N885" s="245" t="e">
        <v>#N/A</v>
      </c>
      <c r="O885" s="245" t="s">
        <v>1186</v>
      </c>
      <c r="P885" s="245"/>
      <c r="Q885" s="176" t="s">
        <v>1187</v>
      </c>
      <c r="R885" s="273" t="s">
        <v>1188</v>
      </c>
      <c r="S885" s="274"/>
      <c r="T885" s="273"/>
      <c r="U885" s="273"/>
      <c r="V885" s="273"/>
      <c r="W885" s="273"/>
      <c r="X885" s="274"/>
      <c r="Y885" s="275">
        <v>100000000</v>
      </c>
      <c r="Z885" s="275">
        <v>0</v>
      </c>
      <c r="AA885" s="296"/>
      <c r="AB885" s="297">
        <v>100000000</v>
      </c>
      <c r="AC885" s="297">
        <f t="shared" si="290"/>
        <v>0</v>
      </c>
      <c r="AD885" s="297">
        <f t="shared" si="294"/>
        <v>100000000</v>
      </c>
      <c r="AE885" s="297">
        <v>0</v>
      </c>
      <c r="AF885" s="297">
        <v>0</v>
      </c>
      <c r="AG885" s="297">
        <v>0</v>
      </c>
      <c r="AH885" s="297">
        <v>0</v>
      </c>
      <c r="AI885" s="297">
        <v>0</v>
      </c>
      <c r="AJ885" s="297">
        <v>0</v>
      </c>
      <c r="AK885" s="297">
        <v>0</v>
      </c>
      <c r="AL885" s="297">
        <v>0</v>
      </c>
      <c r="AM885" s="297">
        <v>0</v>
      </c>
      <c r="AN885" s="297">
        <v>0</v>
      </c>
      <c r="AO885" s="297">
        <v>0</v>
      </c>
      <c r="AP885" s="297">
        <v>0</v>
      </c>
      <c r="AQ885" s="296"/>
      <c r="AR885" s="297">
        <f t="shared" si="295"/>
        <v>0</v>
      </c>
      <c r="AS885" s="313" t="s">
        <v>185</v>
      </c>
      <c r="AT885" s="313" t="s">
        <v>1475</v>
      </c>
      <c r="AU885" s="176" t="s">
        <v>200</v>
      </c>
      <c r="AW885" s="218" t="s">
        <v>1652</v>
      </c>
    </row>
    <row r="886" spans="1:49" s="217" customFormat="1" ht="25.5" customHeight="1" outlineLevel="1">
      <c r="A886" s="215" t="s">
        <v>125</v>
      </c>
      <c r="B886" s="321">
        <v>33</v>
      </c>
      <c r="C886" s="321" t="s">
        <v>196</v>
      </c>
      <c r="D886" s="322" t="s">
        <v>618</v>
      </c>
      <c r="E886" s="321" t="s">
        <v>130</v>
      </c>
      <c r="F886" s="321" t="s">
        <v>649</v>
      </c>
      <c r="G886" s="321" t="s">
        <v>37</v>
      </c>
      <c r="H886" s="321" t="s">
        <v>37</v>
      </c>
      <c r="I886" s="324">
        <v>36</v>
      </c>
      <c r="J886" s="321" t="s">
        <v>80</v>
      </c>
      <c r="K886" s="325" t="s">
        <v>1189</v>
      </c>
      <c r="L886" s="322">
        <v>40020255</v>
      </c>
      <c r="M886" s="862" t="s">
        <v>1605</v>
      </c>
      <c r="N886" s="322"/>
      <c r="O886" s="245" t="s">
        <v>1190</v>
      </c>
      <c r="P886" s="322"/>
      <c r="Q886" s="325" t="s">
        <v>1191</v>
      </c>
      <c r="R886" s="328" t="s">
        <v>290</v>
      </c>
      <c r="S886" s="329"/>
      <c r="T886" s="328"/>
      <c r="U886" s="328"/>
      <c r="V886" s="328"/>
      <c r="W886" s="328"/>
      <c r="X886" s="329"/>
      <c r="Y886" s="330">
        <v>1500000000</v>
      </c>
      <c r="Z886" s="330">
        <v>0</v>
      </c>
      <c r="AA886" s="331"/>
      <c r="AB886" s="332">
        <v>1000000000</v>
      </c>
      <c r="AC886" s="332">
        <f t="shared" si="290"/>
        <v>0</v>
      </c>
      <c r="AD886" s="332">
        <f t="shared" si="294"/>
        <v>1000000000</v>
      </c>
      <c r="AE886" s="332">
        <v>0</v>
      </c>
      <c r="AF886" s="332">
        <v>0</v>
      </c>
      <c r="AG886" s="332">
        <v>0</v>
      </c>
      <c r="AH886" s="332">
        <v>0</v>
      </c>
      <c r="AI886" s="332">
        <v>0</v>
      </c>
      <c r="AJ886" s="297">
        <v>0</v>
      </c>
      <c r="AK886" s="297">
        <v>0</v>
      </c>
      <c r="AL886" s="297">
        <v>0</v>
      </c>
      <c r="AM886" s="297">
        <v>0</v>
      </c>
      <c r="AN886" s="297">
        <v>0</v>
      </c>
      <c r="AO886" s="332">
        <v>0</v>
      </c>
      <c r="AP886" s="332">
        <v>0</v>
      </c>
      <c r="AQ886" s="331"/>
      <c r="AR886" s="332">
        <f t="shared" si="295"/>
        <v>500000000</v>
      </c>
      <c r="AS886" s="335" t="s">
        <v>185</v>
      </c>
      <c r="AT886" s="313" t="s">
        <v>1475</v>
      </c>
      <c r="AU886" s="176" t="s">
        <v>190</v>
      </c>
    </row>
    <row r="887" spans="1:49" s="217" customFormat="1" ht="25.5" customHeight="1" outlineLevel="1">
      <c r="A887" s="215" t="s">
        <v>125</v>
      </c>
      <c r="B887" s="191">
        <v>33</v>
      </c>
      <c r="C887" s="191" t="s">
        <v>196</v>
      </c>
      <c r="D887" s="246" t="s">
        <v>648</v>
      </c>
      <c r="E887" s="191" t="s">
        <v>169</v>
      </c>
      <c r="F887" s="191" t="s">
        <v>649</v>
      </c>
      <c r="G887" s="191" t="s">
        <v>37</v>
      </c>
      <c r="H887" s="191" t="s">
        <v>37</v>
      </c>
      <c r="I887" s="258">
        <v>36</v>
      </c>
      <c r="J887" s="191" t="s">
        <v>80</v>
      </c>
      <c r="K887" s="192" t="s">
        <v>1189</v>
      </c>
      <c r="L887" s="246">
        <v>40019474</v>
      </c>
      <c r="M887" s="861" t="s">
        <v>1604</v>
      </c>
      <c r="N887" s="245"/>
      <c r="O887" s="245" t="s">
        <v>1192</v>
      </c>
      <c r="P887" s="245"/>
      <c r="Q887" s="192" t="s">
        <v>1193</v>
      </c>
      <c r="R887" s="276" t="s">
        <v>1194</v>
      </c>
      <c r="S887" s="274"/>
      <c r="T887" s="276"/>
      <c r="U887" s="276"/>
      <c r="V887" s="276"/>
      <c r="W887" s="276"/>
      <c r="X887" s="274"/>
      <c r="Y887" s="194">
        <v>120000000</v>
      </c>
      <c r="Z887" s="194">
        <v>0</v>
      </c>
      <c r="AA887" s="296"/>
      <c r="AB887" s="299">
        <v>120000000</v>
      </c>
      <c r="AC887" s="299">
        <f t="shared" si="290"/>
        <v>0</v>
      </c>
      <c r="AD887" s="299">
        <f t="shared" ref="AD887:AD898" si="296">+AB887-AC887</f>
        <v>120000000</v>
      </c>
      <c r="AE887" s="297">
        <v>0</v>
      </c>
      <c r="AF887" s="297">
        <v>0</v>
      </c>
      <c r="AG887" s="297">
        <v>0</v>
      </c>
      <c r="AH887" s="297">
        <v>0</v>
      </c>
      <c r="AI887" s="297">
        <v>0</v>
      </c>
      <c r="AJ887" s="297">
        <v>0</v>
      </c>
      <c r="AK887" s="297">
        <v>0</v>
      </c>
      <c r="AL887" s="297">
        <v>0</v>
      </c>
      <c r="AM887" s="297">
        <v>0</v>
      </c>
      <c r="AN887" s="297">
        <v>0</v>
      </c>
      <c r="AO887" s="297">
        <v>0</v>
      </c>
      <c r="AP887" s="299">
        <v>0</v>
      </c>
      <c r="AQ887" s="296"/>
      <c r="AR887" s="299">
        <f t="shared" ref="AR887:AR898" si="297">+Y887-Z887-AC887-AD887</f>
        <v>0</v>
      </c>
      <c r="AS887" s="314" t="s">
        <v>185</v>
      </c>
      <c r="AT887" s="313" t="s">
        <v>1475</v>
      </c>
      <c r="AU887" s="176" t="s">
        <v>1209</v>
      </c>
      <c r="AW887" s="218" t="s">
        <v>1635</v>
      </c>
    </row>
    <row r="888" spans="1:49" s="217" customFormat="1" ht="25.5" customHeight="1" outlineLevel="1">
      <c r="A888" s="215" t="s">
        <v>125</v>
      </c>
      <c r="B888" s="191">
        <v>33</v>
      </c>
      <c r="C888" s="191" t="s">
        <v>196</v>
      </c>
      <c r="D888" s="246" t="s">
        <v>648</v>
      </c>
      <c r="E888" s="191" t="s">
        <v>169</v>
      </c>
      <c r="F888" s="191" t="s">
        <v>649</v>
      </c>
      <c r="G888" s="191" t="s">
        <v>37</v>
      </c>
      <c r="H888" s="191" t="s">
        <v>37</v>
      </c>
      <c r="I888" s="258">
        <v>36</v>
      </c>
      <c r="J888" s="191" t="s">
        <v>80</v>
      </c>
      <c r="K888" s="192" t="s">
        <v>1189</v>
      </c>
      <c r="L888" s="246">
        <v>40019475</v>
      </c>
      <c r="M888" s="861" t="s">
        <v>1604</v>
      </c>
      <c r="N888" s="245"/>
      <c r="O888" s="245" t="s">
        <v>1195</v>
      </c>
      <c r="P888" s="245"/>
      <c r="Q888" s="192" t="s">
        <v>1196</v>
      </c>
      <c r="R888" s="276" t="s">
        <v>1197</v>
      </c>
      <c r="S888" s="274"/>
      <c r="T888" s="276"/>
      <c r="U888" s="276"/>
      <c r="V888" s="276"/>
      <c r="W888" s="276"/>
      <c r="X888" s="274"/>
      <c r="Y888" s="194">
        <v>150000000</v>
      </c>
      <c r="Z888" s="194">
        <v>0</v>
      </c>
      <c r="AA888" s="296"/>
      <c r="AB888" s="299">
        <v>150000000</v>
      </c>
      <c r="AC888" s="299">
        <f t="shared" si="290"/>
        <v>0</v>
      </c>
      <c r="AD888" s="299">
        <f t="shared" si="296"/>
        <v>150000000</v>
      </c>
      <c r="AE888" s="297">
        <v>0</v>
      </c>
      <c r="AF888" s="297">
        <v>0</v>
      </c>
      <c r="AG888" s="297">
        <v>0</v>
      </c>
      <c r="AH888" s="297">
        <v>0</v>
      </c>
      <c r="AI888" s="297">
        <v>0</v>
      </c>
      <c r="AJ888" s="297">
        <v>0</v>
      </c>
      <c r="AK888" s="297">
        <v>0</v>
      </c>
      <c r="AL888" s="297">
        <v>0</v>
      </c>
      <c r="AM888" s="297">
        <v>0</v>
      </c>
      <c r="AN888" s="297">
        <v>0</v>
      </c>
      <c r="AO888" s="297">
        <v>0</v>
      </c>
      <c r="AP888" s="299">
        <v>0</v>
      </c>
      <c r="AQ888" s="296"/>
      <c r="AR888" s="299">
        <f t="shared" si="297"/>
        <v>0</v>
      </c>
      <c r="AS888" s="314" t="s">
        <v>185</v>
      </c>
      <c r="AT888" s="313" t="s">
        <v>1475</v>
      </c>
      <c r="AU888" s="176" t="s">
        <v>1209</v>
      </c>
      <c r="AW888" s="218" t="s">
        <v>1635</v>
      </c>
    </row>
    <row r="889" spans="1:49" s="217" customFormat="1" ht="25.5" customHeight="1" outlineLevel="1">
      <c r="A889" s="215" t="s">
        <v>125</v>
      </c>
      <c r="B889" s="191">
        <v>33</v>
      </c>
      <c r="C889" s="191" t="s">
        <v>196</v>
      </c>
      <c r="D889" s="246" t="s">
        <v>618</v>
      </c>
      <c r="E889" s="191" t="s">
        <v>130</v>
      </c>
      <c r="F889" s="191" t="s">
        <v>649</v>
      </c>
      <c r="G889" s="191" t="s">
        <v>37</v>
      </c>
      <c r="H889" s="191" t="s">
        <v>37</v>
      </c>
      <c r="I889" s="258">
        <v>36</v>
      </c>
      <c r="J889" s="191" t="s">
        <v>80</v>
      </c>
      <c r="K889" s="192" t="s">
        <v>1639</v>
      </c>
      <c r="L889" s="246">
        <v>40024008</v>
      </c>
      <c r="M889" s="861" t="s">
        <v>1604</v>
      </c>
      <c r="N889" s="245"/>
      <c r="O889" s="245" t="s">
        <v>1198</v>
      </c>
      <c r="P889" s="245"/>
      <c r="Q889" s="192" t="s">
        <v>1645</v>
      </c>
      <c r="R889" s="276" t="s">
        <v>1646</v>
      </c>
      <c r="S889" s="274"/>
      <c r="T889" s="276"/>
      <c r="U889" s="276"/>
      <c r="V889" s="276"/>
      <c r="W889" s="276"/>
      <c r="X889" s="274"/>
      <c r="Y889" s="194">
        <v>474000000</v>
      </c>
      <c r="Z889" s="194">
        <v>0</v>
      </c>
      <c r="AA889" s="296"/>
      <c r="AB889" s="299">
        <v>474000000</v>
      </c>
      <c r="AC889" s="299">
        <f t="shared" ref="AC889" si="298">SUBTOTAL(9,AE889:AP889)</f>
        <v>0</v>
      </c>
      <c r="AD889" s="299">
        <f t="shared" ref="AD889" si="299">+AB889-AC889</f>
        <v>474000000</v>
      </c>
      <c r="AE889" s="297">
        <v>0</v>
      </c>
      <c r="AF889" s="297">
        <v>0</v>
      </c>
      <c r="AG889" s="297">
        <v>0</v>
      </c>
      <c r="AH889" s="297">
        <v>0</v>
      </c>
      <c r="AI889" s="297">
        <v>0</v>
      </c>
      <c r="AJ889" s="297">
        <v>0</v>
      </c>
      <c r="AK889" s="297">
        <v>0</v>
      </c>
      <c r="AL889" s="297">
        <v>0</v>
      </c>
      <c r="AM889" s="297">
        <v>0</v>
      </c>
      <c r="AN889" s="297">
        <v>0</v>
      </c>
      <c r="AO889" s="297">
        <v>0</v>
      </c>
      <c r="AP889" s="299">
        <v>0</v>
      </c>
      <c r="AQ889" s="296"/>
      <c r="AR889" s="299">
        <f t="shared" ref="AR889" si="300">+Y889-Z889-AC889-AD889</f>
        <v>0</v>
      </c>
      <c r="AS889" s="314" t="s">
        <v>185</v>
      </c>
      <c r="AT889" s="313" t="s">
        <v>1475</v>
      </c>
      <c r="AU889" s="176" t="s">
        <v>1644</v>
      </c>
    </row>
    <row r="890" spans="1:49" s="217" customFormat="1" ht="25.5" customHeight="1" outlineLevel="1">
      <c r="A890" s="215" t="s">
        <v>125</v>
      </c>
      <c r="B890" s="191">
        <v>33</v>
      </c>
      <c r="C890" s="191" t="s">
        <v>196</v>
      </c>
      <c r="D890" s="246" t="s">
        <v>618</v>
      </c>
      <c r="E890" s="191" t="s">
        <v>130</v>
      </c>
      <c r="F890" s="191" t="s">
        <v>649</v>
      </c>
      <c r="G890" s="191" t="s">
        <v>37</v>
      </c>
      <c r="H890" s="191" t="s">
        <v>37</v>
      </c>
      <c r="I890" s="258">
        <v>36</v>
      </c>
      <c r="J890" s="191" t="s">
        <v>80</v>
      </c>
      <c r="K890" s="192" t="s">
        <v>1639</v>
      </c>
      <c r="L890" s="246">
        <v>40015477</v>
      </c>
      <c r="M890" s="861" t="s">
        <v>1604</v>
      </c>
      <c r="N890" s="245"/>
      <c r="O890" s="245" t="s">
        <v>1198</v>
      </c>
      <c r="P890" s="245"/>
      <c r="Q890" s="192" t="s">
        <v>1649</v>
      </c>
      <c r="R890" s="276" t="s">
        <v>1650</v>
      </c>
      <c r="S890" s="274"/>
      <c r="T890" s="276"/>
      <c r="U890" s="276"/>
      <c r="V890" s="276"/>
      <c r="W890" s="276"/>
      <c r="X890" s="274"/>
      <c r="Y890" s="194">
        <v>456000000</v>
      </c>
      <c r="Z890" s="194">
        <v>0</v>
      </c>
      <c r="AA890" s="296"/>
      <c r="AB890" s="299">
        <v>456000000</v>
      </c>
      <c r="AC890" s="299">
        <f t="shared" si="290"/>
        <v>0</v>
      </c>
      <c r="AD890" s="299">
        <f t="shared" si="296"/>
        <v>456000000</v>
      </c>
      <c r="AE890" s="297">
        <v>0</v>
      </c>
      <c r="AF890" s="297">
        <v>0</v>
      </c>
      <c r="AG890" s="297">
        <v>0</v>
      </c>
      <c r="AH890" s="297">
        <v>0</v>
      </c>
      <c r="AI890" s="297">
        <v>0</v>
      </c>
      <c r="AJ890" s="297">
        <v>0</v>
      </c>
      <c r="AK890" s="297">
        <v>0</v>
      </c>
      <c r="AL890" s="297">
        <v>0</v>
      </c>
      <c r="AM890" s="297">
        <v>0</v>
      </c>
      <c r="AN890" s="297">
        <v>0</v>
      </c>
      <c r="AO890" s="297">
        <v>0</v>
      </c>
      <c r="AP890" s="299">
        <v>0</v>
      </c>
      <c r="AQ890" s="296"/>
      <c r="AR890" s="299">
        <f t="shared" si="297"/>
        <v>0</v>
      </c>
      <c r="AS890" s="314" t="s">
        <v>185</v>
      </c>
      <c r="AT890" s="313" t="s">
        <v>1475</v>
      </c>
      <c r="AU890" s="176" t="s">
        <v>1644</v>
      </c>
    </row>
    <row r="891" spans="1:49" s="217" customFormat="1" ht="25.5" customHeight="1" outlineLevel="1">
      <c r="A891" s="215" t="s">
        <v>125</v>
      </c>
      <c r="B891" s="191">
        <v>33</v>
      </c>
      <c r="C891" s="191" t="s">
        <v>196</v>
      </c>
      <c r="D891" s="246" t="s">
        <v>129</v>
      </c>
      <c r="E891" s="191" t="s">
        <v>130</v>
      </c>
      <c r="F891" s="191" t="s">
        <v>649</v>
      </c>
      <c r="G891" s="191" t="s">
        <v>37</v>
      </c>
      <c r="H891" s="191" t="s">
        <v>37</v>
      </c>
      <c r="I891" s="258">
        <v>36</v>
      </c>
      <c r="J891" s="191" t="s">
        <v>80</v>
      </c>
      <c r="K891" s="192" t="s">
        <v>1199</v>
      </c>
      <c r="L891" s="246">
        <v>40019485</v>
      </c>
      <c r="M891" s="861" t="s">
        <v>1604</v>
      </c>
      <c r="N891" s="245"/>
      <c r="O891" s="245" t="s">
        <v>1200</v>
      </c>
      <c r="P891" s="245"/>
      <c r="Q891" s="192" t="s">
        <v>1201</v>
      </c>
      <c r="R891" s="276" t="s">
        <v>1202</v>
      </c>
      <c r="S891" s="274"/>
      <c r="T891" s="276"/>
      <c r="U891" s="276"/>
      <c r="V891" s="276"/>
      <c r="W891" s="276"/>
      <c r="X891" s="274"/>
      <c r="Y891" s="194">
        <v>1300000000</v>
      </c>
      <c r="Z891" s="194">
        <v>0</v>
      </c>
      <c r="AA891" s="296"/>
      <c r="AB891" s="299">
        <v>1300000000</v>
      </c>
      <c r="AC891" s="299">
        <f t="shared" si="290"/>
        <v>0</v>
      </c>
      <c r="AD891" s="299">
        <f t="shared" si="296"/>
        <v>1300000000</v>
      </c>
      <c r="AE891" s="297">
        <v>0</v>
      </c>
      <c r="AF891" s="297">
        <v>0</v>
      </c>
      <c r="AG891" s="297">
        <v>0</v>
      </c>
      <c r="AH891" s="297">
        <v>0</v>
      </c>
      <c r="AI891" s="297">
        <v>0</v>
      </c>
      <c r="AJ891" s="297">
        <v>0</v>
      </c>
      <c r="AK891" s="297">
        <v>0</v>
      </c>
      <c r="AL891" s="297">
        <v>0</v>
      </c>
      <c r="AM891" s="297">
        <v>0</v>
      </c>
      <c r="AN891" s="297">
        <v>0</v>
      </c>
      <c r="AO891" s="297">
        <v>0</v>
      </c>
      <c r="AP891" s="299">
        <v>0</v>
      </c>
      <c r="AQ891" s="296"/>
      <c r="AR891" s="299">
        <f t="shared" si="297"/>
        <v>0</v>
      </c>
      <c r="AS891" s="314" t="s">
        <v>185</v>
      </c>
      <c r="AT891" s="313" t="s">
        <v>1475</v>
      </c>
      <c r="AU891" s="176" t="s">
        <v>1209</v>
      </c>
      <c r="AW891" s="217" t="s">
        <v>1636</v>
      </c>
    </row>
    <row r="892" spans="1:49" s="217" customFormat="1" ht="25.5" customHeight="1" outlineLevel="1">
      <c r="A892" s="215" t="s">
        <v>125</v>
      </c>
      <c r="B892" s="191">
        <v>33</v>
      </c>
      <c r="C892" s="191" t="s">
        <v>196</v>
      </c>
      <c r="D892" s="246" t="s">
        <v>129</v>
      </c>
      <c r="E892" s="191" t="s">
        <v>130</v>
      </c>
      <c r="F892" s="191" t="s">
        <v>649</v>
      </c>
      <c r="G892" s="191" t="s">
        <v>37</v>
      </c>
      <c r="H892" s="191" t="s">
        <v>37</v>
      </c>
      <c r="I892" s="258">
        <v>36</v>
      </c>
      <c r="J892" s="191" t="s">
        <v>80</v>
      </c>
      <c r="K892" s="192" t="s">
        <v>1153</v>
      </c>
      <c r="L892" s="246">
        <v>40019414</v>
      </c>
      <c r="M892" s="861" t="s">
        <v>1604</v>
      </c>
      <c r="N892" s="245"/>
      <c r="O892" s="245" t="s">
        <v>1203</v>
      </c>
      <c r="P892" s="245"/>
      <c r="Q892" s="192" t="s">
        <v>1204</v>
      </c>
      <c r="R892" s="276" t="s">
        <v>1205</v>
      </c>
      <c r="S892" s="274"/>
      <c r="T892" s="276"/>
      <c r="U892" s="276"/>
      <c r="V892" s="276"/>
      <c r="W892" s="276"/>
      <c r="X892" s="274"/>
      <c r="Y892" s="194">
        <v>500000000</v>
      </c>
      <c r="Z892" s="194">
        <v>0</v>
      </c>
      <c r="AA892" s="296"/>
      <c r="AB892" s="299">
        <v>500000000</v>
      </c>
      <c r="AC892" s="299">
        <f t="shared" si="290"/>
        <v>0</v>
      </c>
      <c r="AD892" s="299">
        <f t="shared" si="296"/>
        <v>500000000</v>
      </c>
      <c r="AE892" s="297">
        <v>0</v>
      </c>
      <c r="AF892" s="297">
        <v>0</v>
      </c>
      <c r="AG892" s="297">
        <v>0</v>
      </c>
      <c r="AH892" s="297">
        <v>0</v>
      </c>
      <c r="AI892" s="297">
        <v>0</v>
      </c>
      <c r="AJ892" s="297">
        <v>0</v>
      </c>
      <c r="AK892" s="297">
        <v>0</v>
      </c>
      <c r="AL892" s="297">
        <v>0</v>
      </c>
      <c r="AM892" s="297">
        <v>0</v>
      </c>
      <c r="AN892" s="297">
        <v>0</v>
      </c>
      <c r="AO892" s="297">
        <v>0</v>
      </c>
      <c r="AP892" s="299">
        <v>0</v>
      </c>
      <c r="AQ892" s="296"/>
      <c r="AR892" s="299">
        <f t="shared" si="297"/>
        <v>0</v>
      </c>
      <c r="AS892" s="314" t="s">
        <v>185</v>
      </c>
      <c r="AT892" s="313" t="s">
        <v>1475</v>
      </c>
      <c r="AU892" s="176" t="s">
        <v>1209</v>
      </c>
      <c r="AW892" s="217" t="s">
        <v>1634</v>
      </c>
    </row>
    <row r="893" spans="1:49" s="217" customFormat="1" ht="25.5" customHeight="1" outlineLevel="1">
      <c r="A893" s="215" t="s">
        <v>125</v>
      </c>
      <c r="B893" s="191">
        <v>33</v>
      </c>
      <c r="C893" s="191" t="s">
        <v>196</v>
      </c>
      <c r="D893" s="246" t="s">
        <v>648</v>
      </c>
      <c r="E893" s="191" t="s">
        <v>169</v>
      </c>
      <c r="F893" s="191" t="s">
        <v>649</v>
      </c>
      <c r="G893" s="191" t="s">
        <v>37</v>
      </c>
      <c r="H893" s="191" t="s">
        <v>37</v>
      </c>
      <c r="I893" s="258">
        <v>36</v>
      </c>
      <c r="J893" s="191" t="s">
        <v>80</v>
      </c>
      <c r="K893" s="192" t="s">
        <v>1189</v>
      </c>
      <c r="L893" s="246">
        <v>40019379</v>
      </c>
      <c r="M893" s="861" t="s">
        <v>1604</v>
      </c>
      <c r="N893" s="245"/>
      <c r="O893" s="245" t="s">
        <v>1206</v>
      </c>
      <c r="P893" s="245"/>
      <c r="Q893" s="192" t="s">
        <v>1207</v>
      </c>
      <c r="R893" s="276" t="s">
        <v>1208</v>
      </c>
      <c r="S893" s="274"/>
      <c r="T893" s="276"/>
      <c r="U893" s="276"/>
      <c r="V893" s="276"/>
      <c r="W893" s="276"/>
      <c r="X893" s="274"/>
      <c r="Y893" s="194">
        <v>300000000</v>
      </c>
      <c r="Z893" s="194">
        <v>0</v>
      </c>
      <c r="AA893" s="296"/>
      <c r="AB893" s="299">
        <v>300000000</v>
      </c>
      <c r="AC893" s="299">
        <f t="shared" ref="AC893:AC903" si="301">SUBTOTAL(9,AE893:AP893)</f>
        <v>0</v>
      </c>
      <c r="AD893" s="299">
        <f t="shared" si="296"/>
        <v>300000000</v>
      </c>
      <c r="AE893" s="297">
        <v>0</v>
      </c>
      <c r="AF893" s="297">
        <v>0</v>
      </c>
      <c r="AG893" s="297">
        <v>0</v>
      </c>
      <c r="AH893" s="297">
        <v>0</v>
      </c>
      <c r="AI893" s="297">
        <v>0</v>
      </c>
      <c r="AJ893" s="297">
        <v>0</v>
      </c>
      <c r="AK893" s="297">
        <v>0</v>
      </c>
      <c r="AL893" s="297">
        <v>0</v>
      </c>
      <c r="AM893" s="297">
        <v>0</v>
      </c>
      <c r="AN893" s="297">
        <v>0</v>
      </c>
      <c r="AO893" s="297">
        <v>0</v>
      </c>
      <c r="AP893" s="299">
        <v>0</v>
      </c>
      <c r="AQ893" s="296"/>
      <c r="AR893" s="299">
        <f t="shared" si="297"/>
        <v>0</v>
      </c>
      <c r="AS893" s="314" t="s">
        <v>185</v>
      </c>
      <c r="AT893" s="313" t="s">
        <v>1475</v>
      </c>
      <c r="AU893" s="176" t="s">
        <v>1209</v>
      </c>
      <c r="AW893" s="218" t="s">
        <v>1635</v>
      </c>
    </row>
    <row r="894" spans="1:49" s="217" customFormat="1" ht="25.5" customHeight="1" outlineLevel="1">
      <c r="A894" s="215" t="s">
        <v>125</v>
      </c>
      <c r="B894" s="191">
        <v>33</v>
      </c>
      <c r="C894" s="191" t="s">
        <v>196</v>
      </c>
      <c r="D894" s="246" t="s">
        <v>648</v>
      </c>
      <c r="E894" s="191" t="s">
        <v>169</v>
      </c>
      <c r="F894" s="191" t="s">
        <v>649</v>
      </c>
      <c r="G894" s="191" t="s">
        <v>37</v>
      </c>
      <c r="H894" s="191" t="s">
        <v>37</v>
      </c>
      <c r="I894" s="258">
        <v>36</v>
      </c>
      <c r="J894" s="191" t="s">
        <v>80</v>
      </c>
      <c r="K894" s="192" t="s">
        <v>1189</v>
      </c>
      <c r="L894" s="246">
        <v>40019479</v>
      </c>
      <c r="M894" s="861" t="s">
        <v>1604</v>
      </c>
      <c r="N894" s="245"/>
      <c r="O894" s="245" t="s">
        <v>1210</v>
      </c>
      <c r="P894" s="245"/>
      <c r="Q894" s="192" t="s">
        <v>1211</v>
      </c>
      <c r="R894" s="276" t="s">
        <v>1212</v>
      </c>
      <c r="S894" s="274"/>
      <c r="T894" s="276"/>
      <c r="U894" s="276"/>
      <c r="V894" s="276"/>
      <c r="W894" s="276"/>
      <c r="X894" s="274"/>
      <c r="Y894" s="194">
        <v>100000000</v>
      </c>
      <c r="Z894" s="194">
        <v>0</v>
      </c>
      <c r="AA894" s="296"/>
      <c r="AB894" s="299">
        <v>100000000</v>
      </c>
      <c r="AC894" s="299">
        <f t="shared" si="301"/>
        <v>0</v>
      </c>
      <c r="AD894" s="299">
        <f t="shared" si="296"/>
        <v>100000000</v>
      </c>
      <c r="AE894" s="297">
        <v>0</v>
      </c>
      <c r="AF894" s="297">
        <v>0</v>
      </c>
      <c r="AG894" s="297">
        <v>0</v>
      </c>
      <c r="AH894" s="297">
        <v>0</v>
      </c>
      <c r="AI894" s="297">
        <v>0</v>
      </c>
      <c r="AJ894" s="297">
        <v>0</v>
      </c>
      <c r="AK894" s="297">
        <v>0</v>
      </c>
      <c r="AL894" s="297">
        <v>0</v>
      </c>
      <c r="AM894" s="297">
        <v>0</v>
      </c>
      <c r="AN894" s="297">
        <v>0</v>
      </c>
      <c r="AO894" s="297">
        <v>0</v>
      </c>
      <c r="AP894" s="299">
        <v>0</v>
      </c>
      <c r="AQ894" s="296"/>
      <c r="AR894" s="299">
        <f t="shared" si="297"/>
        <v>0</v>
      </c>
      <c r="AS894" s="314" t="s">
        <v>185</v>
      </c>
      <c r="AT894" s="313" t="s">
        <v>1475</v>
      </c>
      <c r="AU894" s="176" t="s">
        <v>1209</v>
      </c>
      <c r="AW894" s="218" t="s">
        <v>1635</v>
      </c>
    </row>
    <row r="895" spans="1:49" s="217" customFormat="1" ht="25.5" customHeight="1" outlineLevel="1">
      <c r="A895" s="215" t="s">
        <v>125</v>
      </c>
      <c r="B895" s="191">
        <v>33</v>
      </c>
      <c r="C895" s="191" t="s">
        <v>196</v>
      </c>
      <c r="D895" s="246" t="s">
        <v>618</v>
      </c>
      <c r="E895" s="191" t="s">
        <v>169</v>
      </c>
      <c r="F895" s="191" t="s">
        <v>649</v>
      </c>
      <c r="G895" s="191" t="s">
        <v>37</v>
      </c>
      <c r="H895" s="191" t="s">
        <v>37</v>
      </c>
      <c r="I895" s="258">
        <v>36</v>
      </c>
      <c r="J895" s="191" t="s">
        <v>80</v>
      </c>
      <c r="K895" s="192" t="s">
        <v>1153</v>
      </c>
      <c r="L895" s="246">
        <v>40019469</v>
      </c>
      <c r="M895" s="861" t="s">
        <v>1604</v>
      </c>
      <c r="N895" s="245"/>
      <c r="O895" s="245" t="s">
        <v>1213</v>
      </c>
      <c r="P895" s="245"/>
      <c r="Q895" s="192" t="s">
        <v>1214</v>
      </c>
      <c r="R895" s="276" t="s">
        <v>1215</v>
      </c>
      <c r="S895" s="274"/>
      <c r="T895" s="276"/>
      <c r="U895" s="276"/>
      <c r="V895" s="276"/>
      <c r="W895" s="276"/>
      <c r="X895" s="274"/>
      <c r="Y895" s="194">
        <v>150000000</v>
      </c>
      <c r="Z895" s="194">
        <v>0</v>
      </c>
      <c r="AA895" s="296"/>
      <c r="AB895" s="299">
        <v>150000000</v>
      </c>
      <c r="AC895" s="299">
        <f t="shared" si="301"/>
        <v>0</v>
      </c>
      <c r="AD895" s="299">
        <f t="shared" si="296"/>
        <v>150000000</v>
      </c>
      <c r="AE895" s="297">
        <v>0</v>
      </c>
      <c r="AF895" s="297">
        <v>0</v>
      </c>
      <c r="AG895" s="297">
        <v>0</v>
      </c>
      <c r="AH895" s="297">
        <v>0</v>
      </c>
      <c r="AI895" s="297">
        <v>0</v>
      </c>
      <c r="AJ895" s="297">
        <v>0</v>
      </c>
      <c r="AK895" s="297">
        <v>0</v>
      </c>
      <c r="AL895" s="297">
        <v>0</v>
      </c>
      <c r="AM895" s="297">
        <v>0</v>
      </c>
      <c r="AN895" s="297">
        <v>0</v>
      </c>
      <c r="AO895" s="297">
        <v>0</v>
      </c>
      <c r="AP895" s="299">
        <v>0</v>
      </c>
      <c r="AQ895" s="296"/>
      <c r="AR895" s="299">
        <f t="shared" si="297"/>
        <v>0</v>
      </c>
      <c r="AS895" s="314" t="s">
        <v>185</v>
      </c>
      <c r="AT895" s="313" t="s">
        <v>1475</v>
      </c>
      <c r="AU895" s="176" t="s">
        <v>1209</v>
      </c>
      <c r="AW895" s="218" t="s">
        <v>1635</v>
      </c>
    </row>
    <row r="896" spans="1:49" s="217" customFormat="1" ht="25.5" customHeight="1" outlineLevel="1">
      <c r="A896" s="215" t="s">
        <v>125</v>
      </c>
      <c r="B896" s="191">
        <v>33</v>
      </c>
      <c r="C896" s="191" t="s">
        <v>196</v>
      </c>
      <c r="D896" s="246" t="s">
        <v>618</v>
      </c>
      <c r="E896" s="191" t="s">
        <v>169</v>
      </c>
      <c r="F896" s="191" t="s">
        <v>649</v>
      </c>
      <c r="G896" s="191" t="s">
        <v>37</v>
      </c>
      <c r="H896" s="191" t="s">
        <v>37</v>
      </c>
      <c r="I896" s="258">
        <v>36</v>
      </c>
      <c r="J896" s="191" t="s">
        <v>80</v>
      </c>
      <c r="K896" s="192" t="s">
        <v>1189</v>
      </c>
      <c r="L896" s="246">
        <v>40019440</v>
      </c>
      <c r="M896" s="861" t="s">
        <v>1604</v>
      </c>
      <c r="N896" s="245"/>
      <c r="O896" s="245" t="s">
        <v>1216</v>
      </c>
      <c r="P896" s="245"/>
      <c r="Q896" s="192" t="s">
        <v>1217</v>
      </c>
      <c r="R896" s="276" t="s">
        <v>1218</v>
      </c>
      <c r="S896" s="274"/>
      <c r="T896" s="276"/>
      <c r="U896" s="276"/>
      <c r="V896" s="276"/>
      <c r="W896" s="276"/>
      <c r="X896" s="274"/>
      <c r="Y896" s="194">
        <v>130000000</v>
      </c>
      <c r="Z896" s="194">
        <v>0</v>
      </c>
      <c r="AA896" s="296"/>
      <c r="AB896" s="299">
        <v>130000000</v>
      </c>
      <c r="AC896" s="299">
        <f t="shared" si="301"/>
        <v>0</v>
      </c>
      <c r="AD896" s="299">
        <f t="shared" si="296"/>
        <v>130000000</v>
      </c>
      <c r="AE896" s="297">
        <v>0</v>
      </c>
      <c r="AF896" s="297">
        <v>0</v>
      </c>
      <c r="AG896" s="297">
        <v>0</v>
      </c>
      <c r="AH896" s="297">
        <v>0</v>
      </c>
      <c r="AI896" s="297">
        <v>0</v>
      </c>
      <c r="AJ896" s="297">
        <v>0</v>
      </c>
      <c r="AK896" s="297">
        <v>0</v>
      </c>
      <c r="AL896" s="297">
        <v>0</v>
      </c>
      <c r="AM896" s="297">
        <v>0</v>
      </c>
      <c r="AN896" s="297">
        <v>0</v>
      </c>
      <c r="AO896" s="297">
        <v>0</v>
      </c>
      <c r="AP896" s="299">
        <v>0</v>
      </c>
      <c r="AQ896" s="296"/>
      <c r="AR896" s="299">
        <f t="shared" si="297"/>
        <v>0</v>
      </c>
      <c r="AS896" s="314" t="s">
        <v>185</v>
      </c>
      <c r="AT896" s="313" t="s">
        <v>1475</v>
      </c>
      <c r="AU896" s="176" t="s">
        <v>1209</v>
      </c>
      <c r="AW896" s="218" t="s">
        <v>1635</v>
      </c>
    </row>
    <row r="897" spans="1:49" s="217" customFormat="1" ht="25.5" customHeight="1" outlineLevel="1">
      <c r="A897" s="215" t="s">
        <v>125</v>
      </c>
      <c r="B897" s="191">
        <v>33</v>
      </c>
      <c r="C897" s="191" t="s">
        <v>196</v>
      </c>
      <c r="D897" s="246" t="s">
        <v>618</v>
      </c>
      <c r="E897" s="191" t="s">
        <v>130</v>
      </c>
      <c r="F897" s="191" t="s">
        <v>649</v>
      </c>
      <c r="G897" s="191" t="s">
        <v>37</v>
      </c>
      <c r="H897" s="191" t="s">
        <v>37</v>
      </c>
      <c r="I897" s="258">
        <v>36</v>
      </c>
      <c r="J897" s="191" t="s">
        <v>80</v>
      </c>
      <c r="K897" s="192" t="s">
        <v>1189</v>
      </c>
      <c r="L897" s="246">
        <v>40019477</v>
      </c>
      <c r="M897" s="861" t="s">
        <v>1604</v>
      </c>
      <c r="N897" s="245"/>
      <c r="O897" s="245" t="s">
        <v>1219</v>
      </c>
      <c r="P897" s="245"/>
      <c r="Q897" s="192" t="s">
        <v>1220</v>
      </c>
      <c r="R897" s="276" t="s">
        <v>1221</v>
      </c>
      <c r="S897" s="274"/>
      <c r="T897" s="276"/>
      <c r="U897" s="276"/>
      <c r="V897" s="276"/>
      <c r="W897" s="276"/>
      <c r="X897" s="274"/>
      <c r="Y897" s="194">
        <v>1000000000</v>
      </c>
      <c r="Z897" s="194">
        <v>0</v>
      </c>
      <c r="AA897" s="296"/>
      <c r="AB897" s="299">
        <v>1000000000</v>
      </c>
      <c r="AC897" s="299">
        <f t="shared" si="301"/>
        <v>0</v>
      </c>
      <c r="AD897" s="299">
        <f t="shared" si="296"/>
        <v>1000000000</v>
      </c>
      <c r="AE897" s="297">
        <v>0</v>
      </c>
      <c r="AF897" s="297">
        <v>0</v>
      </c>
      <c r="AG897" s="297">
        <v>0</v>
      </c>
      <c r="AH897" s="297">
        <v>0</v>
      </c>
      <c r="AI897" s="297">
        <v>0</v>
      </c>
      <c r="AJ897" s="297">
        <v>0</v>
      </c>
      <c r="AK897" s="297">
        <v>0</v>
      </c>
      <c r="AL897" s="297">
        <v>0</v>
      </c>
      <c r="AM897" s="297">
        <v>0</v>
      </c>
      <c r="AN897" s="297">
        <v>0</v>
      </c>
      <c r="AO897" s="297">
        <v>0</v>
      </c>
      <c r="AP897" s="299">
        <v>0</v>
      </c>
      <c r="AQ897" s="296"/>
      <c r="AR897" s="299">
        <f t="shared" si="297"/>
        <v>0</v>
      </c>
      <c r="AS897" s="314" t="s">
        <v>185</v>
      </c>
      <c r="AT897" s="313" t="s">
        <v>1475</v>
      </c>
      <c r="AU897" s="176" t="s">
        <v>1209</v>
      </c>
      <c r="AW897" s="218" t="s">
        <v>1635</v>
      </c>
    </row>
    <row r="898" spans="1:49" s="217" customFormat="1" ht="25.5" customHeight="1" outlineLevel="1">
      <c r="A898" s="215" t="s">
        <v>125</v>
      </c>
      <c r="B898" s="191">
        <v>33</v>
      </c>
      <c r="C898" s="191" t="s">
        <v>196</v>
      </c>
      <c r="D898" s="246" t="s">
        <v>618</v>
      </c>
      <c r="E898" s="191" t="s">
        <v>130</v>
      </c>
      <c r="F898" s="191" t="s">
        <v>649</v>
      </c>
      <c r="G898" s="191" t="s">
        <v>37</v>
      </c>
      <c r="H898" s="191" t="s">
        <v>37</v>
      </c>
      <c r="I898" s="258">
        <v>36</v>
      </c>
      <c r="J898" s="191" t="s">
        <v>80</v>
      </c>
      <c r="K898" s="192" t="s">
        <v>1189</v>
      </c>
      <c r="L898" s="246">
        <v>40019444</v>
      </c>
      <c r="M898" s="861" t="s">
        <v>1604</v>
      </c>
      <c r="N898" s="245"/>
      <c r="O898" s="245" t="s">
        <v>1224</v>
      </c>
      <c r="P898" s="245"/>
      <c r="Q898" s="192" t="s">
        <v>1225</v>
      </c>
      <c r="R898" s="276" t="s">
        <v>1226</v>
      </c>
      <c r="S898" s="274"/>
      <c r="T898" s="276"/>
      <c r="U898" s="276"/>
      <c r="V898" s="276"/>
      <c r="W898" s="276"/>
      <c r="X898" s="274"/>
      <c r="Y898" s="194">
        <v>200000000</v>
      </c>
      <c r="Z898" s="194">
        <v>0</v>
      </c>
      <c r="AA898" s="296"/>
      <c r="AB898" s="299">
        <v>200000000</v>
      </c>
      <c r="AC898" s="299">
        <f t="shared" si="301"/>
        <v>0</v>
      </c>
      <c r="AD898" s="299">
        <f t="shared" si="296"/>
        <v>200000000</v>
      </c>
      <c r="AE898" s="297">
        <v>0</v>
      </c>
      <c r="AF898" s="297">
        <v>0</v>
      </c>
      <c r="AG898" s="297">
        <v>0</v>
      </c>
      <c r="AH898" s="297">
        <v>0</v>
      </c>
      <c r="AI898" s="297">
        <v>0</v>
      </c>
      <c r="AJ898" s="297">
        <v>0</v>
      </c>
      <c r="AK898" s="297">
        <v>0</v>
      </c>
      <c r="AL898" s="297">
        <v>0</v>
      </c>
      <c r="AM898" s="297">
        <v>0</v>
      </c>
      <c r="AN898" s="297">
        <v>0</v>
      </c>
      <c r="AO898" s="297">
        <v>0</v>
      </c>
      <c r="AP898" s="299">
        <v>0</v>
      </c>
      <c r="AQ898" s="296"/>
      <c r="AR898" s="299">
        <f t="shared" si="297"/>
        <v>0</v>
      </c>
      <c r="AS898" s="314" t="s">
        <v>185</v>
      </c>
      <c r="AT898" s="313" t="s">
        <v>1475</v>
      </c>
      <c r="AU898" s="176" t="s">
        <v>1209</v>
      </c>
      <c r="AW898" s="217" t="s">
        <v>1634</v>
      </c>
    </row>
    <row r="899" spans="1:49" s="217" customFormat="1" ht="25.5" customHeight="1" outlineLevel="1">
      <c r="A899" s="215" t="s">
        <v>556</v>
      </c>
      <c r="B899" s="854">
        <v>33</v>
      </c>
      <c r="C899" s="854" t="s">
        <v>196</v>
      </c>
      <c r="D899" s="855" t="s">
        <v>618</v>
      </c>
      <c r="E899" s="854" t="s">
        <v>130</v>
      </c>
      <c r="F899" s="151" t="s">
        <v>649</v>
      </c>
      <c r="G899" s="151" t="s">
        <v>37</v>
      </c>
      <c r="H899" s="151" t="s">
        <v>37</v>
      </c>
      <c r="I899" s="256">
        <v>36</v>
      </c>
      <c r="J899" s="854" t="s">
        <v>80</v>
      </c>
      <c r="K899" s="856" t="s">
        <v>1127</v>
      </c>
      <c r="L899" s="855">
        <v>40025181</v>
      </c>
      <c r="M899" s="855" t="s">
        <v>1560</v>
      </c>
      <c r="N899" s="855"/>
      <c r="O899" s="855" t="s">
        <v>1599</v>
      </c>
      <c r="P899" s="855"/>
      <c r="Q899" s="868" t="s">
        <v>1561</v>
      </c>
      <c r="R899" s="857" t="s">
        <v>1559</v>
      </c>
      <c r="S899" s="274"/>
      <c r="T899" s="857"/>
      <c r="U899" s="857"/>
      <c r="V899" s="857"/>
      <c r="W899" s="857"/>
      <c r="X899" s="274"/>
      <c r="Y899" s="858">
        <v>2000000000</v>
      </c>
      <c r="Z899" s="858">
        <v>0</v>
      </c>
      <c r="AA899" s="296"/>
      <c r="AB899" s="859">
        <v>0</v>
      </c>
      <c r="AC899" s="859">
        <v>0</v>
      </c>
      <c r="AD899" s="297">
        <f t="shared" ref="AD899:AD903" si="302">+AB899-AC899</f>
        <v>0</v>
      </c>
      <c r="AE899" s="297">
        <v>0</v>
      </c>
      <c r="AF899" s="297">
        <v>0</v>
      </c>
      <c r="AG899" s="297">
        <v>0</v>
      </c>
      <c r="AH899" s="297">
        <v>0</v>
      </c>
      <c r="AI899" s="297">
        <v>0</v>
      </c>
      <c r="AJ899" s="297">
        <v>0</v>
      </c>
      <c r="AK899" s="297">
        <v>0</v>
      </c>
      <c r="AL899" s="297">
        <v>0</v>
      </c>
      <c r="AM899" s="297">
        <v>0</v>
      </c>
      <c r="AN899" s="297">
        <v>0</v>
      </c>
      <c r="AO899" s="297">
        <v>0</v>
      </c>
      <c r="AP899" s="297">
        <v>0</v>
      </c>
      <c r="AQ899" s="296"/>
      <c r="AR899" s="297">
        <f t="shared" ref="AR899:AR903" si="303">+Y899-Z899-AC899-AD899</f>
        <v>2000000000</v>
      </c>
      <c r="AS899" s="860" t="s">
        <v>185</v>
      </c>
      <c r="AT899" s="313" t="s">
        <v>1475</v>
      </c>
      <c r="AU899" s="856" t="s">
        <v>1209</v>
      </c>
      <c r="AW899" s="217" t="s">
        <v>1636</v>
      </c>
    </row>
    <row r="900" spans="1:49" s="217" customFormat="1" ht="25.5" customHeight="1" outlineLevel="1">
      <c r="A900" s="215" t="s">
        <v>125</v>
      </c>
      <c r="B900" s="854">
        <v>33</v>
      </c>
      <c r="C900" s="854" t="s">
        <v>196</v>
      </c>
      <c r="D900" s="855" t="s">
        <v>204</v>
      </c>
      <c r="E900" s="854" t="s">
        <v>130</v>
      </c>
      <c r="F900" s="151" t="s">
        <v>649</v>
      </c>
      <c r="G900" s="151" t="s">
        <v>37</v>
      </c>
      <c r="H900" s="151" t="s">
        <v>37</v>
      </c>
      <c r="I900" s="256">
        <v>36</v>
      </c>
      <c r="J900" s="854" t="s">
        <v>80</v>
      </c>
      <c r="K900" s="856" t="s">
        <v>1562</v>
      </c>
      <c r="L900" s="855">
        <v>40025247</v>
      </c>
      <c r="M900" s="855" t="s">
        <v>1560</v>
      </c>
      <c r="N900" s="855"/>
      <c r="O900" s="855" t="s">
        <v>1600</v>
      </c>
      <c r="P900" s="855"/>
      <c r="Q900" s="868" t="s">
        <v>1563</v>
      </c>
      <c r="R900" s="857" t="s">
        <v>1564</v>
      </c>
      <c r="S900" s="274"/>
      <c r="T900" s="857"/>
      <c r="U900" s="857"/>
      <c r="V900" s="857"/>
      <c r="W900" s="857"/>
      <c r="X900" s="274"/>
      <c r="Y900" s="858">
        <v>1000000000</v>
      </c>
      <c r="Z900" s="858">
        <v>0</v>
      </c>
      <c r="AA900" s="296"/>
      <c r="AB900" s="859">
        <v>0</v>
      </c>
      <c r="AC900" s="859">
        <v>0</v>
      </c>
      <c r="AD900" s="297">
        <f t="shared" ref="AD900" si="304">+AB900-AC900</f>
        <v>0</v>
      </c>
      <c r="AE900" s="297">
        <v>0</v>
      </c>
      <c r="AF900" s="297">
        <v>0</v>
      </c>
      <c r="AG900" s="297">
        <v>0</v>
      </c>
      <c r="AH900" s="297">
        <v>0</v>
      </c>
      <c r="AI900" s="297">
        <v>0</v>
      </c>
      <c r="AJ900" s="297">
        <v>0</v>
      </c>
      <c r="AK900" s="297">
        <v>0</v>
      </c>
      <c r="AL900" s="297">
        <v>0</v>
      </c>
      <c r="AM900" s="297">
        <v>0</v>
      </c>
      <c r="AN900" s="297">
        <v>0</v>
      </c>
      <c r="AO900" s="297">
        <v>0</v>
      </c>
      <c r="AP900" s="297">
        <v>0</v>
      </c>
      <c r="AQ900" s="296"/>
      <c r="AR900" s="297">
        <f t="shared" si="303"/>
        <v>1000000000</v>
      </c>
      <c r="AS900" s="860" t="s">
        <v>185</v>
      </c>
      <c r="AT900" s="313" t="s">
        <v>1475</v>
      </c>
      <c r="AU900" s="856" t="s">
        <v>1209</v>
      </c>
      <c r="AW900" s="217" t="s">
        <v>1636</v>
      </c>
    </row>
    <row r="901" spans="1:49" s="217" customFormat="1" ht="25.5" customHeight="1" outlineLevel="1">
      <c r="A901" s="215" t="s">
        <v>125</v>
      </c>
      <c r="B901" s="854">
        <v>33</v>
      </c>
      <c r="C901" s="854" t="s">
        <v>196</v>
      </c>
      <c r="D901" s="855" t="s">
        <v>618</v>
      </c>
      <c r="E901" s="854" t="s">
        <v>130</v>
      </c>
      <c r="F901" s="151" t="s">
        <v>649</v>
      </c>
      <c r="G901" s="151" t="s">
        <v>37</v>
      </c>
      <c r="H901" s="151" t="s">
        <v>37</v>
      </c>
      <c r="I901" s="256">
        <v>36</v>
      </c>
      <c r="J901" s="854" t="s">
        <v>80</v>
      </c>
      <c r="K901" s="856" t="s">
        <v>1153</v>
      </c>
      <c r="L901" s="855">
        <v>40025197</v>
      </c>
      <c r="M901" s="855" t="s">
        <v>1560</v>
      </c>
      <c r="N901" s="855"/>
      <c r="O901" s="855" t="s">
        <v>1601</v>
      </c>
      <c r="P901" s="855"/>
      <c r="Q901" s="868" t="s">
        <v>1563</v>
      </c>
      <c r="R901" s="857" t="s">
        <v>1565</v>
      </c>
      <c r="S901" s="274"/>
      <c r="T901" s="857"/>
      <c r="U901" s="857"/>
      <c r="V901" s="857"/>
      <c r="W901" s="857"/>
      <c r="X901" s="274"/>
      <c r="Y901" s="858">
        <v>1750000000</v>
      </c>
      <c r="Z901" s="858">
        <v>0</v>
      </c>
      <c r="AA901" s="296"/>
      <c r="AB901" s="859">
        <v>0</v>
      </c>
      <c r="AC901" s="859">
        <v>0</v>
      </c>
      <c r="AD901" s="297">
        <f t="shared" ref="AD901" si="305">+AB901-AC901</f>
        <v>0</v>
      </c>
      <c r="AE901" s="297">
        <v>0</v>
      </c>
      <c r="AF901" s="297">
        <v>0</v>
      </c>
      <c r="AG901" s="297">
        <v>0</v>
      </c>
      <c r="AH901" s="297">
        <v>0</v>
      </c>
      <c r="AI901" s="297">
        <v>0</v>
      </c>
      <c r="AJ901" s="297">
        <v>0</v>
      </c>
      <c r="AK901" s="297">
        <v>0</v>
      </c>
      <c r="AL901" s="297">
        <v>0</v>
      </c>
      <c r="AM901" s="297">
        <v>0</v>
      </c>
      <c r="AN901" s="297">
        <v>0</v>
      </c>
      <c r="AO901" s="297">
        <v>0</v>
      </c>
      <c r="AP901" s="297">
        <v>0</v>
      </c>
      <c r="AQ901" s="296"/>
      <c r="AR901" s="297">
        <f t="shared" si="303"/>
        <v>1750000000</v>
      </c>
      <c r="AS901" s="860" t="s">
        <v>185</v>
      </c>
      <c r="AT901" s="313" t="s">
        <v>1475</v>
      </c>
      <c r="AU901" s="856" t="s">
        <v>1209</v>
      </c>
      <c r="AW901" s="217" t="s">
        <v>1636</v>
      </c>
    </row>
    <row r="902" spans="1:49" s="217" customFormat="1" ht="25.5" customHeight="1" outlineLevel="1">
      <c r="A902" s="215" t="s">
        <v>125</v>
      </c>
      <c r="B902" s="854">
        <v>33</v>
      </c>
      <c r="C902" s="854" t="s">
        <v>196</v>
      </c>
      <c r="D902" s="855" t="s">
        <v>618</v>
      </c>
      <c r="E902" s="854" t="s">
        <v>130</v>
      </c>
      <c r="F902" s="151" t="s">
        <v>649</v>
      </c>
      <c r="G902" s="151" t="s">
        <v>37</v>
      </c>
      <c r="H902" s="151" t="s">
        <v>37</v>
      </c>
      <c r="I902" s="256">
        <v>36</v>
      </c>
      <c r="J902" s="854" t="s">
        <v>80</v>
      </c>
      <c r="K902" s="856" t="s">
        <v>1566</v>
      </c>
      <c r="L902" s="855">
        <v>40025326</v>
      </c>
      <c r="M902" s="855"/>
      <c r="N902" s="855"/>
      <c r="O902" s="855" t="s">
        <v>1602</v>
      </c>
      <c r="P902" s="855"/>
      <c r="Q902" s="868" t="s">
        <v>1567</v>
      </c>
      <c r="R902" s="857" t="s">
        <v>1568</v>
      </c>
      <c r="S902" s="274"/>
      <c r="T902" s="857"/>
      <c r="U902" s="857"/>
      <c r="V902" s="857"/>
      <c r="W902" s="857"/>
      <c r="X902" s="274"/>
      <c r="Y902" s="858">
        <v>250000000</v>
      </c>
      <c r="Z902" s="858">
        <v>0</v>
      </c>
      <c r="AA902" s="296"/>
      <c r="AB902" s="859">
        <v>0</v>
      </c>
      <c r="AC902" s="859">
        <v>0</v>
      </c>
      <c r="AD902" s="297">
        <f t="shared" ref="AD902" si="306">+AB902-AC902</f>
        <v>0</v>
      </c>
      <c r="AE902" s="297">
        <v>0</v>
      </c>
      <c r="AF902" s="297">
        <v>0</v>
      </c>
      <c r="AG902" s="297">
        <v>0</v>
      </c>
      <c r="AH902" s="297">
        <v>0</v>
      </c>
      <c r="AI902" s="297">
        <v>0</v>
      </c>
      <c r="AJ902" s="297">
        <v>0</v>
      </c>
      <c r="AK902" s="297">
        <v>0</v>
      </c>
      <c r="AL902" s="297">
        <v>0</v>
      </c>
      <c r="AM902" s="297">
        <v>0</v>
      </c>
      <c r="AN902" s="297">
        <v>0</v>
      </c>
      <c r="AO902" s="297">
        <v>0</v>
      </c>
      <c r="AP902" s="297">
        <v>0</v>
      </c>
      <c r="AQ902" s="296"/>
      <c r="AR902" s="297">
        <f t="shared" si="303"/>
        <v>250000000</v>
      </c>
      <c r="AS902" s="860" t="s">
        <v>185</v>
      </c>
      <c r="AT902" s="313" t="s">
        <v>1475</v>
      </c>
      <c r="AU902" s="856" t="s">
        <v>1209</v>
      </c>
      <c r="AW902" s="217" t="s">
        <v>1636</v>
      </c>
    </row>
    <row r="903" spans="1:49" s="217" customFormat="1" ht="25.5" customHeight="1" outlineLevel="1">
      <c r="A903" s="215" t="s">
        <v>125</v>
      </c>
      <c r="B903" s="151">
        <v>33</v>
      </c>
      <c r="C903" s="151" t="s">
        <v>196</v>
      </c>
      <c r="D903" s="245" t="s">
        <v>648</v>
      </c>
      <c r="E903" s="151" t="s">
        <v>169</v>
      </c>
      <c r="F903" s="151" t="s">
        <v>649</v>
      </c>
      <c r="G903" s="151" t="s">
        <v>37</v>
      </c>
      <c r="H903" s="151" t="s">
        <v>37</v>
      </c>
      <c r="I903" s="256">
        <v>36</v>
      </c>
      <c r="J903" s="151" t="s">
        <v>80</v>
      </c>
      <c r="K903" s="176" t="s">
        <v>1227</v>
      </c>
      <c r="L903" s="245">
        <v>40014466</v>
      </c>
      <c r="M903" s="855" t="s">
        <v>1608</v>
      </c>
      <c r="N903" s="245"/>
      <c r="O903" s="245" t="s">
        <v>1228</v>
      </c>
      <c r="P903" s="245"/>
      <c r="Q903" s="176" t="s">
        <v>1229</v>
      </c>
      <c r="R903" s="273"/>
      <c r="S903" s="274"/>
      <c r="T903" s="273"/>
      <c r="U903" s="273"/>
      <c r="V903" s="273"/>
      <c r="W903" s="273"/>
      <c r="X903" s="274"/>
      <c r="Y903" s="275">
        <v>2040000000</v>
      </c>
      <c r="Z903" s="275">
        <v>0</v>
      </c>
      <c r="AA903" s="296"/>
      <c r="AB903" s="297">
        <v>250000000</v>
      </c>
      <c r="AC903" s="297">
        <f t="shared" si="301"/>
        <v>0</v>
      </c>
      <c r="AD903" s="297">
        <f t="shared" si="302"/>
        <v>250000000</v>
      </c>
      <c r="AE903" s="297">
        <v>0</v>
      </c>
      <c r="AF903" s="297">
        <v>0</v>
      </c>
      <c r="AG903" s="297">
        <v>0</v>
      </c>
      <c r="AH903" s="297">
        <v>0</v>
      </c>
      <c r="AI903" s="297">
        <v>0</v>
      </c>
      <c r="AJ903" s="297">
        <v>0</v>
      </c>
      <c r="AK903" s="297">
        <v>0</v>
      </c>
      <c r="AL903" s="297">
        <v>0</v>
      </c>
      <c r="AM903" s="297">
        <v>0</v>
      </c>
      <c r="AN903" s="297">
        <v>0</v>
      </c>
      <c r="AO903" s="297">
        <v>0</v>
      </c>
      <c r="AP903" s="297">
        <v>0</v>
      </c>
      <c r="AQ903" s="296"/>
      <c r="AR903" s="297">
        <f t="shared" si="303"/>
        <v>1790000000</v>
      </c>
      <c r="AS903" s="313" t="s">
        <v>185</v>
      </c>
      <c r="AT903" s="313" t="s">
        <v>1475</v>
      </c>
      <c r="AU903" s="176" t="s">
        <v>1644</v>
      </c>
    </row>
    <row r="904" spans="1:49" s="217" customFormat="1" ht="25.5" customHeight="1" outlineLevel="1">
      <c r="A904" s="215" t="s">
        <v>125</v>
      </c>
      <c r="B904" s="247"/>
      <c r="C904" s="247"/>
      <c r="D904" s="248"/>
      <c r="E904" s="249"/>
      <c r="F904" s="249"/>
      <c r="G904" s="249"/>
      <c r="H904" s="249"/>
      <c r="I904" s="249"/>
      <c r="J904" s="247"/>
      <c r="K904" s="259"/>
      <c r="L904" s="248"/>
      <c r="M904" s="248"/>
      <c r="N904" s="250"/>
      <c r="O904" s="250"/>
      <c r="P904" s="250"/>
      <c r="Q904" s="260" t="s">
        <v>201</v>
      </c>
      <c r="R904" s="278"/>
      <c r="S904" s="279"/>
      <c r="T904" s="279"/>
      <c r="U904" s="279"/>
      <c r="V904" s="279"/>
      <c r="W904" s="279"/>
      <c r="X904" s="281"/>
      <c r="Y904" s="286">
        <f>SUBTOTAL(9,Y879:Y903)</f>
        <v>18569667511</v>
      </c>
      <c r="Z904" s="286">
        <f>SUBTOTAL(9,Z879:Z903)</f>
        <v>0</v>
      </c>
      <c r="AA904" s="303"/>
      <c r="AB904" s="286">
        <f t="shared" ref="AB904:AD904" si="307">SUBTOTAL(9,AB879:AB903)</f>
        <v>6941459001</v>
      </c>
      <c r="AC904" s="286">
        <f t="shared" si="307"/>
        <v>0</v>
      </c>
      <c r="AD904" s="286">
        <f t="shared" si="307"/>
        <v>6941459001</v>
      </c>
      <c r="AE904" s="286">
        <f t="shared" ref="AE904:AI904" si="308">SUM(AE899:AE903)</f>
        <v>0</v>
      </c>
      <c r="AF904" s="286">
        <f t="shared" si="308"/>
        <v>0</v>
      </c>
      <c r="AG904" s="286">
        <f t="shared" si="308"/>
        <v>0</v>
      </c>
      <c r="AH904" s="286">
        <f t="shared" si="308"/>
        <v>0</v>
      </c>
      <c r="AI904" s="286">
        <f t="shared" si="308"/>
        <v>0</v>
      </c>
      <c r="AJ904" s="286">
        <v>0</v>
      </c>
      <c r="AK904" s="286">
        <v>0</v>
      </c>
      <c r="AL904" s="286">
        <v>0</v>
      </c>
      <c r="AM904" s="286">
        <f>SUM(AM899:AM903)</f>
        <v>0</v>
      </c>
      <c r="AN904" s="286">
        <f>SUM(AN899:AN903)</f>
        <v>0</v>
      </c>
      <c r="AO904" s="286">
        <f>SUM(AO899:AO903)</f>
        <v>0</v>
      </c>
      <c r="AP904" s="286">
        <f>SUM(AP899:AP903)</f>
        <v>0</v>
      </c>
      <c r="AQ904" s="287"/>
      <c r="AR904" s="286">
        <f>SUM(AR899:AR903)</f>
        <v>6790000000</v>
      </c>
      <c r="AS904" s="315"/>
      <c r="AT904" s="315"/>
      <c r="AU904" s="220"/>
    </row>
    <row r="905" spans="1:49" ht="18.75" customHeight="1" outlineLevel="1">
      <c r="A905" s="215" t="s">
        <v>125</v>
      </c>
      <c r="B905" s="249"/>
      <c r="C905" s="249"/>
      <c r="D905" s="250"/>
      <c r="E905" s="249"/>
      <c r="F905" s="249"/>
      <c r="G905" s="249"/>
      <c r="H905" s="249"/>
      <c r="I905" s="249"/>
      <c r="J905" s="249"/>
      <c r="K905" s="261"/>
      <c r="L905" s="250"/>
      <c r="M905" s="250"/>
      <c r="N905" s="250"/>
      <c r="O905" s="250"/>
      <c r="P905" s="250"/>
      <c r="Q905" s="447"/>
      <c r="R905" s="283"/>
      <c r="S905" s="283"/>
      <c r="T905" s="283"/>
      <c r="U905" s="283"/>
      <c r="V905" s="283"/>
      <c r="W905" s="283"/>
      <c r="X905" s="283"/>
      <c r="Y905" s="284"/>
      <c r="Z905" s="284"/>
      <c r="AA905" s="284"/>
      <c r="AB905" s="284"/>
      <c r="AC905" s="284"/>
      <c r="AD905" s="284"/>
      <c r="AE905" s="284"/>
      <c r="AF905" s="284"/>
      <c r="AG905" s="284"/>
      <c r="AH905" s="284"/>
      <c r="AI905" s="284"/>
      <c r="AJ905" s="284"/>
      <c r="AK905" s="284"/>
      <c r="AL905" s="284"/>
      <c r="AM905" s="284"/>
      <c r="AN905" s="284"/>
      <c r="AO905" s="284"/>
      <c r="AP905" s="284"/>
      <c r="AQ905" s="284"/>
      <c r="AR905" s="284"/>
      <c r="AS905" s="316"/>
      <c r="AT905" s="316"/>
      <c r="AU905" s="317"/>
    </row>
    <row r="906" spans="1:49" s="219" customFormat="1" ht="24.75" customHeight="1" outlineLevel="1">
      <c r="A906" s="215" t="s">
        <v>125</v>
      </c>
      <c r="B906" s="251"/>
      <c r="C906" s="249"/>
      <c r="D906" s="250"/>
      <c r="E906" s="249"/>
      <c r="F906" s="249"/>
      <c r="G906" s="249"/>
      <c r="H906" s="249"/>
      <c r="I906" s="249"/>
      <c r="J906" s="251"/>
      <c r="K906" s="263"/>
      <c r="L906" s="252"/>
      <c r="M906" s="252"/>
      <c r="N906" s="252"/>
      <c r="O906" s="252"/>
      <c r="P906" s="252"/>
      <c r="Q906" s="448" t="s">
        <v>1230</v>
      </c>
      <c r="R906" s="289"/>
      <c r="S906" s="289"/>
      <c r="T906" s="289"/>
      <c r="U906" s="289"/>
      <c r="V906" s="289"/>
      <c r="W906" s="405"/>
      <c r="X906" s="290"/>
      <c r="Y906" s="467">
        <f>+Y876+Y904</f>
        <v>40599639090</v>
      </c>
      <c r="Z906" s="467">
        <f>+Z876+Z904</f>
        <v>12223592199</v>
      </c>
      <c r="AA906" s="470"/>
      <c r="AB906" s="467">
        <f t="shared" ref="AB906:AP906" si="309">+AB876+AB904</f>
        <v>13682598146</v>
      </c>
      <c r="AC906" s="467">
        <f t="shared" si="309"/>
        <v>1347452418</v>
      </c>
      <c r="AD906" s="467">
        <f t="shared" si="309"/>
        <v>12335145728</v>
      </c>
      <c r="AE906" s="467">
        <f t="shared" si="309"/>
        <v>0</v>
      </c>
      <c r="AF906" s="467">
        <f t="shared" si="309"/>
        <v>0</v>
      </c>
      <c r="AG906" s="467">
        <f t="shared" si="309"/>
        <v>0</v>
      </c>
      <c r="AH906" s="467">
        <f t="shared" si="309"/>
        <v>0</v>
      </c>
      <c r="AI906" s="467">
        <f t="shared" si="309"/>
        <v>0</v>
      </c>
      <c r="AJ906" s="467">
        <v>466655149</v>
      </c>
      <c r="AK906" s="467">
        <f t="shared" si="309"/>
        <v>50144214</v>
      </c>
      <c r="AL906" s="467">
        <f t="shared" si="309"/>
        <v>140167108</v>
      </c>
      <c r="AM906" s="467">
        <f t="shared" si="309"/>
        <v>175426362</v>
      </c>
      <c r="AN906" s="467">
        <f t="shared" si="309"/>
        <v>515059585</v>
      </c>
      <c r="AO906" s="467">
        <f t="shared" si="309"/>
        <v>0</v>
      </c>
      <c r="AP906" s="467">
        <f t="shared" si="309"/>
        <v>0</v>
      </c>
      <c r="AQ906" s="318"/>
      <c r="AR906" s="118">
        <f>+Y906-Z906-AC906-AD906</f>
        <v>14693448745</v>
      </c>
      <c r="AS906" s="333"/>
      <c r="AT906" s="333"/>
      <c r="AU906" s="320"/>
    </row>
    <row r="907" spans="1:49" ht="18.75" customHeight="1" outlineLevel="1">
      <c r="A907" s="215" t="s">
        <v>125</v>
      </c>
      <c r="B907" s="249"/>
      <c r="C907" s="249"/>
      <c r="D907" s="250"/>
      <c r="E907" s="249"/>
      <c r="F907" s="249"/>
      <c r="G907" s="249"/>
      <c r="H907" s="249"/>
      <c r="I907" s="249"/>
      <c r="J907" s="249"/>
      <c r="K907" s="261"/>
      <c r="L907" s="250"/>
      <c r="M907" s="250"/>
      <c r="N907" s="250"/>
      <c r="O907" s="250"/>
      <c r="P907" s="250"/>
      <c r="Q907" s="115"/>
      <c r="R907" s="283"/>
      <c r="S907" s="283"/>
      <c r="T907" s="283"/>
      <c r="U907" s="283"/>
      <c r="V907" s="283"/>
      <c r="W907" s="283"/>
      <c r="X907" s="283"/>
      <c r="Y907" s="284"/>
      <c r="Z907" s="284"/>
      <c r="AA907" s="284"/>
      <c r="AB907" s="284"/>
      <c r="AC907" s="284"/>
      <c r="AD907" s="284"/>
      <c r="AE907" s="284"/>
      <c r="AF907" s="284"/>
      <c r="AG907" s="284"/>
      <c r="AH907" s="284"/>
      <c r="AI907" s="284"/>
      <c r="AJ907" s="284"/>
      <c r="AK907" s="284"/>
      <c r="AL907" s="284"/>
      <c r="AM907" s="284"/>
      <c r="AN907" s="284"/>
      <c r="AO907" s="284"/>
      <c r="AP907" s="284"/>
      <c r="AQ907" s="284"/>
      <c r="AR907" s="284"/>
      <c r="AS907" s="316"/>
      <c r="AT907" s="316"/>
      <c r="AU907" s="317"/>
    </row>
    <row r="908" spans="1:49" s="219" customFormat="1" ht="24.75" customHeight="1">
      <c r="A908" s="215" t="s">
        <v>125</v>
      </c>
      <c r="B908" s="445"/>
      <c r="C908" s="223"/>
      <c r="D908" s="30"/>
      <c r="E908" s="223"/>
      <c r="F908" s="223"/>
      <c r="G908" s="223"/>
      <c r="H908" s="224"/>
      <c r="I908" s="223"/>
      <c r="J908" s="445"/>
      <c r="L908" s="449"/>
      <c r="M908" s="449"/>
      <c r="N908" s="450"/>
      <c r="O908" s="450"/>
      <c r="P908" s="450"/>
      <c r="Q908" s="448" t="s">
        <v>1231</v>
      </c>
      <c r="R908" s="289"/>
      <c r="S908" s="289"/>
      <c r="T908" s="289"/>
      <c r="U908" s="289"/>
      <c r="V908" s="289"/>
      <c r="W908" s="289"/>
      <c r="X908" s="290"/>
      <c r="Y908" s="467">
        <f>+Y161+Y380+Y606+Y703+Y733+Y906</f>
        <v>433393155830</v>
      </c>
      <c r="Z908" s="467">
        <f>+Z161+Z380+Z606+Z703+Z733+Z906</f>
        <v>109281988968</v>
      </c>
      <c r="AA908" s="470"/>
      <c r="AB908" s="467">
        <f t="shared" ref="AB908:AI908" si="310">+AB161+AB380+AB606+AB703+AB733+AB906</f>
        <v>110295558389.33333</v>
      </c>
      <c r="AC908" s="467">
        <f t="shared" si="310"/>
        <v>40090186269</v>
      </c>
      <c r="AD908" s="467">
        <f t="shared" si="310"/>
        <v>70205372120.333328</v>
      </c>
      <c r="AE908" s="467">
        <f t="shared" si="310"/>
        <v>0</v>
      </c>
      <c r="AF908" s="467">
        <f t="shared" si="310"/>
        <v>0</v>
      </c>
      <c r="AG908" s="467">
        <f t="shared" si="310"/>
        <v>0</v>
      </c>
      <c r="AH908" s="467">
        <f t="shared" si="310"/>
        <v>0</v>
      </c>
      <c r="AI908" s="467">
        <f t="shared" si="310"/>
        <v>0</v>
      </c>
      <c r="AJ908" s="467">
        <v>3666740688</v>
      </c>
      <c r="AK908" s="467">
        <f t="shared" ref="AK908:AP908" si="311">+AK161+AK380+AK606+AK703+AK733+AK906</f>
        <v>5684834714</v>
      </c>
      <c r="AL908" s="467">
        <f t="shared" si="311"/>
        <v>5022881123</v>
      </c>
      <c r="AM908" s="467">
        <f t="shared" si="311"/>
        <v>6520346324</v>
      </c>
      <c r="AN908" s="467">
        <f t="shared" si="311"/>
        <v>6589090637</v>
      </c>
      <c r="AO908" s="467">
        <f t="shared" si="311"/>
        <v>7082868531</v>
      </c>
      <c r="AP908" s="467">
        <f t="shared" si="311"/>
        <v>5523424252</v>
      </c>
      <c r="AQ908" s="318"/>
      <c r="AR908" s="467">
        <f>+AR161+AR380+AR606+AR703+AR733+AR906</f>
        <v>213815608472.66666</v>
      </c>
      <c r="AS908" s="477"/>
      <c r="AT908" s="477"/>
    </row>
    <row r="909" spans="1:49" s="216" customFormat="1" ht="23.25" customHeight="1">
      <c r="A909" s="215" t="s">
        <v>125</v>
      </c>
      <c r="B909" s="446"/>
      <c r="C909" s="446"/>
      <c r="D909" s="30"/>
      <c r="E909" s="223"/>
      <c r="F909" s="223"/>
      <c r="G909" s="223"/>
      <c r="H909" s="224"/>
      <c r="I909" s="223"/>
      <c r="J909" s="223"/>
      <c r="L909" s="225"/>
      <c r="M909" s="225"/>
      <c r="N909" s="451"/>
      <c r="O909" s="451"/>
      <c r="P909" s="451"/>
      <c r="R909" s="227"/>
      <c r="S909" s="227"/>
      <c r="T909" s="227"/>
      <c r="U909" s="227"/>
      <c r="V909" s="227"/>
      <c r="W909" s="227"/>
      <c r="X909" s="227"/>
      <c r="Y909" s="228"/>
      <c r="Z909" s="228"/>
      <c r="AA909" s="229"/>
      <c r="AB909" s="231"/>
      <c r="AC909" s="231"/>
      <c r="AD909" s="231"/>
      <c r="AE909" s="231"/>
      <c r="AF909" s="231"/>
      <c r="AG909" s="231"/>
      <c r="AH909" s="231"/>
      <c r="AI909" s="231"/>
      <c r="AJ909" s="231"/>
      <c r="AK909" s="231"/>
      <c r="AL909" s="231"/>
      <c r="AM909" s="231"/>
      <c r="AN909" s="231"/>
      <c r="AO909" s="231"/>
      <c r="AP909" s="231"/>
      <c r="AQ909" s="229"/>
      <c r="AR909" s="231"/>
      <c r="AS909" s="478"/>
      <c r="AT909" s="478"/>
    </row>
    <row r="910" spans="1:49" ht="23.25" customHeight="1">
      <c r="A910" s="215" t="s">
        <v>419</v>
      </c>
      <c r="J910" s="934" t="s">
        <v>1232</v>
      </c>
      <c r="K910" s="934"/>
      <c r="L910" s="935"/>
      <c r="M910" s="935"/>
      <c r="N910" s="934"/>
      <c r="O910" s="452"/>
      <c r="P910" s="452"/>
      <c r="Q910" s="448"/>
      <c r="R910" s="468"/>
      <c r="T910" s="468"/>
      <c r="U910" s="468"/>
      <c r="V910" s="468"/>
      <c r="W910" s="468"/>
      <c r="Y910" s="467">
        <f>+Y908</f>
        <v>433393155830</v>
      </c>
      <c r="Z910" s="467">
        <f>+Z908</f>
        <v>109281988968</v>
      </c>
      <c r="AA910" s="470"/>
      <c r="AB910" s="467">
        <v>110259465085</v>
      </c>
      <c r="AC910" s="467">
        <f t="shared" ref="AC910" si="312">SUBTOTAL(9,AE910:AP910)</f>
        <v>40090186269</v>
      </c>
      <c r="AD910" s="467">
        <f>+AB910-AC910</f>
        <v>70169278816</v>
      </c>
      <c r="AE910" s="467">
        <v>0</v>
      </c>
      <c r="AF910" s="467">
        <v>0</v>
      </c>
      <c r="AG910" s="467">
        <v>0</v>
      </c>
      <c r="AH910" s="467">
        <v>0</v>
      </c>
      <c r="AI910" s="467">
        <v>0</v>
      </c>
      <c r="AJ910" s="467">
        <v>3666740688</v>
      </c>
      <c r="AK910" s="467">
        <v>5684834714</v>
      </c>
      <c r="AL910" s="467">
        <v>5022881123</v>
      </c>
      <c r="AM910" s="467">
        <v>6520346324</v>
      </c>
      <c r="AN910" s="467">
        <v>6589090637</v>
      </c>
      <c r="AO910" s="467">
        <v>7082868531</v>
      </c>
      <c r="AP910" s="467">
        <v>5523424252</v>
      </c>
      <c r="AQ910" s="318"/>
      <c r="AR910" s="467">
        <f>+Y910-Z910-AC910-AD910</f>
        <v>213851701777</v>
      </c>
    </row>
    <row r="911" spans="1:49" ht="23.25" customHeight="1">
      <c r="A911" s="215" t="s">
        <v>419</v>
      </c>
    </row>
    <row r="912" spans="1:49" ht="26.25" customHeight="1">
      <c r="A912" s="215" t="s">
        <v>419</v>
      </c>
      <c r="Y912" s="469"/>
      <c r="AB912" s="471"/>
      <c r="AC912" s="471"/>
      <c r="AD912" s="471"/>
      <c r="AJ912" s="475"/>
      <c r="AM912" s="476"/>
      <c r="AO912" s="475"/>
    </row>
    <row r="913" spans="1:44" ht="6.75" customHeight="1">
      <c r="A913" s="215" t="s">
        <v>125</v>
      </c>
      <c r="K913" s="15"/>
      <c r="L913" s="453"/>
      <c r="M913" s="453"/>
      <c r="N913" s="454"/>
      <c r="O913" s="454"/>
      <c r="P913" s="454"/>
      <c r="Q913" s="17"/>
      <c r="Y913" s="469"/>
      <c r="Z913" s="469"/>
      <c r="AB913" s="469"/>
      <c r="AC913" s="469"/>
      <c r="AD913" s="469"/>
      <c r="AE913" s="472"/>
      <c r="AF913" s="472"/>
      <c r="AG913" s="472"/>
      <c r="AL913" s="230"/>
      <c r="AM913" s="230"/>
      <c r="AP913" s="473"/>
      <c r="AR913" s="469"/>
    </row>
    <row r="914" spans="1:44" ht="26.25" customHeight="1">
      <c r="A914" s="215" t="s">
        <v>125</v>
      </c>
      <c r="K914" s="18"/>
      <c r="L914" s="455"/>
      <c r="M914" s="863"/>
      <c r="N914" s="27"/>
      <c r="O914" s="27"/>
      <c r="P914" s="27"/>
      <c r="Q914" s="456" t="s">
        <v>1233</v>
      </c>
      <c r="AB914" s="473"/>
      <c r="AC914" s="473"/>
      <c r="AE914" s="471"/>
    </row>
    <row r="915" spans="1:44" ht="23.25" customHeight="1">
      <c r="A915" s="215" t="s">
        <v>125</v>
      </c>
      <c r="K915" s="18"/>
      <c r="L915" s="457"/>
      <c r="M915" s="864"/>
      <c r="N915" s="27"/>
      <c r="O915" s="27"/>
      <c r="P915" s="27"/>
      <c r="Q915" s="456" t="s">
        <v>1234</v>
      </c>
      <c r="AB915" s="473"/>
      <c r="AC915" s="473"/>
    </row>
    <row r="916" spans="1:44" ht="28.5" customHeight="1">
      <c r="A916" s="215" t="s">
        <v>125</v>
      </c>
      <c r="K916" s="18"/>
      <c r="L916" s="458"/>
      <c r="M916" s="865"/>
      <c r="N916" s="27"/>
      <c r="O916" s="27"/>
      <c r="P916" s="27"/>
      <c r="Q916" s="456" t="s">
        <v>1235</v>
      </c>
      <c r="AB916" s="474"/>
      <c r="AC916" s="474"/>
      <c r="AE916" s="471"/>
      <c r="AF916" s="471"/>
      <c r="AG916" s="471"/>
    </row>
    <row r="917" spans="1:44" ht="23.25" customHeight="1">
      <c r="A917" s="215" t="s">
        <v>125</v>
      </c>
      <c r="K917" s="18"/>
      <c r="L917" s="459"/>
      <c r="M917" s="866"/>
      <c r="N917" s="27"/>
      <c r="O917" s="27"/>
      <c r="P917" s="27"/>
      <c r="Q917" s="456" t="s">
        <v>1236</v>
      </c>
    </row>
    <row r="918" spans="1:44" ht="9.75" customHeight="1">
      <c r="A918" s="215" t="s">
        <v>125</v>
      </c>
      <c r="K918" s="18"/>
      <c r="L918" s="460"/>
      <c r="M918" s="863"/>
      <c r="N918" s="27"/>
      <c r="O918" s="27"/>
      <c r="P918" s="27"/>
      <c r="Q918" s="456"/>
    </row>
    <row r="919" spans="1:44" ht="26.25" customHeight="1">
      <c r="A919" s="215" t="s">
        <v>125</v>
      </c>
      <c r="K919" s="18"/>
      <c r="L919" s="461" t="s">
        <v>1237</v>
      </c>
      <c r="M919" s="867"/>
      <c r="N919" s="27"/>
      <c r="O919" s="27"/>
      <c r="P919" s="27"/>
      <c r="Q919" s="456" t="s">
        <v>1238</v>
      </c>
    </row>
    <row r="920" spans="1:44" ht="26.25" customHeight="1">
      <c r="A920" s="215" t="s">
        <v>125</v>
      </c>
      <c r="K920" s="18"/>
      <c r="L920" s="462" t="s">
        <v>1239</v>
      </c>
      <c r="M920" s="867"/>
      <c r="N920" s="27"/>
      <c r="O920" s="27"/>
      <c r="P920" s="27"/>
      <c r="Q920" s="456" t="s">
        <v>1240</v>
      </c>
    </row>
    <row r="921" spans="1:44" ht="12.75" customHeight="1">
      <c r="A921" s="215" t="s">
        <v>125</v>
      </c>
      <c r="K921" s="463"/>
      <c r="L921" s="460"/>
      <c r="M921" s="460"/>
      <c r="N921" s="464"/>
      <c r="O921" s="464"/>
      <c r="P921" s="464"/>
      <c r="Q921" s="465"/>
      <c r="AB921" s="471"/>
    </row>
    <row r="922" spans="1:44" ht="23.25" customHeight="1">
      <c r="A922" s="215" t="s">
        <v>125</v>
      </c>
    </row>
    <row r="923" spans="1:44" ht="21">
      <c r="AB923" s="475"/>
    </row>
    <row r="924" spans="1:44" ht="23.25">
      <c r="Q924" s="466"/>
      <c r="AB924" s="475"/>
    </row>
    <row r="925" spans="1:44" ht="21">
      <c r="AB925" s="475"/>
    </row>
    <row r="926" spans="1:44" ht="21">
      <c r="AB926" s="475"/>
    </row>
  </sheetData>
  <autoFilter ref="A2:AU922"/>
  <mergeCells count="2">
    <mergeCell ref="T1:W1"/>
    <mergeCell ref="AB1:AD1"/>
  </mergeCells>
  <conditionalFormatting sqref="L52">
    <cfRule type="duplicateValues" dxfId="256" priority="9406"/>
  </conditionalFormatting>
  <conditionalFormatting sqref="L79">
    <cfRule type="duplicateValues" dxfId="255" priority="9421"/>
  </conditionalFormatting>
  <conditionalFormatting sqref="N79">
    <cfRule type="duplicateValues" dxfId="254" priority="307"/>
  </conditionalFormatting>
  <conditionalFormatting sqref="L85">
    <cfRule type="duplicateValues" dxfId="253" priority="9422"/>
  </conditionalFormatting>
  <conditionalFormatting sqref="N85">
    <cfRule type="duplicateValues" dxfId="252" priority="301"/>
  </conditionalFormatting>
  <conditionalFormatting sqref="L86">
    <cfRule type="duplicateValues" dxfId="251" priority="9415"/>
  </conditionalFormatting>
  <conditionalFormatting sqref="L133">
    <cfRule type="duplicateValues" dxfId="250" priority="9414"/>
  </conditionalFormatting>
  <conditionalFormatting sqref="L193">
    <cfRule type="duplicateValues" dxfId="249" priority="26"/>
  </conditionalFormatting>
  <conditionalFormatting sqref="L227">
    <cfRule type="duplicateValues" dxfId="248" priority="9419"/>
  </conditionalFormatting>
  <conditionalFormatting sqref="L250:P250">
    <cfRule type="duplicateValues" dxfId="247" priority="12916"/>
  </conditionalFormatting>
  <conditionalFormatting sqref="L256:P256">
    <cfRule type="duplicateValues" dxfId="246" priority="12950"/>
  </conditionalFormatting>
  <conditionalFormatting sqref="L270:P270">
    <cfRule type="duplicateValues" dxfId="245" priority="12917"/>
  </conditionalFormatting>
  <conditionalFormatting sqref="L277:P277">
    <cfRule type="duplicateValues" dxfId="244" priority="12953"/>
  </conditionalFormatting>
  <conditionalFormatting sqref="L283">
    <cfRule type="duplicateValues" dxfId="243" priority="23"/>
  </conditionalFormatting>
  <conditionalFormatting sqref="L326">
    <cfRule type="duplicateValues" dxfId="242" priority="9401"/>
  </conditionalFormatting>
  <conditionalFormatting sqref="L388">
    <cfRule type="duplicateValues" dxfId="241" priority="24"/>
  </conditionalFormatting>
  <conditionalFormatting sqref="L389">
    <cfRule type="duplicateValues" dxfId="240" priority="9410"/>
  </conditionalFormatting>
  <conditionalFormatting sqref="L395">
    <cfRule type="duplicateValues" dxfId="239" priority="9416"/>
  </conditionalFormatting>
  <conditionalFormatting sqref="L396">
    <cfRule type="duplicateValues" dxfId="238" priority="9420"/>
  </conditionalFormatting>
  <conditionalFormatting sqref="N396">
    <cfRule type="duplicateValues" dxfId="237" priority="313"/>
  </conditionalFormatting>
  <conditionalFormatting sqref="N408">
    <cfRule type="duplicateValues" dxfId="236" priority="295"/>
  </conditionalFormatting>
  <conditionalFormatting sqref="L412">
    <cfRule type="duplicateValues" dxfId="235" priority="22"/>
  </conditionalFormatting>
  <conditionalFormatting sqref="L439">
    <cfRule type="duplicateValues" dxfId="234" priority="9399"/>
  </conditionalFormatting>
  <conditionalFormatting sqref="L440">
    <cfRule type="duplicateValues" dxfId="233" priority="9400"/>
  </conditionalFormatting>
  <conditionalFormatting sqref="L444:P444">
    <cfRule type="duplicateValues" dxfId="232" priority="12977"/>
  </conditionalFormatting>
  <conditionalFormatting sqref="L493">
    <cfRule type="duplicateValues" dxfId="231" priority="9412"/>
  </conditionalFormatting>
  <conditionalFormatting sqref="L503">
    <cfRule type="duplicateValues" dxfId="230" priority="9402"/>
  </conditionalFormatting>
  <conditionalFormatting sqref="L510:P510">
    <cfRule type="duplicateValues" dxfId="229" priority="12989"/>
  </conditionalFormatting>
  <conditionalFormatting sqref="L582">
    <cfRule type="duplicateValues" dxfId="228" priority="9403"/>
  </conditionalFormatting>
  <conditionalFormatting sqref="L619">
    <cfRule type="duplicateValues" dxfId="227" priority="9408"/>
  </conditionalFormatting>
  <conditionalFormatting sqref="J744">
    <cfRule type="duplicateValues" dxfId="226" priority="331"/>
  </conditionalFormatting>
  <conditionalFormatting sqref="N744:P744">
    <cfRule type="duplicateValues" dxfId="225" priority="12739"/>
  </conditionalFormatting>
  <conditionalFormatting sqref="L780">
    <cfRule type="duplicateValues" dxfId="224" priority="9405"/>
  </conditionalFormatting>
  <conditionalFormatting sqref="L785">
    <cfRule type="duplicateValues" dxfId="223" priority="9404"/>
  </conditionalFormatting>
  <conditionalFormatting sqref="L864 N864">
    <cfRule type="duplicateValues" dxfId="222" priority="9417"/>
  </conditionalFormatting>
  <conditionalFormatting sqref="J195:J200">
    <cfRule type="duplicateValues" dxfId="221" priority="303"/>
  </conditionalFormatting>
  <conditionalFormatting sqref="J739:J742">
    <cfRule type="duplicateValues" dxfId="220" priority="343"/>
  </conditionalFormatting>
  <conditionalFormatting sqref="J745:J747">
    <cfRule type="duplicateValues" dxfId="219" priority="5559"/>
  </conditionalFormatting>
  <conditionalFormatting sqref="J749:J752">
    <cfRule type="duplicateValues" dxfId="218" priority="346"/>
  </conditionalFormatting>
  <conditionalFormatting sqref="J754:J756">
    <cfRule type="duplicateValues" dxfId="217" priority="5079"/>
  </conditionalFormatting>
  <conditionalFormatting sqref="J758:J760">
    <cfRule type="duplicateValues" dxfId="216" priority="5319"/>
  </conditionalFormatting>
  <conditionalFormatting sqref="J762:J764">
    <cfRule type="duplicateValues" dxfId="215" priority="6089"/>
  </conditionalFormatting>
  <conditionalFormatting sqref="J766:J769">
    <cfRule type="duplicateValues" dxfId="214" priority="350"/>
  </conditionalFormatting>
  <conditionalFormatting sqref="J771:J774">
    <cfRule type="duplicateValues" dxfId="213" priority="352"/>
  </conditionalFormatting>
  <conditionalFormatting sqref="J776:J779">
    <cfRule type="duplicateValues" dxfId="212" priority="354"/>
  </conditionalFormatting>
  <conditionalFormatting sqref="J781:J784">
    <cfRule type="duplicateValues" dxfId="211" priority="3279"/>
  </conditionalFormatting>
  <conditionalFormatting sqref="J786:J789">
    <cfRule type="duplicateValues" dxfId="210" priority="3159"/>
  </conditionalFormatting>
  <conditionalFormatting sqref="J791:J794">
    <cfRule type="duplicateValues" dxfId="209" priority="355"/>
  </conditionalFormatting>
  <conditionalFormatting sqref="J796:J799">
    <cfRule type="duplicateValues" dxfId="208" priority="356"/>
  </conditionalFormatting>
  <conditionalFormatting sqref="J801:J803">
    <cfRule type="duplicateValues" dxfId="207" priority="5199"/>
  </conditionalFormatting>
  <conditionalFormatting sqref="J805:J807">
    <cfRule type="duplicateValues" dxfId="206" priority="4239"/>
  </conditionalFormatting>
  <conditionalFormatting sqref="J809:J812">
    <cfRule type="duplicateValues" dxfId="205" priority="374"/>
  </conditionalFormatting>
  <conditionalFormatting sqref="J814:J817">
    <cfRule type="duplicateValues" dxfId="204" priority="4959"/>
  </conditionalFormatting>
  <conditionalFormatting sqref="J819:J822">
    <cfRule type="duplicateValues" dxfId="203" priority="373"/>
  </conditionalFormatting>
  <conditionalFormatting sqref="J824:J827">
    <cfRule type="duplicateValues" dxfId="202" priority="372"/>
  </conditionalFormatting>
  <conditionalFormatting sqref="J829:J832">
    <cfRule type="duplicateValues" dxfId="201" priority="371"/>
  </conditionalFormatting>
  <conditionalFormatting sqref="J834:J837">
    <cfRule type="duplicateValues" dxfId="200" priority="370"/>
  </conditionalFormatting>
  <conditionalFormatting sqref="J839:J842">
    <cfRule type="duplicateValues" dxfId="199" priority="368"/>
  </conditionalFormatting>
  <conditionalFormatting sqref="J844:J847">
    <cfRule type="duplicateValues" dxfId="198" priority="361"/>
  </conditionalFormatting>
  <conditionalFormatting sqref="J850:J853">
    <cfRule type="duplicateValues" dxfId="197" priority="4719"/>
  </conditionalFormatting>
  <conditionalFormatting sqref="J855:J858">
    <cfRule type="duplicateValues" dxfId="196" priority="3519"/>
  </conditionalFormatting>
  <conditionalFormatting sqref="J860:J863">
    <cfRule type="duplicateValues" dxfId="195" priority="358"/>
  </conditionalFormatting>
  <conditionalFormatting sqref="J865:J868">
    <cfRule type="duplicateValues" dxfId="194" priority="319"/>
  </conditionalFormatting>
  <conditionalFormatting sqref="J872:J874">
    <cfRule type="duplicateValues" dxfId="193" priority="3999"/>
  </conditionalFormatting>
  <conditionalFormatting sqref="L35:L36">
    <cfRule type="duplicateValues" dxfId="192" priority="9411"/>
  </conditionalFormatting>
  <conditionalFormatting sqref="L611:L612">
    <cfRule type="duplicateValues" dxfId="191" priority="74"/>
  </conditionalFormatting>
  <conditionalFormatting sqref="N195:P200">
    <cfRule type="duplicateValues" dxfId="190" priority="12770"/>
  </conditionalFormatting>
  <conditionalFormatting sqref="L417:P418">
    <cfRule type="duplicateValues" dxfId="189" priority="12918"/>
  </conditionalFormatting>
  <conditionalFormatting sqref="L554:L556 N554:N556">
    <cfRule type="duplicateValues" dxfId="188" priority="130"/>
  </conditionalFormatting>
  <conditionalFormatting sqref="N739:P741">
    <cfRule type="duplicateValues" dxfId="187" priority="12732"/>
  </conditionalFormatting>
  <conditionalFormatting sqref="N791:P793">
    <cfRule type="duplicateValues" dxfId="186" priority="12738"/>
  </conditionalFormatting>
  <conditionalFormatting sqref="N801:P802">
    <cfRule type="duplicateValues" dxfId="185" priority="12737"/>
  </conditionalFormatting>
  <conditionalFormatting sqref="N865:P867">
    <cfRule type="duplicateValues" dxfId="184" priority="12769"/>
  </conditionalFormatting>
  <conditionalFormatting sqref="M233">
    <cfRule type="duplicateValues" dxfId="183" priority="21"/>
  </conditionalFormatting>
  <conditionalFormatting sqref="M398">
    <cfRule type="duplicateValues" dxfId="182" priority="19"/>
  </conditionalFormatting>
  <conditionalFormatting sqref="M400">
    <cfRule type="duplicateValues" dxfId="181" priority="15"/>
  </conditionalFormatting>
  <conditionalFormatting sqref="M513">
    <cfRule type="duplicateValues" dxfId="180" priority="11"/>
  </conditionalFormatting>
  <conditionalFormatting sqref="M730">
    <cfRule type="duplicateValues" dxfId="179" priority="4"/>
  </conditionalFormatting>
  <conditionalFormatting sqref="M886">
    <cfRule type="duplicateValues" dxfId="178" priority="2"/>
  </conditionalFormatting>
  <conditionalFormatting sqref="L680 N680">
    <cfRule type="duplicateValues" dxfId="177" priority="13056"/>
  </conditionalFormatting>
  <conditionalFormatting sqref="L512:L513">
    <cfRule type="duplicateValues" dxfId="176" priority="13064"/>
  </conditionalFormatting>
  <conditionalFormatting sqref="N512:N513">
    <cfRule type="duplicateValues" dxfId="175" priority="13066"/>
  </conditionalFormatting>
  <conditionalFormatting sqref="P512:P513">
    <cfRule type="duplicateValues" dxfId="174" priority="13068"/>
  </conditionalFormatting>
  <conditionalFormatting sqref="L446">
    <cfRule type="duplicateValues" dxfId="173" priority="13076"/>
  </conditionalFormatting>
  <conditionalFormatting sqref="N446">
    <cfRule type="duplicateValues" dxfId="172" priority="13077"/>
  </conditionalFormatting>
  <conditionalFormatting sqref="M729">
    <cfRule type="duplicateValues" dxfId="171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Header>&amp;L&amp;10              GOBIERNO REGIONAL DE LOS LAGOS
DIVISIÓN DE PRESUPUESTO E INVERSIÓN REGIONAL&amp;C&amp;20ESTADO DE SITUACION FNDR MES DE JULIO 2020</oddHeader>
    <oddFooter>&amp;C&amp;14&amp;P de &amp;N</oddFooter>
  </headerFooter>
  <rowBreaks count="21" manualBreakCount="21">
    <brk id="29" min="1" max="46" man="1"/>
    <brk id="72" min="1" max="46" man="1"/>
    <brk id="106" min="1" max="46" man="1"/>
    <brk id="136" min="1" max="46" man="1"/>
    <brk id="161" min="1" max="46" man="1"/>
    <brk id="188" min="1" max="46" man="1"/>
    <brk id="236" min="1" max="46" man="1"/>
    <brk id="278" min="1" max="46" man="1"/>
    <brk id="317" min="1" max="46" man="1"/>
    <brk id="359" min="1" max="46" man="1"/>
    <brk id="380" min="1" max="46" man="1"/>
    <brk id="403" min="1" max="46" man="1"/>
    <brk id="449" min="1" max="46" man="1"/>
    <brk id="486" min="1" max="46" man="1"/>
    <brk id="516" min="1" max="46" man="1"/>
    <brk id="564" min="1" max="46" man="1"/>
    <brk id="606" min="1" max="46" man="1"/>
    <brk id="642" min="1" max="46" man="1"/>
    <brk id="683" min="1" max="46" man="1"/>
    <brk id="733" min="1" max="46" man="1"/>
    <brk id="876" min="1" max="4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" zoomScale="60" zoomScaleNormal="80" workbookViewId="0">
      <selection activeCell="N29" sqref="N29"/>
    </sheetView>
  </sheetViews>
  <sheetFormatPr baseColWidth="10" defaultColWidth="11" defaultRowHeight="15"/>
  <sheetData/>
  <printOptions horizontalCentered="1" verticalCentered="1"/>
  <pageMargins left="0.70763888888888904" right="0.70763888888888904" top="0.74791666666666701" bottom="0.74791666666666701" header="0.31388888888888899" footer="0.31388888888888899"/>
  <pageSetup paperSize="302" scale="9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49"/>
  <sheetViews>
    <sheetView zoomScale="70" zoomScaleNormal="7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1.25" outlineLevelRow="2"/>
  <cols>
    <col min="1" max="1" width="12.5703125" style="75" customWidth="1"/>
    <col min="2" max="2" width="8.42578125" style="76" customWidth="1"/>
    <col min="3" max="3" width="16.42578125" style="77" customWidth="1"/>
    <col min="4" max="4" width="15.7109375" style="78" hidden="1" customWidth="1"/>
    <col min="5" max="5" width="34.85546875" style="78" hidden="1" customWidth="1"/>
    <col min="6" max="6" width="33.85546875" style="900" hidden="1" customWidth="1"/>
    <col min="7" max="7" width="25.28515625" style="893" hidden="1" customWidth="1"/>
    <col min="8" max="8" width="97.7109375" style="75" customWidth="1"/>
    <col min="9" max="10" width="24.7109375" style="79" customWidth="1"/>
    <col min="11" max="16" width="24.7109375" style="80" hidden="1" customWidth="1"/>
    <col min="17" max="17" width="24.7109375" style="80" customWidth="1"/>
    <col min="18" max="23" width="24.7109375" style="80" hidden="1" customWidth="1"/>
    <col min="24" max="24" width="27" style="80" customWidth="1"/>
    <col min="25" max="25" width="24.7109375" style="81" customWidth="1"/>
    <col min="26" max="26" width="38.7109375" style="77" customWidth="1"/>
    <col min="27" max="27" width="17.28515625" style="75" customWidth="1"/>
    <col min="28" max="16384" width="11.42578125" style="75"/>
  </cols>
  <sheetData>
    <row r="1" spans="1:26" s="57" customFormat="1" ht="66" customHeight="1">
      <c r="A1" s="82" t="s">
        <v>101</v>
      </c>
      <c r="B1" s="83" t="s">
        <v>102</v>
      </c>
      <c r="C1" s="82" t="s">
        <v>109</v>
      </c>
      <c r="D1" s="849" t="s">
        <v>21</v>
      </c>
      <c r="E1" s="850" t="s">
        <v>105</v>
      </c>
      <c r="F1" s="894" t="s">
        <v>1241</v>
      </c>
      <c r="G1" s="881" t="s">
        <v>1483</v>
      </c>
      <c r="H1" s="82" t="s">
        <v>113</v>
      </c>
      <c r="I1" s="84" t="s">
        <v>22</v>
      </c>
      <c r="J1" s="84" t="s">
        <v>1242</v>
      </c>
      <c r="K1" s="852" t="s">
        <v>3</v>
      </c>
      <c r="L1" s="852" t="s">
        <v>4</v>
      </c>
      <c r="M1" s="853" t="s">
        <v>5</v>
      </c>
      <c r="N1" s="853" t="s">
        <v>6</v>
      </c>
      <c r="O1" s="853" t="s">
        <v>7</v>
      </c>
      <c r="P1" s="853" t="s">
        <v>8</v>
      </c>
      <c r="Q1" s="84" t="s">
        <v>9</v>
      </c>
      <c r="R1" s="84" t="s">
        <v>10</v>
      </c>
      <c r="S1" s="84" t="s">
        <v>11</v>
      </c>
      <c r="T1" s="84" t="s">
        <v>12</v>
      </c>
      <c r="U1" s="84" t="s">
        <v>13</v>
      </c>
      <c r="V1" s="84" t="s">
        <v>14</v>
      </c>
      <c r="W1" s="853" t="s">
        <v>1243</v>
      </c>
      <c r="X1" s="84" t="s">
        <v>1244</v>
      </c>
      <c r="Y1" s="84" t="s">
        <v>79</v>
      </c>
      <c r="Z1" s="84" t="s">
        <v>124</v>
      </c>
    </row>
    <row r="2" spans="1:26" s="58" customFormat="1" ht="15" customHeight="1">
      <c r="A2" s="85"/>
      <c r="C2" s="85"/>
      <c r="D2" s="85"/>
      <c r="E2" s="85"/>
      <c r="F2" s="895"/>
      <c r="G2" s="882"/>
      <c r="H2" s="86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</row>
    <row r="3" spans="1:26" s="59" customFormat="1" ht="23.25" outlineLevel="1">
      <c r="A3" s="88"/>
      <c r="B3" s="89"/>
      <c r="C3" s="90"/>
      <c r="D3" s="91"/>
      <c r="E3" s="92"/>
      <c r="F3" s="113"/>
      <c r="G3" s="883"/>
      <c r="H3" s="93" t="s">
        <v>126</v>
      </c>
      <c r="I3" s="94"/>
      <c r="J3" s="94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94"/>
      <c r="Z3" s="133"/>
    </row>
    <row r="4" spans="1:26" s="59" customFormat="1" ht="15" customHeight="1" outlineLevel="2">
      <c r="A4" s="95"/>
      <c r="B4" s="96"/>
      <c r="C4" s="97"/>
      <c r="D4" s="98"/>
      <c r="E4" s="98"/>
      <c r="F4" s="113"/>
      <c r="G4" s="884"/>
      <c r="H4" s="99" t="s">
        <v>127</v>
      </c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96"/>
    </row>
    <row r="5" spans="1:26" s="60" customFormat="1" ht="23.25" customHeight="1" outlineLevel="2">
      <c r="A5" s="101">
        <v>33125</v>
      </c>
      <c r="B5" s="102" t="s">
        <v>128</v>
      </c>
      <c r="C5" s="103">
        <v>40014128</v>
      </c>
      <c r="D5" s="104" t="s">
        <v>32</v>
      </c>
      <c r="E5" s="104" t="s">
        <v>32</v>
      </c>
      <c r="F5" s="104" t="s">
        <v>1245</v>
      </c>
      <c r="G5" s="851">
        <v>2019</v>
      </c>
      <c r="H5" s="105" t="s">
        <v>1246</v>
      </c>
      <c r="I5" s="106">
        <v>96086000</v>
      </c>
      <c r="J5" s="106">
        <v>0</v>
      </c>
      <c r="K5" s="132">
        <v>0</v>
      </c>
      <c r="L5" s="132">
        <v>0</v>
      </c>
      <c r="M5" s="132">
        <v>0</v>
      </c>
      <c r="N5" s="132">
        <v>62187605</v>
      </c>
      <c r="O5" s="132">
        <v>0</v>
      </c>
      <c r="P5" s="132">
        <v>0</v>
      </c>
      <c r="Q5" s="132">
        <v>30866995</v>
      </c>
      <c r="R5" s="132">
        <v>0</v>
      </c>
      <c r="S5" s="132">
        <v>0</v>
      </c>
      <c r="T5" s="132">
        <v>0</v>
      </c>
      <c r="U5" s="132">
        <v>0</v>
      </c>
      <c r="V5" s="132">
        <v>0</v>
      </c>
      <c r="W5" s="132">
        <f t="shared" ref="W5:W10" si="0">SUBTOTAL(9,K5:V5)</f>
        <v>93054600</v>
      </c>
      <c r="X5" s="132">
        <f>+V5+U5+T5+S5+R5+Q5+P5+O5+N5+M5+L5+K5</f>
        <v>93054600</v>
      </c>
      <c r="Y5" s="132">
        <f t="shared" ref="Y5:Y10" si="1">+I5-J5-X5</f>
        <v>3031400</v>
      </c>
      <c r="Z5" s="102" t="s">
        <v>1247</v>
      </c>
    </row>
    <row r="6" spans="1:26" s="60" customFormat="1" ht="23.25" customHeight="1" outlineLevel="2">
      <c r="A6" s="101">
        <v>33125</v>
      </c>
      <c r="B6" s="102" t="s">
        <v>128</v>
      </c>
      <c r="C6" s="103">
        <v>40014330</v>
      </c>
      <c r="D6" s="104" t="s">
        <v>32</v>
      </c>
      <c r="E6" s="104" t="s">
        <v>32</v>
      </c>
      <c r="F6" s="104" t="s">
        <v>1245</v>
      </c>
      <c r="G6" s="851">
        <v>2019</v>
      </c>
      <c r="H6" s="105" t="s">
        <v>1248</v>
      </c>
      <c r="I6" s="106">
        <v>96407479</v>
      </c>
      <c r="J6" s="106">
        <v>0</v>
      </c>
      <c r="K6" s="132">
        <v>0</v>
      </c>
      <c r="L6" s="132">
        <v>0</v>
      </c>
      <c r="M6" s="132">
        <v>0</v>
      </c>
      <c r="N6" s="132">
        <v>0</v>
      </c>
      <c r="O6" s="132">
        <v>0</v>
      </c>
      <c r="P6" s="132">
        <v>39026910</v>
      </c>
      <c r="Q6" s="132">
        <v>0</v>
      </c>
      <c r="R6" s="132">
        <v>0</v>
      </c>
      <c r="S6" s="132">
        <v>0</v>
      </c>
      <c r="T6" s="132">
        <v>0</v>
      </c>
      <c r="U6" s="132">
        <v>0</v>
      </c>
      <c r="V6" s="132">
        <v>0</v>
      </c>
      <c r="W6" s="132">
        <f t="shared" si="0"/>
        <v>39026910</v>
      </c>
      <c r="X6" s="132">
        <f t="shared" ref="X6:X10" si="2">+V6+U6+T6+S6+R6+Q6+P6+O6+N6+M6+L6+K6</f>
        <v>39026910</v>
      </c>
      <c r="Y6" s="132">
        <f t="shared" si="1"/>
        <v>57380569</v>
      </c>
      <c r="Z6" s="102" t="s">
        <v>1247</v>
      </c>
    </row>
    <row r="7" spans="1:26" s="60" customFormat="1" ht="23.25" customHeight="1" outlineLevel="2">
      <c r="A7" s="101">
        <v>33125</v>
      </c>
      <c r="B7" s="102" t="s">
        <v>128</v>
      </c>
      <c r="C7" s="914">
        <v>40007262</v>
      </c>
      <c r="D7" s="104" t="s">
        <v>32</v>
      </c>
      <c r="E7" s="104" t="s">
        <v>32</v>
      </c>
      <c r="F7" s="915"/>
      <c r="G7" s="851"/>
      <c r="H7" s="902" t="s">
        <v>1610</v>
      </c>
      <c r="I7" s="873">
        <v>41193573</v>
      </c>
      <c r="J7" s="106">
        <v>0</v>
      </c>
      <c r="K7" s="874"/>
      <c r="L7" s="874"/>
      <c r="M7" s="874"/>
      <c r="N7" s="874"/>
      <c r="O7" s="874"/>
      <c r="P7" s="874">
        <v>21580708</v>
      </c>
      <c r="Q7" s="132">
        <v>0</v>
      </c>
      <c r="R7" s="874"/>
      <c r="S7" s="874"/>
      <c r="T7" s="874"/>
      <c r="U7" s="874"/>
      <c r="V7" s="874"/>
      <c r="W7" s="132">
        <f t="shared" si="0"/>
        <v>21580708</v>
      </c>
      <c r="X7" s="132">
        <f t="shared" si="2"/>
        <v>21580708</v>
      </c>
      <c r="Y7" s="132">
        <f t="shared" si="1"/>
        <v>19612865</v>
      </c>
      <c r="Z7" s="102" t="s">
        <v>1247</v>
      </c>
    </row>
    <row r="8" spans="1:26" s="60" customFormat="1" ht="23.25" customHeight="1" outlineLevel="2">
      <c r="A8" s="101">
        <v>33125</v>
      </c>
      <c r="B8" s="102" t="s">
        <v>196</v>
      </c>
      <c r="C8" s="103">
        <v>40022451</v>
      </c>
      <c r="D8" s="104" t="s">
        <v>32</v>
      </c>
      <c r="E8" s="104" t="s">
        <v>32</v>
      </c>
      <c r="F8" s="104" t="s">
        <v>1582</v>
      </c>
      <c r="G8" s="851">
        <v>2020</v>
      </c>
      <c r="H8" s="902" t="s">
        <v>1597</v>
      </c>
      <c r="I8" s="873">
        <v>99208234</v>
      </c>
      <c r="J8" s="873">
        <v>0</v>
      </c>
      <c r="K8" s="873">
        <v>0</v>
      </c>
      <c r="L8" s="873">
        <v>0</v>
      </c>
      <c r="M8" s="873">
        <v>0</v>
      </c>
      <c r="N8" s="873">
        <v>0</v>
      </c>
      <c r="O8" s="873">
        <v>0</v>
      </c>
      <c r="P8" s="132">
        <v>0</v>
      </c>
      <c r="Q8" s="132">
        <v>0</v>
      </c>
      <c r="R8" s="873">
        <v>0</v>
      </c>
      <c r="S8" s="873">
        <v>0</v>
      </c>
      <c r="T8" s="873">
        <v>0</v>
      </c>
      <c r="U8" s="873">
        <v>0</v>
      </c>
      <c r="V8" s="873">
        <v>0</v>
      </c>
      <c r="W8" s="132">
        <f t="shared" si="0"/>
        <v>0</v>
      </c>
      <c r="X8" s="132">
        <f t="shared" ref="X8" si="3">+V8+U8+T8+S8+R8+Q8+P8+O8+N8+M8+L8+K8</f>
        <v>0</v>
      </c>
      <c r="Y8" s="132">
        <f t="shared" si="1"/>
        <v>99208234</v>
      </c>
      <c r="Z8" s="102" t="s">
        <v>1255</v>
      </c>
    </row>
    <row r="9" spans="1:26" s="60" customFormat="1" ht="23.25" customHeight="1" outlineLevel="2">
      <c r="A9" s="101">
        <v>33125</v>
      </c>
      <c r="B9" s="102" t="s">
        <v>196</v>
      </c>
      <c r="C9" s="103">
        <v>40022450</v>
      </c>
      <c r="D9" s="104" t="s">
        <v>32</v>
      </c>
      <c r="E9" s="104" t="s">
        <v>32</v>
      </c>
      <c r="F9" s="104" t="s">
        <v>1249</v>
      </c>
      <c r="G9" s="851">
        <v>2020</v>
      </c>
      <c r="H9" s="105" t="s">
        <v>1250</v>
      </c>
      <c r="I9" s="106">
        <v>98995061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  <c r="O9" s="106">
        <v>0</v>
      </c>
      <c r="P9" s="132">
        <v>0</v>
      </c>
      <c r="Q9" s="132">
        <v>0</v>
      </c>
      <c r="R9" s="106">
        <v>0</v>
      </c>
      <c r="S9" s="106">
        <v>0</v>
      </c>
      <c r="T9" s="106">
        <v>0</v>
      </c>
      <c r="U9" s="106">
        <v>0</v>
      </c>
      <c r="V9" s="106">
        <v>0</v>
      </c>
      <c r="W9" s="132">
        <f t="shared" si="0"/>
        <v>0</v>
      </c>
      <c r="X9" s="132">
        <f t="shared" si="2"/>
        <v>0</v>
      </c>
      <c r="Y9" s="132">
        <f t="shared" si="1"/>
        <v>98995061</v>
      </c>
      <c r="Z9" s="102" t="s">
        <v>1255</v>
      </c>
    </row>
    <row r="10" spans="1:26" s="60" customFormat="1" ht="23.25" customHeight="1" outlineLevel="2">
      <c r="A10" s="101">
        <v>33125</v>
      </c>
      <c r="B10" s="102" t="s">
        <v>128</v>
      </c>
      <c r="C10" s="103">
        <v>40008492</v>
      </c>
      <c r="D10" s="104" t="s">
        <v>32</v>
      </c>
      <c r="E10" s="104" t="s">
        <v>32</v>
      </c>
      <c r="F10" s="104" t="s">
        <v>1251</v>
      </c>
      <c r="G10" s="851">
        <v>2019</v>
      </c>
      <c r="H10" s="105" t="s">
        <v>1252</v>
      </c>
      <c r="I10" s="106">
        <v>96000000</v>
      </c>
      <c r="J10" s="106">
        <v>0</v>
      </c>
      <c r="K10" s="132">
        <v>0</v>
      </c>
      <c r="L10" s="132">
        <v>0</v>
      </c>
      <c r="M10" s="132">
        <v>0</v>
      </c>
      <c r="N10" s="132">
        <v>47001286</v>
      </c>
      <c r="O10" s="132">
        <v>0</v>
      </c>
      <c r="P10" s="132">
        <v>8808558</v>
      </c>
      <c r="Q10" s="132">
        <v>0</v>
      </c>
      <c r="R10" s="132">
        <v>0</v>
      </c>
      <c r="S10" s="132">
        <v>0</v>
      </c>
      <c r="T10" s="132">
        <v>0</v>
      </c>
      <c r="U10" s="132">
        <v>0</v>
      </c>
      <c r="V10" s="132">
        <v>0</v>
      </c>
      <c r="W10" s="132">
        <f t="shared" si="0"/>
        <v>55809844</v>
      </c>
      <c r="X10" s="132">
        <f t="shared" si="2"/>
        <v>55809844</v>
      </c>
      <c r="Y10" s="132">
        <f t="shared" si="1"/>
        <v>40190156</v>
      </c>
      <c r="Z10" s="102" t="s">
        <v>1247</v>
      </c>
    </row>
    <row r="11" spans="1:26" s="62" customFormat="1" ht="23.25" customHeight="1" outlineLevel="1">
      <c r="A11" s="107"/>
      <c r="B11" s="89"/>
      <c r="C11" s="108"/>
      <c r="D11" s="91"/>
      <c r="E11" s="92"/>
      <c r="F11" s="896"/>
      <c r="G11" s="883"/>
      <c r="H11" s="109" t="s">
        <v>187</v>
      </c>
      <c r="I11" s="110">
        <f t="shared" ref="I11:N11" si="4">SUM(I5:I10)</f>
        <v>527890347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109188891</v>
      </c>
      <c r="O11" s="110">
        <f t="shared" ref="O11:Q11" si="5">SUM(O5:O10)</f>
        <v>0</v>
      </c>
      <c r="P11" s="110">
        <f t="shared" si="5"/>
        <v>69416176</v>
      </c>
      <c r="Q11" s="110">
        <f t="shared" si="5"/>
        <v>30866995</v>
      </c>
      <c r="R11" s="110">
        <f t="shared" ref="R11:Y11" si="6">SUM(R5:R10)</f>
        <v>0</v>
      </c>
      <c r="S11" s="110">
        <f t="shared" si="6"/>
        <v>0</v>
      </c>
      <c r="T11" s="110">
        <f t="shared" si="6"/>
        <v>0</v>
      </c>
      <c r="U11" s="110">
        <f t="shared" si="6"/>
        <v>0</v>
      </c>
      <c r="V11" s="110">
        <f t="shared" si="6"/>
        <v>0</v>
      </c>
      <c r="W11" s="110">
        <f t="shared" si="6"/>
        <v>209472062</v>
      </c>
      <c r="X11" s="110">
        <f t="shared" si="6"/>
        <v>209472062</v>
      </c>
      <c r="Y11" s="110">
        <f t="shared" si="6"/>
        <v>318418285</v>
      </c>
      <c r="Z11" s="134"/>
    </row>
    <row r="12" spans="1:26" s="59" customFormat="1" ht="15" customHeight="1" outlineLevel="1">
      <c r="A12" s="111"/>
      <c r="B12" s="112"/>
      <c r="C12" s="90"/>
      <c r="D12" s="113"/>
      <c r="E12" s="114"/>
      <c r="F12" s="113"/>
      <c r="G12" s="885"/>
      <c r="H12" s="115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35"/>
    </row>
    <row r="13" spans="1:26" s="59" customFormat="1" ht="23.25" outlineLevel="1">
      <c r="A13" s="111"/>
      <c r="B13" s="112"/>
      <c r="C13" s="90"/>
      <c r="D13" s="113"/>
      <c r="E13" s="114"/>
      <c r="F13" s="113"/>
      <c r="G13" s="885"/>
      <c r="H13" s="117" t="s">
        <v>210</v>
      </c>
      <c r="I13" s="118">
        <f>+I11</f>
        <v>527890347</v>
      </c>
      <c r="J13" s="118">
        <f t="shared" ref="J13:Y13" si="7">+J11</f>
        <v>0</v>
      </c>
      <c r="K13" s="118">
        <f t="shared" si="7"/>
        <v>0</v>
      </c>
      <c r="L13" s="118">
        <f t="shared" si="7"/>
        <v>0</v>
      </c>
      <c r="M13" s="118">
        <f t="shared" ref="M13" si="8">+M11</f>
        <v>0</v>
      </c>
      <c r="N13" s="118">
        <v>109188891</v>
      </c>
      <c r="O13" s="118">
        <f t="shared" ref="O13:Q13" si="9">+O11</f>
        <v>0</v>
      </c>
      <c r="P13" s="118">
        <f t="shared" si="9"/>
        <v>69416176</v>
      </c>
      <c r="Q13" s="118">
        <f t="shared" si="9"/>
        <v>30866995</v>
      </c>
      <c r="R13" s="118">
        <f t="shared" si="7"/>
        <v>0</v>
      </c>
      <c r="S13" s="118">
        <f t="shared" si="7"/>
        <v>0</v>
      </c>
      <c r="T13" s="118">
        <f t="shared" si="7"/>
        <v>0</v>
      </c>
      <c r="U13" s="118">
        <f t="shared" si="7"/>
        <v>0</v>
      </c>
      <c r="V13" s="118">
        <f t="shared" si="7"/>
        <v>0</v>
      </c>
      <c r="W13" s="118">
        <f t="shared" si="7"/>
        <v>209472062</v>
      </c>
      <c r="X13" s="118">
        <f t="shared" si="7"/>
        <v>209472062</v>
      </c>
      <c r="Y13" s="118">
        <f t="shared" si="7"/>
        <v>318418285</v>
      </c>
      <c r="Z13" s="135"/>
    </row>
    <row r="14" spans="1:26" s="63" customFormat="1" ht="15" customHeight="1" outlineLevel="1">
      <c r="A14" s="111"/>
      <c r="B14" s="112"/>
      <c r="C14" s="90"/>
      <c r="D14" s="113"/>
      <c r="E14" s="114"/>
      <c r="F14" s="113"/>
      <c r="G14" s="885"/>
      <c r="H14" s="119"/>
      <c r="I14" s="116"/>
      <c r="J14" s="116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16"/>
      <c r="Z14" s="135"/>
    </row>
    <row r="15" spans="1:26" s="64" customFormat="1" ht="23.25" outlineLevel="1">
      <c r="A15" s="88"/>
      <c r="B15" s="89"/>
      <c r="C15" s="90"/>
      <c r="D15" s="91"/>
      <c r="E15" s="92"/>
      <c r="F15" s="113"/>
      <c r="G15" s="883"/>
      <c r="H15" s="93" t="s">
        <v>211</v>
      </c>
      <c r="I15" s="94"/>
      <c r="J15" s="94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94"/>
      <c r="Z15" s="133"/>
    </row>
    <row r="16" spans="1:26" s="59" customFormat="1" ht="21" outlineLevel="1">
      <c r="A16" s="88"/>
      <c r="B16" s="89"/>
      <c r="C16" s="90"/>
      <c r="D16" s="91"/>
      <c r="E16" s="92"/>
      <c r="F16" s="113"/>
      <c r="G16" s="883"/>
      <c r="H16" s="99" t="s">
        <v>127</v>
      </c>
      <c r="I16" s="94"/>
      <c r="J16" s="94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94"/>
      <c r="Z16" s="136"/>
    </row>
    <row r="17" spans="1:26" s="65" customFormat="1" ht="23.25" customHeight="1" outlineLevel="1">
      <c r="A17" s="101">
        <v>33125</v>
      </c>
      <c r="B17" s="102" t="s">
        <v>128</v>
      </c>
      <c r="C17" s="120">
        <v>40014867</v>
      </c>
      <c r="D17" s="121" t="s">
        <v>32</v>
      </c>
      <c r="E17" s="104" t="s">
        <v>41</v>
      </c>
      <c r="F17" s="122" t="s">
        <v>1256</v>
      </c>
      <c r="G17" s="851">
        <v>2019</v>
      </c>
      <c r="H17" s="123" t="s">
        <v>1257</v>
      </c>
      <c r="I17" s="124">
        <v>96706000</v>
      </c>
      <c r="J17" s="106">
        <v>19309379</v>
      </c>
      <c r="K17" s="132">
        <v>0</v>
      </c>
      <c r="L17" s="132">
        <v>0</v>
      </c>
      <c r="M17" s="132">
        <v>0</v>
      </c>
      <c r="N17" s="132">
        <v>29448957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f>SUBTOTAL(9,K17:V17)</f>
        <v>29448957</v>
      </c>
      <c r="X17" s="132">
        <f t="shared" ref="X17:X19" si="10">+V17+U17+T17+S17+R17+Q17+P17+O17+N17+M17+L17+K17</f>
        <v>29448957</v>
      </c>
      <c r="Y17" s="132">
        <f>+I17-J17-X17</f>
        <v>47947664</v>
      </c>
      <c r="Z17" s="102" t="s">
        <v>1247</v>
      </c>
    </row>
    <row r="18" spans="1:26" s="65" customFormat="1" ht="23.25" customHeight="1" outlineLevel="1">
      <c r="A18" s="101">
        <v>33125</v>
      </c>
      <c r="B18" s="102" t="s">
        <v>128</v>
      </c>
      <c r="C18" s="120">
        <v>40014166</v>
      </c>
      <c r="D18" s="121" t="s">
        <v>32</v>
      </c>
      <c r="E18" s="104" t="s">
        <v>41</v>
      </c>
      <c r="F18" s="122" t="s">
        <v>1256</v>
      </c>
      <c r="G18" s="851">
        <v>2019</v>
      </c>
      <c r="H18" s="123" t="s">
        <v>1258</v>
      </c>
      <c r="I18" s="124">
        <v>96706000</v>
      </c>
      <c r="J18" s="106">
        <v>57776861</v>
      </c>
      <c r="K18" s="132">
        <v>0</v>
      </c>
      <c r="L18" s="132">
        <v>0</v>
      </c>
      <c r="M18" s="132">
        <v>0</v>
      </c>
      <c r="N18" s="132">
        <v>33727389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f>SUBTOTAL(9,K18:V18)</f>
        <v>33727389</v>
      </c>
      <c r="X18" s="132">
        <f t="shared" si="10"/>
        <v>33727389</v>
      </c>
      <c r="Y18" s="132">
        <f>+I18-J18-X18</f>
        <v>5201750</v>
      </c>
      <c r="Z18" s="102" t="s">
        <v>1247</v>
      </c>
    </row>
    <row r="19" spans="1:26" s="65" customFormat="1" ht="23.25" customHeight="1" outlineLevel="1">
      <c r="A19" s="101">
        <v>33125</v>
      </c>
      <c r="B19" s="102" t="s">
        <v>128</v>
      </c>
      <c r="C19" s="120">
        <v>40019616</v>
      </c>
      <c r="D19" s="121" t="s">
        <v>32</v>
      </c>
      <c r="E19" s="104" t="s">
        <v>41</v>
      </c>
      <c r="F19" s="122" t="s">
        <v>1683</v>
      </c>
      <c r="G19" s="851">
        <v>2020</v>
      </c>
      <c r="H19" s="123" t="s">
        <v>1687</v>
      </c>
      <c r="I19" s="124">
        <v>99339572</v>
      </c>
      <c r="J19" s="106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f>SUBTOTAL(9,K19:V19)</f>
        <v>0</v>
      </c>
      <c r="X19" s="132">
        <f t="shared" si="10"/>
        <v>0</v>
      </c>
      <c r="Y19" s="132">
        <f>+I19-J19-X19</f>
        <v>99339572</v>
      </c>
      <c r="Z19" s="102" t="s">
        <v>1665</v>
      </c>
    </row>
    <row r="20" spans="1:26" s="65" customFormat="1" ht="23.25" customHeight="1" outlineLevel="1">
      <c r="A20" s="101">
        <v>33125</v>
      </c>
      <c r="B20" s="102" t="s">
        <v>128</v>
      </c>
      <c r="C20" s="120">
        <v>40020398</v>
      </c>
      <c r="D20" s="121" t="s">
        <v>32</v>
      </c>
      <c r="E20" s="104" t="s">
        <v>41</v>
      </c>
      <c r="F20" s="122" t="s">
        <v>1658</v>
      </c>
      <c r="G20" s="851">
        <v>2020</v>
      </c>
      <c r="H20" s="123" t="s">
        <v>1663</v>
      </c>
      <c r="I20" s="124">
        <v>99306869</v>
      </c>
      <c r="J20" s="106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2">
        <v>0</v>
      </c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f>SUBTOTAL(9,K20:V20)</f>
        <v>0</v>
      </c>
      <c r="X20" s="132">
        <f t="shared" ref="X20" si="11">+V20+U20+T20+S20+R20+Q20+P20+O20+N20+M20+L20+K20</f>
        <v>0</v>
      </c>
      <c r="Y20" s="132">
        <f>+I20-J20-X20</f>
        <v>99306869</v>
      </c>
      <c r="Z20" s="102" t="s">
        <v>1255</v>
      </c>
    </row>
    <row r="21" spans="1:26" s="62" customFormat="1" ht="23.25" customHeight="1" outlineLevel="2">
      <c r="A21" s="125"/>
      <c r="B21" s="126"/>
      <c r="C21" s="127"/>
      <c r="D21" s="128"/>
      <c r="E21" s="128"/>
      <c r="F21" s="897"/>
      <c r="G21" s="886"/>
      <c r="H21" s="109" t="s">
        <v>187</v>
      </c>
      <c r="I21" s="129">
        <f>SUM(I17:I20)</f>
        <v>392058441</v>
      </c>
      <c r="J21" s="129">
        <f t="shared" ref="J21:Y21" si="12">SUM(J17:J20)</f>
        <v>77086240</v>
      </c>
      <c r="K21" s="129">
        <f t="shared" si="12"/>
        <v>0</v>
      </c>
      <c r="L21" s="129">
        <f t="shared" si="12"/>
        <v>0</v>
      </c>
      <c r="M21" s="129">
        <f t="shared" si="12"/>
        <v>0</v>
      </c>
      <c r="N21" s="129">
        <f t="shared" si="12"/>
        <v>63176346</v>
      </c>
      <c r="O21" s="129">
        <f t="shared" si="12"/>
        <v>0</v>
      </c>
      <c r="P21" s="129">
        <f t="shared" si="12"/>
        <v>0</v>
      </c>
      <c r="Q21" s="129">
        <v>0</v>
      </c>
      <c r="R21" s="129">
        <f t="shared" si="12"/>
        <v>0</v>
      </c>
      <c r="S21" s="129">
        <f t="shared" si="12"/>
        <v>0</v>
      </c>
      <c r="T21" s="129">
        <f t="shared" si="12"/>
        <v>0</v>
      </c>
      <c r="U21" s="129">
        <f t="shared" si="12"/>
        <v>0</v>
      </c>
      <c r="V21" s="129">
        <f t="shared" si="12"/>
        <v>0</v>
      </c>
      <c r="W21" s="129">
        <f t="shared" si="12"/>
        <v>63176346</v>
      </c>
      <c r="X21" s="129">
        <f t="shared" si="12"/>
        <v>63176346</v>
      </c>
      <c r="Y21" s="129">
        <f t="shared" si="12"/>
        <v>251795855</v>
      </c>
      <c r="Z21" s="137"/>
    </row>
    <row r="22" spans="1:26" s="59" customFormat="1" ht="15" customHeight="1" outlineLevel="1">
      <c r="A22" s="111"/>
      <c r="B22" s="112"/>
      <c r="C22" s="90"/>
      <c r="D22" s="113"/>
      <c r="E22" s="114"/>
      <c r="F22" s="113"/>
      <c r="G22" s="885"/>
      <c r="H22" s="115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35"/>
    </row>
    <row r="23" spans="1:26" s="59" customFormat="1" ht="23.25" outlineLevel="1">
      <c r="A23" s="111"/>
      <c r="B23" s="112"/>
      <c r="C23" s="90"/>
      <c r="D23" s="113"/>
      <c r="E23" s="114"/>
      <c r="F23" s="113"/>
      <c r="G23" s="885"/>
      <c r="H23" s="117" t="s">
        <v>229</v>
      </c>
      <c r="I23" s="118">
        <f>+I21</f>
        <v>392058441</v>
      </c>
      <c r="J23" s="118">
        <f t="shared" ref="J23:Y23" si="13">+J21</f>
        <v>77086240</v>
      </c>
      <c r="K23" s="118">
        <f t="shared" si="13"/>
        <v>0</v>
      </c>
      <c r="L23" s="118">
        <f t="shared" ref="L23:M23" si="14">+L21</f>
        <v>0</v>
      </c>
      <c r="M23" s="118">
        <f t="shared" si="14"/>
        <v>0</v>
      </c>
      <c r="N23" s="118">
        <v>63176346</v>
      </c>
      <c r="O23" s="118">
        <v>0</v>
      </c>
      <c r="P23" s="118">
        <v>0</v>
      </c>
      <c r="Q23" s="118">
        <v>0</v>
      </c>
      <c r="R23" s="118">
        <f t="shared" si="13"/>
        <v>0</v>
      </c>
      <c r="S23" s="118">
        <f t="shared" si="13"/>
        <v>0</v>
      </c>
      <c r="T23" s="118">
        <f t="shared" si="13"/>
        <v>0</v>
      </c>
      <c r="U23" s="118">
        <f t="shared" si="13"/>
        <v>0</v>
      </c>
      <c r="V23" s="118">
        <f t="shared" si="13"/>
        <v>0</v>
      </c>
      <c r="W23" s="118">
        <f t="shared" si="13"/>
        <v>63176346</v>
      </c>
      <c r="X23" s="118">
        <f t="shared" si="13"/>
        <v>63176346</v>
      </c>
      <c r="Y23" s="118">
        <f t="shared" si="13"/>
        <v>251795855</v>
      </c>
      <c r="Z23" s="135"/>
    </row>
    <row r="24" spans="1:26" s="64" customFormat="1" ht="15" customHeight="1" outlineLevel="1">
      <c r="A24" s="88"/>
      <c r="B24" s="89"/>
      <c r="C24" s="90"/>
      <c r="D24" s="91"/>
      <c r="E24" s="92"/>
      <c r="F24" s="113"/>
      <c r="G24" s="883"/>
      <c r="H24" s="130"/>
      <c r="I24" s="94"/>
      <c r="J24" s="94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94"/>
      <c r="Z24" s="133"/>
    </row>
    <row r="25" spans="1:26" s="59" customFormat="1" ht="23.25" outlineLevel="1">
      <c r="A25" s="88"/>
      <c r="B25" s="89"/>
      <c r="C25" s="90"/>
      <c r="D25" s="91"/>
      <c r="E25" s="92"/>
      <c r="F25" s="113"/>
      <c r="G25" s="883"/>
      <c r="H25" s="93" t="s">
        <v>230</v>
      </c>
      <c r="I25" s="94"/>
      <c r="J25" s="94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94"/>
      <c r="Z25" s="133"/>
    </row>
    <row r="26" spans="1:26" s="59" customFormat="1" ht="21" outlineLevel="1">
      <c r="A26" s="88"/>
      <c r="B26" s="89"/>
      <c r="C26" s="90"/>
      <c r="D26" s="91"/>
      <c r="E26" s="92"/>
      <c r="F26" s="113"/>
      <c r="G26" s="883"/>
      <c r="H26" s="99" t="s">
        <v>127</v>
      </c>
      <c r="I26" s="94"/>
      <c r="J26" s="94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94"/>
      <c r="Z26" s="136"/>
    </row>
    <row r="27" spans="1:26" s="60" customFormat="1" ht="23.25" customHeight="1" outlineLevel="2">
      <c r="A27" s="101">
        <v>33125</v>
      </c>
      <c r="B27" s="102" t="s">
        <v>128</v>
      </c>
      <c r="C27" s="103">
        <v>40015473</v>
      </c>
      <c r="D27" s="104" t="s">
        <v>32</v>
      </c>
      <c r="E27" s="104" t="s">
        <v>42</v>
      </c>
      <c r="F27" s="122" t="s">
        <v>1256</v>
      </c>
      <c r="G27" s="851">
        <v>2019</v>
      </c>
      <c r="H27" s="122" t="s">
        <v>1260</v>
      </c>
      <c r="I27" s="106">
        <v>17843452</v>
      </c>
      <c r="J27" s="106">
        <v>16031814</v>
      </c>
      <c r="K27" s="132">
        <v>0</v>
      </c>
      <c r="L27" s="132">
        <v>0</v>
      </c>
      <c r="M27" s="132">
        <v>0</v>
      </c>
      <c r="N27" s="132">
        <v>1280748</v>
      </c>
      <c r="O27" s="132">
        <v>0</v>
      </c>
      <c r="P27" s="132">
        <v>0</v>
      </c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f t="shared" ref="W27:W32" si="15">SUBTOTAL(9,K27:V27)</f>
        <v>1280748</v>
      </c>
      <c r="X27" s="132">
        <f t="shared" ref="X27:X32" si="16">+V27+U27+T27+S27+R27+Q27+P27+O27+N27+M27+L27+K27</f>
        <v>1280748</v>
      </c>
      <c r="Y27" s="132">
        <f t="shared" ref="Y27:Y32" si="17">+I27-J27-X27</f>
        <v>530890</v>
      </c>
      <c r="Z27" s="102" t="s">
        <v>1261</v>
      </c>
    </row>
    <row r="28" spans="1:26" s="60" customFormat="1" ht="23.25" customHeight="1" outlineLevel="2">
      <c r="A28" s="101">
        <v>33125</v>
      </c>
      <c r="B28" s="102" t="s">
        <v>128</v>
      </c>
      <c r="C28" s="103">
        <v>40014813</v>
      </c>
      <c r="D28" s="104" t="s">
        <v>32</v>
      </c>
      <c r="E28" s="104" t="s">
        <v>42</v>
      </c>
      <c r="F28" s="122" t="s">
        <v>1256</v>
      </c>
      <c r="G28" s="851">
        <v>2019</v>
      </c>
      <c r="H28" s="122" t="s">
        <v>1262</v>
      </c>
      <c r="I28" s="106">
        <v>86256548</v>
      </c>
      <c r="J28" s="106">
        <v>3053243</v>
      </c>
      <c r="K28" s="132">
        <v>0</v>
      </c>
      <c r="L28" s="132">
        <v>0</v>
      </c>
      <c r="M28" s="132">
        <v>0</v>
      </c>
      <c r="N28" s="132">
        <v>0</v>
      </c>
      <c r="O28" s="132">
        <v>3088422</v>
      </c>
      <c r="P28" s="132">
        <v>0</v>
      </c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f t="shared" si="15"/>
        <v>3088422</v>
      </c>
      <c r="X28" s="132">
        <f t="shared" si="16"/>
        <v>3088422</v>
      </c>
      <c r="Y28" s="132">
        <f t="shared" si="17"/>
        <v>80114883</v>
      </c>
      <c r="Z28" s="102" t="s">
        <v>1263</v>
      </c>
    </row>
    <row r="29" spans="1:26" s="60" customFormat="1" ht="23.25" customHeight="1" outlineLevel="2">
      <c r="A29" s="101">
        <v>33125</v>
      </c>
      <c r="B29" s="102" t="s">
        <v>196</v>
      </c>
      <c r="C29" s="103">
        <v>40021393</v>
      </c>
      <c r="D29" s="104" t="s">
        <v>32</v>
      </c>
      <c r="E29" s="104" t="s">
        <v>42</v>
      </c>
      <c r="F29" s="122" t="s">
        <v>1249</v>
      </c>
      <c r="G29" s="851">
        <v>2020</v>
      </c>
      <c r="H29" s="122" t="s">
        <v>1264</v>
      </c>
      <c r="I29" s="106">
        <v>35132519</v>
      </c>
      <c r="J29" s="106">
        <v>0</v>
      </c>
      <c r="K29" s="106">
        <v>0</v>
      </c>
      <c r="L29" s="106">
        <v>0</v>
      </c>
      <c r="M29" s="106">
        <v>0</v>
      </c>
      <c r="N29" s="106">
        <v>0</v>
      </c>
      <c r="O29" s="106">
        <v>0</v>
      </c>
      <c r="P29" s="132">
        <v>0</v>
      </c>
      <c r="Q29" s="132">
        <v>0</v>
      </c>
      <c r="R29" s="106">
        <v>0</v>
      </c>
      <c r="S29" s="106">
        <v>0</v>
      </c>
      <c r="T29" s="106">
        <v>0</v>
      </c>
      <c r="U29" s="106">
        <v>0</v>
      </c>
      <c r="V29" s="106">
        <v>0</v>
      </c>
      <c r="W29" s="132">
        <f t="shared" si="15"/>
        <v>0</v>
      </c>
      <c r="X29" s="132">
        <f t="shared" si="16"/>
        <v>0</v>
      </c>
      <c r="Y29" s="132">
        <f t="shared" si="17"/>
        <v>35132519</v>
      </c>
      <c r="Z29" s="102" t="s">
        <v>1255</v>
      </c>
    </row>
    <row r="30" spans="1:26" s="60" customFormat="1" ht="23.25" customHeight="1" outlineLevel="2">
      <c r="A30" s="101">
        <v>33125</v>
      </c>
      <c r="B30" s="102" t="s">
        <v>196</v>
      </c>
      <c r="C30" s="103">
        <v>40021752</v>
      </c>
      <c r="D30" s="104" t="s">
        <v>32</v>
      </c>
      <c r="E30" s="104" t="s">
        <v>42</v>
      </c>
      <c r="F30" s="122" t="s">
        <v>1249</v>
      </c>
      <c r="G30" s="851">
        <v>2020</v>
      </c>
      <c r="H30" s="122" t="s">
        <v>1265</v>
      </c>
      <c r="I30" s="106">
        <v>91102237</v>
      </c>
      <c r="J30" s="106">
        <v>0</v>
      </c>
      <c r="K30" s="106">
        <v>0</v>
      </c>
      <c r="L30" s="106">
        <v>0</v>
      </c>
      <c r="M30" s="106">
        <v>0</v>
      </c>
      <c r="N30" s="106">
        <v>0</v>
      </c>
      <c r="O30" s="106">
        <v>0</v>
      </c>
      <c r="P30" s="132">
        <v>0</v>
      </c>
      <c r="Q30" s="132">
        <v>0</v>
      </c>
      <c r="R30" s="106">
        <v>0</v>
      </c>
      <c r="S30" s="106">
        <v>0</v>
      </c>
      <c r="T30" s="106">
        <v>0</v>
      </c>
      <c r="U30" s="106">
        <v>0</v>
      </c>
      <c r="V30" s="106">
        <v>0</v>
      </c>
      <c r="W30" s="132">
        <f t="shared" si="15"/>
        <v>0</v>
      </c>
      <c r="X30" s="132">
        <f t="shared" si="16"/>
        <v>0</v>
      </c>
      <c r="Y30" s="132">
        <f t="shared" si="17"/>
        <v>91102237</v>
      </c>
      <c r="Z30" s="102" t="s">
        <v>1255</v>
      </c>
    </row>
    <row r="31" spans="1:26" s="60" customFormat="1" ht="23.25" customHeight="1" outlineLevel="2">
      <c r="A31" s="101">
        <v>33125</v>
      </c>
      <c r="B31" s="102" t="s">
        <v>196</v>
      </c>
      <c r="C31" s="103">
        <v>40021747</v>
      </c>
      <c r="D31" s="104" t="s">
        <v>32</v>
      </c>
      <c r="E31" s="104" t="s">
        <v>42</v>
      </c>
      <c r="F31" s="122" t="s">
        <v>1266</v>
      </c>
      <c r="G31" s="851">
        <v>2020</v>
      </c>
      <c r="H31" s="122" t="s">
        <v>1267</v>
      </c>
      <c r="I31" s="106">
        <v>73765244</v>
      </c>
      <c r="J31" s="106">
        <v>0</v>
      </c>
      <c r="K31" s="106">
        <v>0</v>
      </c>
      <c r="L31" s="106">
        <v>0</v>
      </c>
      <c r="M31" s="106">
        <v>0</v>
      </c>
      <c r="N31" s="106">
        <v>0</v>
      </c>
      <c r="O31" s="106">
        <v>0</v>
      </c>
      <c r="P31" s="132">
        <v>0</v>
      </c>
      <c r="Q31" s="132">
        <v>0</v>
      </c>
      <c r="R31" s="106">
        <v>0</v>
      </c>
      <c r="S31" s="106">
        <v>0</v>
      </c>
      <c r="T31" s="106">
        <v>0</v>
      </c>
      <c r="U31" s="106">
        <v>0</v>
      </c>
      <c r="V31" s="106">
        <v>0</v>
      </c>
      <c r="W31" s="132">
        <f t="shared" si="15"/>
        <v>0</v>
      </c>
      <c r="X31" s="132">
        <f t="shared" si="16"/>
        <v>0</v>
      </c>
      <c r="Y31" s="132">
        <f t="shared" si="17"/>
        <v>73765244</v>
      </c>
      <c r="Z31" s="102" t="s">
        <v>1255</v>
      </c>
    </row>
    <row r="32" spans="1:26" s="60" customFormat="1" ht="23.25" customHeight="1" outlineLevel="2">
      <c r="A32" s="101">
        <v>33125</v>
      </c>
      <c r="B32" s="102" t="s">
        <v>128</v>
      </c>
      <c r="C32" s="103">
        <v>40015345</v>
      </c>
      <c r="D32" s="104" t="s">
        <v>32</v>
      </c>
      <c r="E32" s="104" t="s">
        <v>42</v>
      </c>
      <c r="F32" s="122" t="s">
        <v>1256</v>
      </c>
      <c r="G32" s="851">
        <v>2019</v>
      </c>
      <c r="H32" s="122" t="s">
        <v>1268</v>
      </c>
      <c r="I32" s="106">
        <v>95900000</v>
      </c>
      <c r="J32" s="106">
        <v>4179875</v>
      </c>
      <c r="K32" s="132">
        <v>0</v>
      </c>
      <c r="L32" s="132">
        <v>0</v>
      </c>
      <c r="M32" s="132">
        <v>0</v>
      </c>
      <c r="N32" s="132">
        <v>0</v>
      </c>
      <c r="O32" s="132">
        <v>3465607</v>
      </c>
      <c r="P32" s="132">
        <v>0</v>
      </c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f t="shared" si="15"/>
        <v>3465607</v>
      </c>
      <c r="X32" s="132">
        <f t="shared" si="16"/>
        <v>3465607</v>
      </c>
      <c r="Y32" s="132">
        <f t="shared" si="17"/>
        <v>88254518</v>
      </c>
      <c r="Z32" s="102" t="s">
        <v>1263</v>
      </c>
    </row>
    <row r="33" spans="1:26" s="62" customFormat="1" ht="23.25" customHeight="1" outlineLevel="2">
      <c r="A33" s="125"/>
      <c r="B33" s="126"/>
      <c r="C33" s="127"/>
      <c r="D33" s="128"/>
      <c r="E33" s="128"/>
      <c r="F33" s="897"/>
      <c r="G33" s="886"/>
      <c r="H33" s="109" t="s">
        <v>187</v>
      </c>
      <c r="I33" s="129">
        <f t="shared" ref="I33:N33" si="18">SUM(I27:I32)</f>
        <v>400000000</v>
      </c>
      <c r="J33" s="129">
        <f t="shared" si="18"/>
        <v>23264932</v>
      </c>
      <c r="K33" s="129">
        <f t="shared" si="18"/>
        <v>0</v>
      </c>
      <c r="L33" s="129">
        <f t="shared" si="18"/>
        <v>0</v>
      </c>
      <c r="M33" s="129">
        <f t="shared" si="18"/>
        <v>0</v>
      </c>
      <c r="N33" s="129">
        <f t="shared" si="18"/>
        <v>1280748</v>
      </c>
      <c r="O33" s="129">
        <v>6554029</v>
      </c>
      <c r="P33" s="129">
        <v>0</v>
      </c>
      <c r="Q33" s="129">
        <v>0</v>
      </c>
      <c r="R33" s="129">
        <f t="shared" ref="R33:Y33" si="19">SUM(R27:R32)</f>
        <v>0</v>
      </c>
      <c r="S33" s="129">
        <f t="shared" si="19"/>
        <v>0</v>
      </c>
      <c r="T33" s="129">
        <f t="shared" si="19"/>
        <v>0</v>
      </c>
      <c r="U33" s="129">
        <f t="shared" si="19"/>
        <v>0</v>
      </c>
      <c r="V33" s="129">
        <f t="shared" si="19"/>
        <v>0</v>
      </c>
      <c r="W33" s="129">
        <f t="shared" si="19"/>
        <v>7834777</v>
      </c>
      <c r="X33" s="129">
        <f t="shared" si="19"/>
        <v>7834777</v>
      </c>
      <c r="Y33" s="129">
        <f t="shared" si="19"/>
        <v>368900291</v>
      </c>
      <c r="Z33" s="137"/>
    </row>
    <row r="34" spans="1:26" s="59" customFormat="1" ht="15" customHeight="1" outlineLevel="1">
      <c r="A34" s="111"/>
      <c r="B34" s="112"/>
      <c r="C34" s="90"/>
      <c r="D34" s="113"/>
      <c r="E34" s="114"/>
      <c r="F34" s="113"/>
      <c r="G34" s="885"/>
      <c r="H34" s="115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35"/>
    </row>
    <row r="35" spans="1:26" s="59" customFormat="1" ht="23.25" outlineLevel="1">
      <c r="A35" s="111"/>
      <c r="B35" s="112"/>
      <c r="C35" s="90"/>
      <c r="D35" s="113"/>
      <c r="E35" s="114"/>
      <c r="F35" s="113"/>
      <c r="G35" s="885"/>
      <c r="H35" s="117" t="s">
        <v>267</v>
      </c>
      <c r="I35" s="118">
        <f>+I33</f>
        <v>400000000</v>
      </c>
      <c r="J35" s="118">
        <f t="shared" ref="J35:Y35" si="20">+J33</f>
        <v>23264932</v>
      </c>
      <c r="K35" s="118">
        <f t="shared" si="20"/>
        <v>0</v>
      </c>
      <c r="L35" s="118">
        <f t="shared" ref="L35:M35" si="21">+L33</f>
        <v>0</v>
      </c>
      <c r="M35" s="118">
        <f t="shared" si="21"/>
        <v>0</v>
      </c>
      <c r="N35" s="118">
        <v>1280748</v>
      </c>
      <c r="O35" s="118">
        <v>6554029</v>
      </c>
      <c r="P35" s="118">
        <v>0</v>
      </c>
      <c r="Q35" s="118">
        <v>0</v>
      </c>
      <c r="R35" s="118">
        <f t="shared" si="20"/>
        <v>0</v>
      </c>
      <c r="S35" s="118">
        <f t="shared" si="20"/>
        <v>0</v>
      </c>
      <c r="T35" s="118">
        <f t="shared" si="20"/>
        <v>0</v>
      </c>
      <c r="U35" s="118">
        <f t="shared" si="20"/>
        <v>0</v>
      </c>
      <c r="V35" s="118">
        <f t="shared" si="20"/>
        <v>0</v>
      </c>
      <c r="W35" s="118">
        <f t="shared" si="20"/>
        <v>7834777</v>
      </c>
      <c r="X35" s="118">
        <f t="shared" si="20"/>
        <v>7834777</v>
      </c>
      <c r="Y35" s="118">
        <f t="shared" si="20"/>
        <v>368900291</v>
      </c>
      <c r="Z35" s="135"/>
    </row>
    <row r="36" spans="1:26" s="63" customFormat="1" ht="15" customHeight="1" outlineLevel="1">
      <c r="A36" s="111"/>
      <c r="B36" s="112"/>
      <c r="C36" s="90"/>
      <c r="D36" s="113"/>
      <c r="E36" s="114"/>
      <c r="F36" s="113"/>
      <c r="G36" s="885"/>
      <c r="H36" s="119"/>
      <c r="I36" s="116"/>
      <c r="J36" s="116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16"/>
      <c r="Z36" s="135"/>
    </row>
    <row r="37" spans="1:26" s="59" customFormat="1" ht="23.25" outlineLevel="1">
      <c r="A37" s="88"/>
      <c r="B37" s="89"/>
      <c r="C37" s="90"/>
      <c r="D37" s="91"/>
      <c r="E37" s="92"/>
      <c r="F37" s="113"/>
      <c r="G37" s="883"/>
      <c r="H37" s="93" t="s">
        <v>268</v>
      </c>
      <c r="I37" s="94"/>
      <c r="J37" s="94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16"/>
      <c r="Z37" s="135"/>
    </row>
    <row r="38" spans="1:26" s="59" customFormat="1" ht="21" outlineLevel="1">
      <c r="A38" s="88"/>
      <c r="B38" s="89"/>
      <c r="C38" s="90"/>
      <c r="D38" s="91"/>
      <c r="E38" s="92"/>
      <c r="F38" s="113"/>
      <c r="G38" s="883"/>
      <c r="H38" s="99" t="s">
        <v>127</v>
      </c>
      <c r="I38" s="94"/>
      <c r="J38" s="94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16"/>
      <c r="Z38" s="138"/>
    </row>
    <row r="39" spans="1:26" s="60" customFormat="1" ht="23.25" customHeight="1" outlineLevel="2">
      <c r="A39" s="101">
        <v>33125</v>
      </c>
      <c r="B39" s="102" t="s">
        <v>128</v>
      </c>
      <c r="C39" s="103">
        <v>40015656</v>
      </c>
      <c r="D39" s="104" t="s">
        <v>32</v>
      </c>
      <c r="E39" s="104" t="s">
        <v>43</v>
      </c>
      <c r="F39" s="104" t="s">
        <v>1271</v>
      </c>
      <c r="G39" s="851">
        <v>2019</v>
      </c>
      <c r="H39" s="105" t="s">
        <v>1272</v>
      </c>
      <c r="I39" s="106">
        <v>96706000</v>
      </c>
      <c r="J39" s="106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2">
        <v>12767218</v>
      </c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f t="shared" ref="W39:W40" si="22">SUBTOTAL(9,K39:V39)</f>
        <v>12767218</v>
      </c>
      <c r="X39" s="132">
        <f t="shared" ref="X39:X40" si="23">+V39+U39+T39+S39+R39+Q39+P39+O39+N39+M39+L39+K39</f>
        <v>12767218</v>
      </c>
      <c r="Y39" s="132">
        <f t="shared" ref="Y39:Y40" si="24">+I39-J39-X39</f>
        <v>83938782</v>
      </c>
      <c r="Z39" s="102" t="s">
        <v>1247</v>
      </c>
    </row>
    <row r="40" spans="1:26" s="60" customFormat="1" ht="23.25" customHeight="1" outlineLevel="2">
      <c r="A40" s="101">
        <v>33125</v>
      </c>
      <c r="B40" s="102" t="s">
        <v>128</v>
      </c>
      <c r="C40" s="103">
        <v>40015657</v>
      </c>
      <c r="D40" s="104" t="s">
        <v>32</v>
      </c>
      <c r="E40" s="104" t="s">
        <v>43</v>
      </c>
      <c r="F40" s="104" t="s">
        <v>1245</v>
      </c>
      <c r="G40" s="851">
        <v>2019</v>
      </c>
      <c r="H40" s="105" t="s">
        <v>1273</v>
      </c>
      <c r="I40" s="106">
        <v>96706000</v>
      </c>
      <c r="J40" s="106">
        <v>0</v>
      </c>
      <c r="K40" s="132">
        <v>0</v>
      </c>
      <c r="L40" s="132">
        <v>29911133</v>
      </c>
      <c r="M40" s="132">
        <v>0</v>
      </c>
      <c r="N40" s="132">
        <v>24692135</v>
      </c>
      <c r="O40" s="132">
        <v>0</v>
      </c>
      <c r="P40" s="132">
        <v>42102732</v>
      </c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f t="shared" si="22"/>
        <v>96706000</v>
      </c>
      <c r="X40" s="132">
        <f t="shared" si="23"/>
        <v>96706000</v>
      </c>
      <c r="Y40" s="132">
        <f t="shared" si="24"/>
        <v>0</v>
      </c>
      <c r="Z40" s="102" t="s">
        <v>1247</v>
      </c>
    </row>
    <row r="41" spans="1:26" s="60" customFormat="1" ht="23.25" customHeight="1" outlineLevel="2">
      <c r="A41" s="101">
        <v>33125</v>
      </c>
      <c r="B41" s="102" t="s">
        <v>128</v>
      </c>
      <c r="C41" s="103">
        <v>40024066</v>
      </c>
      <c r="D41" s="104" t="s">
        <v>32</v>
      </c>
      <c r="E41" s="104" t="s">
        <v>43</v>
      </c>
      <c r="F41" s="104" t="s">
        <v>1683</v>
      </c>
      <c r="G41" s="851">
        <v>2020</v>
      </c>
      <c r="H41" s="105" t="s">
        <v>1692</v>
      </c>
      <c r="I41" s="106">
        <v>99306282</v>
      </c>
      <c r="J41" s="106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2">
        <v>0</v>
      </c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f t="shared" ref="W41" si="25">SUBTOTAL(9,K41:V41)</f>
        <v>0</v>
      </c>
      <c r="X41" s="132">
        <f t="shared" ref="X41" si="26">+V41+U41+T41+S41+R41+Q41+P41+O41+N41+M41+L41+K41</f>
        <v>0</v>
      </c>
      <c r="Y41" s="132">
        <f t="shared" ref="Y41" si="27">+I41-J41-X41</f>
        <v>99306282</v>
      </c>
      <c r="Z41" s="102" t="s">
        <v>1665</v>
      </c>
    </row>
    <row r="42" spans="1:26" s="62" customFormat="1" ht="23.25" customHeight="1" outlineLevel="2">
      <c r="A42" s="125"/>
      <c r="B42" s="126"/>
      <c r="C42" s="127"/>
      <c r="D42" s="128"/>
      <c r="E42" s="128"/>
      <c r="F42" s="897"/>
      <c r="G42" s="886"/>
      <c r="H42" s="109" t="s">
        <v>187</v>
      </c>
      <c r="I42" s="129">
        <f t="shared" ref="I42:X42" si="28">SUM(I39:I41)</f>
        <v>292718282</v>
      </c>
      <c r="J42" s="129">
        <f t="shared" si="28"/>
        <v>0</v>
      </c>
      <c r="K42" s="129">
        <f t="shared" si="28"/>
        <v>0</v>
      </c>
      <c r="L42" s="129">
        <f t="shared" si="28"/>
        <v>29911133</v>
      </c>
      <c r="M42" s="129">
        <f t="shared" si="28"/>
        <v>0</v>
      </c>
      <c r="N42" s="129">
        <f t="shared" si="28"/>
        <v>24692135</v>
      </c>
      <c r="O42" s="129">
        <f t="shared" si="28"/>
        <v>0</v>
      </c>
      <c r="P42" s="129">
        <f t="shared" si="28"/>
        <v>54869950</v>
      </c>
      <c r="Q42" s="129">
        <v>0</v>
      </c>
      <c r="R42" s="129">
        <f t="shared" si="28"/>
        <v>0</v>
      </c>
      <c r="S42" s="129">
        <f t="shared" si="28"/>
        <v>0</v>
      </c>
      <c r="T42" s="129">
        <f t="shared" si="28"/>
        <v>0</v>
      </c>
      <c r="U42" s="129">
        <f t="shared" si="28"/>
        <v>0</v>
      </c>
      <c r="V42" s="129">
        <f t="shared" si="28"/>
        <v>0</v>
      </c>
      <c r="W42" s="129">
        <f t="shared" si="28"/>
        <v>109473218</v>
      </c>
      <c r="X42" s="129">
        <f t="shared" si="28"/>
        <v>109473218</v>
      </c>
      <c r="Y42" s="129">
        <f>SUM(Y39:Y41)</f>
        <v>183245064</v>
      </c>
      <c r="Z42" s="137"/>
    </row>
    <row r="43" spans="1:26" s="59" customFormat="1" ht="15" customHeight="1" outlineLevel="1">
      <c r="A43" s="111"/>
      <c r="B43" s="112"/>
      <c r="C43" s="90"/>
      <c r="D43" s="113"/>
      <c r="E43" s="114"/>
      <c r="F43" s="113"/>
      <c r="G43" s="885"/>
      <c r="H43" s="115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35"/>
    </row>
    <row r="44" spans="1:26" s="59" customFormat="1" ht="23.25" outlineLevel="1">
      <c r="A44" s="111"/>
      <c r="B44" s="112"/>
      <c r="C44" s="90"/>
      <c r="D44" s="113"/>
      <c r="E44" s="114"/>
      <c r="F44" s="113"/>
      <c r="G44" s="885"/>
      <c r="H44" s="117" t="s">
        <v>291</v>
      </c>
      <c r="I44" s="118">
        <f>+I42</f>
        <v>292718282</v>
      </c>
      <c r="J44" s="118">
        <f t="shared" ref="J44:Y44" si="29">+J42</f>
        <v>0</v>
      </c>
      <c r="K44" s="118">
        <f t="shared" si="29"/>
        <v>0</v>
      </c>
      <c r="L44" s="118">
        <f t="shared" si="29"/>
        <v>29911133</v>
      </c>
      <c r="M44" s="118">
        <f t="shared" si="29"/>
        <v>0</v>
      </c>
      <c r="N44" s="118">
        <v>24692135</v>
      </c>
      <c r="O44" s="118">
        <v>0</v>
      </c>
      <c r="P44" s="118">
        <v>54869950</v>
      </c>
      <c r="Q44" s="118">
        <v>0</v>
      </c>
      <c r="R44" s="118">
        <f t="shared" si="29"/>
        <v>0</v>
      </c>
      <c r="S44" s="118">
        <f t="shared" si="29"/>
        <v>0</v>
      </c>
      <c r="T44" s="118">
        <f t="shared" si="29"/>
        <v>0</v>
      </c>
      <c r="U44" s="118">
        <f t="shared" si="29"/>
        <v>0</v>
      </c>
      <c r="V44" s="118">
        <f t="shared" si="29"/>
        <v>0</v>
      </c>
      <c r="W44" s="118">
        <f t="shared" si="29"/>
        <v>109473218</v>
      </c>
      <c r="X44" s="118">
        <f t="shared" si="29"/>
        <v>109473218</v>
      </c>
      <c r="Y44" s="118">
        <f t="shared" si="29"/>
        <v>183245064</v>
      </c>
      <c r="Z44" s="135"/>
    </row>
    <row r="45" spans="1:26" s="64" customFormat="1" ht="15" customHeight="1" outlineLevel="1">
      <c r="A45" s="88"/>
      <c r="B45" s="89"/>
      <c r="C45" s="90"/>
      <c r="D45" s="91"/>
      <c r="E45" s="92"/>
      <c r="F45" s="113"/>
      <c r="G45" s="883"/>
      <c r="H45" s="130"/>
      <c r="I45" s="94"/>
      <c r="J45" s="94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94"/>
      <c r="Z45" s="133"/>
    </row>
    <row r="46" spans="1:26" s="59" customFormat="1" ht="23.25" outlineLevel="1">
      <c r="A46" s="88"/>
      <c r="B46" s="89"/>
      <c r="C46" s="90"/>
      <c r="D46" s="91"/>
      <c r="E46" s="92"/>
      <c r="F46" s="113"/>
      <c r="G46" s="883"/>
      <c r="H46" s="93" t="s">
        <v>292</v>
      </c>
      <c r="I46" s="94"/>
      <c r="J46" s="94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94"/>
      <c r="Z46" s="133"/>
    </row>
    <row r="47" spans="1:26" s="59" customFormat="1" ht="21" outlineLevel="1">
      <c r="A47" s="88"/>
      <c r="B47" s="89"/>
      <c r="C47" s="90"/>
      <c r="D47" s="91"/>
      <c r="E47" s="92"/>
      <c r="F47" s="113"/>
      <c r="G47" s="883"/>
      <c r="H47" s="99" t="s">
        <v>127</v>
      </c>
      <c r="I47" s="94"/>
      <c r="J47" s="94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94"/>
      <c r="Z47" s="136"/>
    </row>
    <row r="48" spans="1:26" s="60" customFormat="1" ht="23.25" customHeight="1" outlineLevel="2">
      <c r="A48" s="101">
        <v>33125</v>
      </c>
      <c r="B48" s="102" t="s">
        <v>128</v>
      </c>
      <c r="C48" s="103">
        <v>40015652</v>
      </c>
      <c r="D48" s="104" t="s">
        <v>32</v>
      </c>
      <c r="E48" s="104" t="s">
        <v>44</v>
      </c>
      <c r="F48" s="104" t="s">
        <v>1271</v>
      </c>
      <c r="G48" s="851">
        <v>2019</v>
      </c>
      <c r="H48" s="122" t="s">
        <v>1275</v>
      </c>
      <c r="I48" s="106">
        <v>42000000</v>
      </c>
      <c r="J48" s="106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2">
        <v>0</v>
      </c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f t="shared" ref="W48:W51" si="30">SUBTOTAL(9,K48:V48)</f>
        <v>0</v>
      </c>
      <c r="X48" s="132">
        <f t="shared" ref="X48:X51" si="31">+V48+U48+T48+S48+R48+Q48+P48+O48+N48+M48+L48+K48</f>
        <v>0</v>
      </c>
      <c r="Y48" s="132">
        <f t="shared" ref="Y48:Y51" si="32">+I48-J48-X48</f>
        <v>42000000</v>
      </c>
      <c r="Z48" s="102" t="s">
        <v>1247</v>
      </c>
    </row>
    <row r="49" spans="1:26" s="60" customFormat="1" ht="23.25" customHeight="1" outlineLevel="2">
      <c r="A49" s="101">
        <v>33125</v>
      </c>
      <c r="B49" s="102" t="s">
        <v>128</v>
      </c>
      <c r="C49" s="103">
        <v>40015650</v>
      </c>
      <c r="D49" s="104" t="s">
        <v>32</v>
      </c>
      <c r="E49" s="104" t="s">
        <v>44</v>
      </c>
      <c r="F49" s="104" t="s">
        <v>1245</v>
      </c>
      <c r="G49" s="851">
        <v>2019</v>
      </c>
      <c r="H49" s="122" t="s">
        <v>1276</v>
      </c>
      <c r="I49" s="106">
        <v>68000000</v>
      </c>
      <c r="J49" s="106">
        <v>10297110</v>
      </c>
      <c r="K49" s="132">
        <v>0</v>
      </c>
      <c r="L49" s="132">
        <v>0</v>
      </c>
      <c r="M49" s="132">
        <v>31739480</v>
      </c>
      <c r="N49" s="132">
        <v>0</v>
      </c>
      <c r="O49" s="132">
        <v>0</v>
      </c>
      <c r="P49" s="132">
        <v>23878410</v>
      </c>
      <c r="Q49" s="132">
        <v>0</v>
      </c>
      <c r="R49" s="132">
        <v>0</v>
      </c>
      <c r="S49" s="132">
        <v>0</v>
      </c>
      <c r="T49" s="132">
        <v>0</v>
      </c>
      <c r="U49" s="132">
        <v>0</v>
      </c>
      <c r="V49" s="132">
        <v>0</v>
      </c>
      <c r="W49" s="132">
        <f t="shared" si="30"/>
        <v>55617890</v>
      </c>
      <c r="X49" s="132">
        <f t="shared" si="31"/>
        <v>55617890</v>
      </c>
      <c r="Y49" s="132">
        <f t="shared" si="32"/>
        <v>2085000</v>
      </c>
      <c r="Z49" s="102" t="s">
        <v>1247</v>
      </c>
    </row>
    <row r="50" spans="1:26" s="60" customFormat="1" ht="23.25" customHeight="1" outlineLevel="2">
      <c r="A50" s="101">
        <v>33125</v>
      </c>
      <c r="B50" s="102" t="s">
        <v>128</v>
      </c>
      <c r="C50" s="103">
        <v>40015642</v>
      </c>
      <c r="D50" s="104" t="s">
        <v>32</v>
      </c>
      <c r="E50" s="104" t="s">
        <v>44</v>
      </c>
      <c r="F50" s="104" t="s">
        <v>1245</v>
      </c>
      <c r="G50" s="851">
        <v>2019</v>
      </c>
      <c r="H50" s="122" t="s">
        <v>1277</v>
      </c>
      <c r="I50" s="106">
        <v>48000000</v>
      </c>
      <c r="J50" s="106">
        <v>0</v>
      </c>
      <c r="K50" s="132">
        <v>0</v>
      </c>
      <c r="L50" s="132">
        <v>0</v>
      </c>
      <c r="M50" s="132">
        <v>38343150</v>
      </c>
      <c r="N50" s="132">
        <v>0</v>
      </c>
      <c r="O50" s="132">
        <v>0</v>
      </c>
      <c r="P50" s="132">
        <v>0</v>
      </c>
      <c r="Q50" s="132">
        <v>24259524</v>
      </c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f t="shared" si="30"/>
        <v>62602674</v>
      </c>
      <c r="X50" s="132">
        <f t="shared" si="31"/>
        <v>62602674</v>
      </c>
      <c r="Y50" s="132">
        <f t="shared" si="32"/>
        <v>-14602674</v>
      </c>
      <c r="Z50" s="102" t="s">
        <v>1247</v>
      </c>
    </row>
    <row r="51" spans="1:26" s="60" customFormat="1" ht="23.25" customHeight="1" outlineLevel="2">
      <c r="A51" s="101">
        <v>33125</v>
      </c>
      <c r="B51" s="102" t="s">
        <v>128</v>
      </c>
      <c r="C51" s="103">
        <v>40015651</v>
      </c>
      <c r="D51" s="104" t="s">
        <v>32</v>
      </c>
      <c r="E51" s="104" t="s">
        <v>44</v>
      </c>
      <c r="F51" s="104" t="s">
        <v>1245</v>
      </c>
      <c r="G51" s="851">
        <v>2019</v>
      </c>
      <c r="H51" s="122" t="s">
        <v>1278</v>
      </c>
      <c r="I51" s="106">
        <v>42000000</v>
      </c>
      <c r="J51" s="106">
        <v>0</v>
      </c>
      <c r="K51" s="132">
        <v>0</v>
      </c>
      <c r="L51" s="132">
        <v>0</v>
      </c>
      <c r="M51" s="132">
        <v>40529802</v>
      </c>
      <c r="N51" s="132">
        <v>0</v>
      </c>
      <c r="O51" s="132">
        <v>0</v>
      </c>
      <c r="P51" s="132">
        <v>21109344</v>
      </c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f t="shared" si="30"/>
        <v>61639146</v>
      </c>
      <c r="X51" s="132">
        <f t="shared" si="31"/>
        <v>61639146</v>
      </c>
      <c r="Y51" s="132">
        <f t="shared" si="32"/>
        <v>-19639146</v>
      </c>
      <c r="Z51" s="102" t="s">
        <v>1247</v>
      </c>
    </row>
    <row r="52" spans="1:26" s="60" customFormat="1" ht="23.25" customHeight="1" outlineLevel="2">
      <c r="A52" s="101">
        <v>33125</v>
      </c>
      <c r="B52" s="102" t="s">
        <v>128</v>
      </c>
      <c r="C52" s="103">
        <v>40022834</v>
      </c>
      <c r="D52" s="104" t="s">
        <v>32</v>
      </c>
      <c r="E52" s="104" t="s">
        <v>44</v>
      </c>
      <c r="F52" s="104" t="s">
        <v>1658</v>
      </c>
      <c r="G52" s="851">
        <v>2020</v>
      </c>
      <c r="H52" s="122" t="s">
        <v>1672</v>
      </c>
      <c r="I52" s="106">
        <v>99346000</v>
      </c>
      <c r="J52" s="106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2">
        <v>0</v>
      </c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f t="shared" ref="W52" si="33">SUBTOTAL(9,K52:V52)</f>
        <v>0</v>
      </c>
      <c r="X52" s="132">
        <f t="shared" ref="X52" si="34">+V52+U52+T52+S52+R52+Q52+P52+O52+N52+M52+L52+K52</f>
        <v>0</v>
      </c>
      <c r="Y52" s="132">
        <f t="shared" ref="Y52" si="35">+I52-J52-X52</f>
        <v>99346000</v>
      </c>
      <c r="Z52" s="102" t="s">
        <v>1255</v>
      </c>
    </row>
    <row r="53" spans="1:26" s="62" customFormat="1" ht="23.25" customHeight="1" outlineLevel="2">
      <c r="A53" s="125"/>
      <c r="B53" s="126"/>
      <c r="C53" s="127"/>
      <c r="D53" s="128"/>
      <c r="E53" s="128"/>
      <c r="F53" s="897"/>
      <c r="G53" s="886"/>
      <c r="H53" s="109" t="s">
        <v>187</v>
      </c>
      <c r="I53" s="129">
        <f>SUM(I48:I52)</f>
        <v>299346000</v>
      </c>
      <c r="J53" s="129">
        <f t="shared" ref="J53:Y53" si="36">SUM(J48:J52)</f>
        <v>10297110</v>
      </c>
      <c r="K53" s="129">
        <f t="shared" si="36"/>
        <v>0</v>
      </c>
      <c r="L53" s="129">
        <f t="shared" si="36"/>
        <v>0</v>
      </c>
      <c r="M53" s="129">
        <f t="shared" si="36"/>
        <v>110612432</v>
      </c>
      <c r="N53" s="129">
        <f t="shared" si="36"/>
        <v>0</v>
      </c>
      <c r="O53" s="129">
        <f t="shared" si="36"/>
        <v>0</v>
      </c>
      <c r="P53" s="129">
        <f t="shared" ref="P53:Q53" si="37">SUM(P48:P52)</f>
        <v>44987754</v>
      </c>
      <c r="Q53" s="129">
        <f t="shared" si="37"/>
        <v>24259524</v>
      </c>
      <c r="R53" s="129">
        <f t="shared" si="36"/>
        <v>0</v>
      </c>
      <c r="S53" s="129">
        <f t="shared" si="36"/>
        <v>0</v>
      </c>
      <c r="T53" s="129">
        <f t="shared" si="36"/>
        <v>0</v>
      </c>
      <c r="U53" s="129">
        <f t="shared" si="36"/>
        <v>0</v>
      </c>
      <c r="V53" s="129">
        <f t="shared" si="36"/>
        <v>0</v>
      </c>
      <c r="W53" s="129">
        <f t="shared" si="36"/>
        <v>179859710</v>
      </c>
      <c r="X53" s="129">
        <f t="shared" si="36"/>
        <v>179859710</v>
      </c>
      <c r="Y53" s="129">
        <f t="shared" si="36"/>
        <v>109189180</v>
      </c>
      <c r="Z53" s="137"/>
    </row>
    <row r="54" spans="1:26" s="59" customFormat="1" ht="15" customHeight="1" outlineLevel="1">
      <c r="A54" s="111"/>
      <c r="B54" s="112"/>
      <c r="C54" s="90"/>
      <c r="D54" s="113"/>
      <c r="E54" s="114"/>
      <c r="F54" s="113"/>
      <c r="G54" s="885"/>
      <c r="H54" s="115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35"/>
    </row>
    <row r="55" spans="1:26" s="59" customFormat="1" ht="23.25" outlineLevel="1">
      <c r="A55" s="111"/>
      <c r="B55" s="112"/>
      <c r="C55" s="90"/>
      <c r="D55" s="113"/>
      <c r="E55" s="114"/>
      <c r="F55" s="113"/>
      <c r="G55" s="885"/>
      <c r="H55" s="117" t="s">
        <v>305</v>
      </c>
      <c r="I55" s="118">
        <f>+I53</f>
        <v>299346000</v>
      </c>
      <c r="J55" s="118">
        <f t="shared" ref="J55:Y55" si="38">+J53</f>
        <v>10297110</v>
      </c>
      <c r="K55" s="118">
        <f t="shared" si="38"/>
        <v>0</v>
      </c>
      <c r="L55" s="118">
        <f t="shared" ref="L55:M55" si="39">+L53</f>
        <v>0</v>
      </c>
      <c r="M55" s="118">
        <f t="shared" si="39"/>
        <v>110612432</v>
      </c>
      <c r="N55" s="118">
        <v>0</v>
      </c>
      <c r="O55" s="118">
        <v>0</v>
      </c>
      <c r="P55" s="118">
        <f t="shared" ref="P55:Q55" si="40">+P53</f>
        <v>44987754</v>
      </c>
      <c r="Q55" s="118">
        <f t="shared" si="40"/>
        <v>24259524</v>
      </c>
      <c r="R55" s="118">
        <f t="shared" si="38"/>
        <v>0</v>
      </c>
      <c r="S55" s="118">
        <f t="shared" si="38"/>
        <v>0</v>
      </c>
      <c r="T55" s="118">
        <f t="shared" si="38"/>
        <v>0</v>
      </c>
      <c r="U55" s="118">
        <f t="shared" si="38"/>
        <v>0</v>
      </c>
      <c r="V55" s="118">
        <f t="shared" si="38"/>
        <v>0</v>
      </c>
      <c r="W55" s="118">
        <f t="shared" si="38"/>
        <v>179859710</v>
      </c>
      <c r="X55" s="118">
        <f t="shared" si="38"/>
        <v>179859710</v>
      </c>
      <c r="Y55" s="118">
        <f t="shared" si="38"/>
        <v>109189180</v>
      </c>
      <c r="Z55" s="135"/>
    </row>
    <row r="56" spans="1:26" s="64" customFormat="1" ht="15" customHeight="1" outlineLevel="1">
      <c r="A56" s="88"/>
      <c r="B56" s="89"/>
      <c r="C56" s="90"/>
      <c r="D56" s="91"/>
      <c r="E56" s="92"/>
      <c r="F56" s="113"/>
      <c r="G56" s="883"/>
      <c r="H56" s="130"/>
      <c r="I56" s="94"/>
      <c r="J56" s="94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94"/>
      <c r="Z56" s="133"/>
    </row>
    <row r="57" spans="1:26" s="59" customFormat="1" ht="23.25" outlineLevel="1">
      <c r="A57" s="88"/>
      <c r="B57" s="89"/>
      <c r="C57" s="90"/>
      <c r="D57" s="91"/>
      <c r="E57" s="92"/>
      <c r="F57" s="113"/>
      <c r="G57" s="883"/>
      <c r="H57" s="93" t="s">
        <v>306</v>
      </c>
      <c r="I57" s="94"/>
      <c r="J57" s="94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94"/>
      <c r="Z57" s="133"/>
    </row>
    <row r="58" spans="1:26" s="59" customFormat="1" ht="21" outlineLevel="1">
      <c r="A58" s="88"/>
      <c r="B58" s="89"/>
      <c r="C58" s="90"/>
      <c r="D58" s="91"/>
      <c r="E58" s="92"/>
      <c r="F58" s="113"/>
      <c r="G58" s="883"/>
      <c r="H58" s="99" t="s">
        <v>127</v>
      </c>
      <c r="I58" s="94"/>
      <c r="J58" s="94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94"/>
      <c r="Z58" s="136"/>
    </row>
    <row r="59" spans="1:26" s="60" customFormat="1" ht="23.25" customHeight="1" outlineLevel="2">
      <c r="A59" s="101">
        <v>33125</v>
      </c>
      <c r="B59" s="102" t="s">
        <v>128</v>
      </c>
      <c r="C59" s="103">
        <v>40014738</v>
      </c>
      <c r="D59" s="104" t="s">
        <v>32</v>
      </c>
      <c r="E59" s="104" t="s">
        <v>45</v>
      </c>
      <c r="F59" s="104" t="s">
        <v>1245</v>
      </c>
      <c r="G59" s="851">
        <v>2019</v>
      </c>
      <c r="H59" s="105" t="s">
        <v>1280</v>
      </c>
      <c r="I59" s="106">
        <v>73368120</v>
      </c>
      <c r="J59" s="106">
        <v>8741584</v>
      </c>
      <c r="K59" s="132">
        <v>0</v>
      </c>
      <c r="L59" s="132">
        <v>13435134</v>
      </c>
      <c r="M59" s="132">
        <v>0</v>
      </c>
      <c r="N59" s="132">
        <v>0</v>
      </c>
      <c r="O59" s="132">
        <v>0</v>
      </c>
      <c r="P59" s="132">
        <v>23293344</v>
      </c>
      <c r="Q59" s="132">
        <v>7574094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f t="shared" ref="W59:W63" si="41">SUBTOTAL(9,K59:V59)</f>
        <v>44302572</v>
      </c>
      <c r="X59" s="132">
        <f t="shared" ref="X59:X63" si="42">+V59+U59+T59+S59+R59+Q59+P59+O59+N59+M59+L59+K59</f>
        <v>44302572</v>
      </c>
      <c r="Y59" s="132">
        <f t="shared" ref="Y59:Y63" si="43">+I59-J59-X59</f>
        <v>20323964</v>
      </c>
      <c r="Z59" s="102" t="s">
        <v>1247</v>
      </c>
    </row>
    <row r="60" spans="1:26" s="60" customFormat="1" ht="23.25" customHeight="1" outlineLevel="2">
      <c r="A60" s="101">
        <v>33125</v>
      </c>
      <c r="B60" s="102" t="s">
        <v>128</v>
      </c>
      <c r="C60" s="103">
        <v>40014693</v>
      </c>
      <c r="D60" s="104" t="s">
        <v>32</v>
      </c>
      <c r="E60" s="104" t="s">
        <v>45</v>
      </c>
      <c r="F60" s="104" t="s">
        <v>1245</v>
      </c>
      <c r="G60" s="851">
        <v>2019</v>
      </c>
      <c r="H60" s="105" t="s">
        <v>1281</v>
      </c>
      <c r="I60" s="106">
        <v>29925880</v>
      </c>
      <c r="J60" s="106">
        <v>7214258</v>
      </c>
      <c r="K60" s="132">
        <v>0</v>
      </c>
      <c r="L60" s="132">
        <v>13518974</v>
      </c>
      <c r="M60" s="132">
        <v>0</v>
      </c>
      <c r="N60" s="132">
        <v>9053503</v>
      </c>
      <c r="O60" s="132">
        <v>0</v>
      </c>
      <c r="P60" s="132">
        <v>0</v>
      </c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f t="shared" si="41"/>
        <v>22572477</v>
      </c>
      <c r="X60" s="132">
        <f t="shared" si="42"/>
        <v>22572477</v>
      </c>
      <c r="Y60" s="132">
        <f t="shared" si="43"/>
        <v>139145</v>
      </c>
      <c r="Z60" s="102" t="s">
        <v>1247</v>
      </c>
    </row>
    <row r="61" spans="1:26" s="60" customFormat="1" ht="23.25" customHeight="1" outlineLevel="2">
      <c r="A61" s="101">
        <v>33125</v>
      </c>
      <c r="B61" s="102" t="s">
        <v>128</v>
      </c>
      <c r="C61" s="103">
        <v>40015378</v>
      </c>
      <c r="D61" s="104" t="s">
        <v>32</v>
      </c>
      <c r="E61" s="104" t="s">
        <v>45</v>
      </c>
      <c r="F61" s="104" t="s">
        <v>1245</v>
      </c>
      <c r="G61" s="851">
        <v>2019</v>
      </c>
      <c r="H61" s="105" t="s">
        <v>1282</v>
      </c>
      <c r="I61" s="106">
        <v>96706000</v>
      </c>
      <c r="J61" s="106">
        <v>12791175</v>
      </c>
      <c r="K61" s="132">
        <v>0</v>
      </c>
      <c r="L61" s="132">
        <v>0</v>
      </c>
      <c r="M61" s="132">
        <v>0</v>
      </c>
      <c r="N61" s="132">
        <v>53105862</v>
      </c>
      <c r="O61" s="132">
        <v>0</v>
      </c>
      <c r="P61" s="132">
        <v>0</v>
      </c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f t="shared" si="41"/>
        <v>53105862</v>
      </c>
      <c r="X61" s="132">
        <f t="shared" si="42"/>
        <v>53105862</v>
      </c>
      <c r="Y61" s="132">
        <f t="shared" si="43"/>
        <v>30808963</v>
      </c>
      <c r="Z61" s="102" t="s">
        <v>1247</v>
      </c>
    </row>
    <row r="62" spans="1:26" s="60" customFormat="1" ht="23.25" customHeight="1" outlineLevel="2">
      <c r="A62" s="101">
        <v>33125</v>
      </c>
      <c r="B62" s="102" t="s">
        <v>128</v>
      </c>
      <c r="C62" s="103">
        <v>40022661</v>
      </c>
      <c r="D62" s="104" t="s">
        <v>32</v>
      </c>
      <c r="E62" s="104" t="s">
        <v>45</v>
      </c>
      <c r="F62" s="104" t="s">
        <v>1671</v>
      </c>
      <c r="G62" s="851">
        <v>2020</v>
      </c>
      <c r="H62" s="105" t="s">
        <v>1664</v>
      </c>
      <c r="I62" s="106">
        <v>25531025</v>
      </c>
      <c r="J62" s="106">
        <v>0</v>
      </c>
      <c r="K62" s="132">
        <v>0</v>
      </c>
      <c r="L62" s="132">
        <v>0</v>
      </c>
      <c r="M62" s="132">
        <v>0</v>
      </c>
      <c r="N62" s="132">
        <v>0</v>
      </c>
      <c r="O62" s="132">
        <v>0</v>
      </c>
      <c r="P62" s="132">
        <v>0</v>
      </c>
      <c r="Q62" s="132">
        <v>0</v>
      </c>
      <c r="R62" s="132">
        <v>0</v>
      </c>
      <c r="S62" s="132">
        <v>0</v>
      </c>
      <c r="T62" s="132">
        <v>0</v>
      </c>
      <c r="U62" s="132">
        <v>0</v>
      </c>
      <c r="V62" s="132">
        <v>0</v>
      </c>
      <c r="W62" s="132">
        <f t="shared" ref="W62" si="44">SUBTOTAL(9,K62:V62)</f>
        <v>0</v>
      </c>
      <c r="X62" s="132">
        <f t="shared" ref="X62" si="45">+V62+U62+T62+S62+R62+Q62+P62+O62+N62+M62+L62+K62</f>
        <v>0</v>
      </c>
      <c r="Y62" s="132">
        <f t="shared" ref="Y62" si="46">+I62-J62-X62</f>
        <v>25531025</v>
      </c>
      <c r="Z62" s="102" t="s">
        <v>1665</v>
      </c>
    </row>
    <row r="63" spans="1:26" s="60" customFormat="1" ht="23.25" customHeight="1" outlineLevel="2">
      <c r="A63" s="101">
        <v>33125</v>
      </c>
      <c r="B63" s="102" t="s">
        <v>128</v>
      </c>
      <c r="C63" s="103">
        <v>40019254</v>
      </c>
      <c r="D63" s="104" t="s">
        <v>32</v>
      </c>
      <c r="E63" s="104" t="s">
        <v>45</v>
      </c>
      <c r="F63" s="104" t="s">
        <v>1658</v>
      </c>
      <c r="G63" s="851">
        <v>2020</v>
      </c>
      <c r="H63" s="105" t="s">
        <v>1666</v>
      </c>
      <c r="I63" s="106">
        <v>96885590</v>
      </c>
      <c r="J63" s="106">
        <v>0</v>
      </c>
      <c r="K63" s="132">
        <v>0</v>
      </c>
      <c r="L63" s="132">
        <v>0</v>
      </c>
      <c r="M63" s="132">
        <v>0</v>
      </c>
      <c r="N63" s="132">
        <v>0</v>
      </c>
      <c r="O63" s="132">
        <v>0</v>
      </c>
      <c r="P63" s="132">
        <v>0</v>
      </c>
      <c r="Q63" s="132">
        <v>0</v>
      </c>
      <c r="R63" s="132">
        <v>0</v>
      </c>
      <c r="S63" s="132">
        <v>0</v>
      </c>
      <c r="T63" s="132">
        <v>0</v>
      </c>
      <c r="U63" s="132">
        <v>0</v>
      </c>
      <c r="V63" s="132">
        <v>0</v>
      </c>
      <c r="W63" s="132">
        <f t="shared" si="41"/>
        <v>0</v>
      </c>
      <c r="X63" s="132">
        <f t="shared" si="42"/>
        <v>0</v>
      </c>
      <c r="Y63" s="132">
        <f t="shared" si="43"/>
        <v>96885590</v>
      </c>
      <c r="Z63" s="102" t="s">
        <v>1255</v>
      </c>
    </row>
    <row r="64" spans="1:26" s="60" customFormat="1" ht="23.25" customHeight="1" outlineLevel="2">
      <c r="A64" s="101">
        <v>33125</v>
      </c>
      <c r="B64" s="102" t="s">
        <v>128</v>
      </c>
      <c r="C64" s="103">
        <v>40022728</v>
      </c>
      <c r="D64" s="104" t="s">
        <v>32</v>
      </c>
      <c r="E64" s="104" t="s">
        <v>45</v>
      </c>
      <c r="F64" s="104" t="s">
        <v>1658</v>
      </c>
      <c r="G64" s="851">
        <v>2020</v>
      </c>
      <c r="H64" s="105" t="s">
        <v>1667</v>
      </c>
      <c r="I64" s="106">
        <v>77583385</v>
      </c>
      <c r="J64" s="106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2">
        <v>0</v>
      </c>
      <c r="Q64" s="132">
        <v>0</v>
      </c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f t="shared" ref="W64" si="47">SUBTOTAL(9,K64:V64)</f>
        <v>0</v>
      </c>
      <c r="X64" s="132">
        <f t="shared" ref="X64" si="48">+V64+U64+T64+S64+R64+Q64+P64+O64+N64+M64+L64+K64</f>
        <v>0</v>
      </c>
      <c r="Y64" s="132">
        <f t="shared" ref="Y64" si="49">+I64-J64-X64</f>
        <v>77583385</v>
      </c>
      <c r="Z64" s="102" t="s">
        <v>1255</v>
      </c>
    </row>
    <row r="65" spans="1:26" s="62" customFormat="1" ht="23.25" customHeight="1" outlineLevel="2">
      <c r="A65" s="125"/>
      <c r="B65" s="126"/>
      <c r="C65" s="127"/>
      <c r="D65" s="128"/>
      <c r="E65" s="128"/>
      <c r="F65" s="897"/>
      <c r="G65" s="886"/>
      <c r="H65" s="109" t="s">
        <v>187</v>
      </c>
      <c r="I65" s="129">
        <f>SUM(I59:I64)</f>
        <v>400000000</v>
      </c>
      <c r="J65" s="129">
        <f t="shared" ref="J65:Y65" si="50">SUM(J59:J64)</f>
        <v>28747017</v>
      </c>
      <c r="K65" s="129">
        <f t="shared" si="50"/>
        <v>0</v>
      </c>
      <c r="L65" s="129">
        <f t="shared" si="50"/>
        <v>26954108</v>
      </c>
      <c r="M65" s="129">
        <f t="shared" si="50"/>
        <v>0</v>
      </c>
      <c r="N65" s="129">
        <f t="shared" si="50"/>
        <v>62159365</v>
      </c>
      <c r="O65" s="129">
        <f t="shared" si="50"/>
        <v>0</v>
      </c>
      <c r="P65" s="129">
        <f t="shared" ref="P65:Q65" si="51">SUM(P59:P64)</f>
        <v>23293344</v>
      </c>
      <c r="Q65" s="129">
        <f t="shared" si="51"/>
        <v>7574094</v>
      </c>
      <c r="R65" s="129">
        <f t="shared" si="50"/>
        <v>0</v>
      </c>
      <c r="S65" s="129">
        <f t="shared" si="50"/>
        <v>0</v>
      </c>
      <c r="T65" s="129">
        <f t="shared" si="50"/>
        <v>0</v>
      </c>
      <c r="U65" s="129">
        <f t="shared" si="50"/>
        <v>0</v>
      </c>
      <c r="V65" s="129">
        <f t="shared" si="50"/>
        <v>0</v>
      </c>
      <c r="W65" s="129">
        <f t="shared" si="50"/>
        <v>119980911</v>
      </c>
      <c r="X65" s="129">
        <f t="shared" si="50"/>
        <v>119980911</v>
      </c>
      <c r="Y65" s="129">
        <f t="shared" si="50"/>
        <v>251272072</v>
      </c>
      <c r="Z65" s="137"/>
    </row>
    <row r="66" spans="1:26" s="59" customFormat="1" ht="15" customHeight="1" outlineLevel="1">
      <c r="A66" s="111"/>
      <c r="B66" s="112"/>
      <c r="C66" s="90"/>
      <c r="D66" s="113"/>
      <c r="E66" s="114"/>
      <c r="F66" s="113"/>
      <c r="G66" s="885"/>
      <c r="H66" s="115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35"/>
    </row>
    <row r="67" spans="1:26" s="59" customFormat="1" ht="23.25" outlineLevel="1">
      <c r="A67" s="111"/>
      <c r="B67" s="112"/>
      <c r="C67" s="90"/>
      <c r="D67" s="113"/>
      <c r="E67" s="114"/>
      <c r="F67" s="113"/>
      <c r="G67" s="885"/>
      <c r="H67" s="117" t="s">
        <v>315</v>
      </c>
      <c r="I67" s="118">
        <f>+I65</f>
        <v>400000000</v>
      </c>
      <c r="J67" s="118">
        <f t="shared" ref="J67:Y67" si="52">+J65</f>
        <v>28747017</v>
      </c>
      <c r="K67" s="118">
        <f t="shared" si="52"/>
        <v>0</v>
      </c>
      <c r="L67" s="118">
        <f t="shared" ref="L67:M67" si="53">+L65</f>
        <v>26954108</v>
      </c>
      <c r="M67" s="118">
        <f t="shared" si="53"/>
        <v>0</v>
      </c>
      <c r="N67" s="118">
        <v>62159365</v>
      </c>
      <c r="O67" s="118">
        <v>0</v>
      </c>
      <c r="P67" s="118">
        <f t="shared" ref="P67:Q67" si="54">+P65</f>
        <v>23293344</v>
      </c>
      <c r="Q67" s="118">
        <f t="shared" si="54"/>
        <v>7574094</v>
      </c>
      <c r="R67" s="118">
        <f t="shared" si="52"/>
        <v>0</v>
      </c>
      <c r="S67" s="118">
        <f t="shared" si="52"/>
        <v>0</v>
      </c>
      <c r="T67" s="118">
        <f t="shared" si="52"/>
        <v>0</v>
      </c>
      <c r="U67" s="118">
        <f t="shared" si="52"/>
        <v>0</v>
      </c>
      <c r="V67" s="118">
        <f t="shared" si="52"/>
        <v>0</v>
      </c>
      <c r="W67" s="118">
        <f t="shared" si="52"/>
        <v>119980911</v>
      </c>
      <c r="X67" s="118">
        <f t="shared" si="52"/>
        <v>119980911</v>
      </c>
      <c r="Y67" s="118">
        <f t="shared" si="52"/>
        <v>251272072</v>
      </c>
      <c r="Z67" s="135"/>
    </row>
    <row r="68" spans="1:26" s="64" customFormat="1" ht="15" customHeight="1" outlineLevel="1">
      <c r="A68" s="88"/>
      <c r="B68" s="89"/>
      <c r="C68" s="90"/>
      <c r="D68" s="91"/>
      <c r="E68" s="92"/>
      <c r="F68" s="113"/>
      <c r="G68" s="883"/>
      <c r="H68" s="130"/>
      <c r="I68" s="94"/>
      <c r="J68" s="94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94"/>
      <c r="Z68" s="133"/>
    </row>
    <row r="69" spans="1:26" s="59" customFormat="1" ht="23.25" outlineLevel="1">
      <c r="A69" s="88"/>
      <c r="B69" s="89"/>
      <c r="C69" s="90"/>
      <c r="D69" s="91"/>
      <c r="E69" s="92"/>
      <c r="F69" s="113"/>
      <c r="G69" s="883"/>
      <c r="H69" s="93" t="s">
        <v>316</v>
      </c>
      <c r="I69" s="94"/>
      <c r="J69" s="94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94"/>
      <c r="Z69" s="133"/>
    </row>
    <row r="70" spans="1:26" s="59" customFormat="1" ht="21" outlineLevel="1">
      <c r="A70" s="88"/>
      <c r="B70" s="89"/>
      <c r="C70" s="90"/>
      <c r="D70" s="91"/>
      <c r="E70" s="92"/>
      <c r="F70" s="113"/>
      <c r="G70" s="883"/>
      <c r="H70" s="99" t="s">
        <v>127</v>
      </c>
      <c r="I70" s="94"/>
      <c r="J70" s="94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94"/>
      <c r="Z70" s="136"/>
    </row>
    <row r="71" spans="1:26" s="60" customFormat="1" ht="23.25" customHeight="1" outlineLevel="2">
      <c r="A71" s="101">
        <v>33125</v>
      </c>
      <c r="B71" s="102" t="s">
        <v>128</v>
      </c>
      <c r="C71" s="120">
        <v>40015496</v>
      </c>
      <c r="D71" s="104" t="s">
        <v>32</v>
      </c>
      <c r="E71" s="104" t="s">
        <v>46</v>
      </c>
      <c r="F71" s="122" t="s">
        <v>1256</v>
      </c>
      <c r="G71" s="851">
        <v>2019</v>
      </c>
      <c r="H71" s="122" t="s">
        <v>1283</v>
      </c>
      <c r="I71" s="106">
        <v>80000000</v>
      </c>
      <c r="J71" s="106">
        <v>47885303</v>
      </c>
      <c r="K71" s="132">
        <v>0</v>
      </c>
      <c r="L71" s="132">
        <v>19770437</v>
      </c>
      <c r="M71" s="132">
        <v>0</v>
      </c>
      <c r="N71" s="132">
        <v>12289576</v>
      </c>
      <c r="O71" s="132">
        <v>0</v>
      </c>
      <c r="P71" s="132">
        <v>0</v>
      </c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f t="shared" ref="W71:W75" si="55">SUBTOTAL(9,K71:V71)</f>
        <v>32060013</v>
      </c>
      <c r="X71" s="132">
        <f t="shared" ref="X71:X75" si="56">+V71+U71+T71+S71+R71+Q71+P71+O71+N71+M71+L71+K71</f>
        <v>32060013</v>
      </c>
      <c r="Y71" s="132">
        <f t="shared" ref="Y71:Y75" si="57">+I71-J71-X71</f>
        <v>54684</v>
      </c>
      <c r="Z71" s="102" t="s">
        <v>1247</v>
      </c>
    </row>
    <row r="72" spans="1:26" s="60" customFormat="1" ht="23.25" customHeight="1" outlineLevel="2">
      <c r="A72" s="101">
        <v>33125</v>
      </c>
      <c r="B72" s="102" t="s">
        <v>128</v>
      </c>
      <c r="C72" s="120">
        <v>40000187</v>
      </c>
      <c r="D72" s="104" t="s">
        <v>32</v>
      </c>
      <c r="E72" s="104" t="s">
        <v>46</v>
      </c>
      <c r="F72" s="122" t="s">
        <v>1256</v>
      </c>
      <c r="G72" s="851">
        <v>2019</v>
      </c>
      <c r="H72" s="122" t="s">
        <v>1284</v>
      </c>
      <c r="I72" s="106">
        <v>95000000</v>
      </c>
      <c r="J72" s="106">
        <v>58979078</v>
      </c>
      <c r="K72" s="132">
        <v>0</v>
      </c>
      <c r="L72" s="132">
        <v>0</v>
      </c>
      <c r="M72" s="132">
        <v>0</v>
      </c>
      <c r="N72" s="132">
        <v>30587760</v>
      </c>
      <c r="O72" s="132">
        <v>0</v>
      </c>
      <c r="P72" s="132">
        <v>0</v>
      </c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f t="shared" si="55"/>
        <v>30587760</v>
      </c>
      <c r="X72" s="132">
        <f t="shared" si="56"/>
        <v>30587760</v>
      </c>
      <c r="Y72" s="132">
        <f t="shared" si="57"/>
        <v>5433162</v>
      </c>
      <c r="Z72" s="102" t="s">
        <v>1247</v>
      </c>
    </row>
    <row r="73" spans="1:26" s="60" customFormat="1" ht="23.25" customHeight="1" outlineLevel="2">
      <c r="A73" s="101">
        <v>33125</v>
      </c>
      <c r="B73" s="102" t="s">
        <v>128</v>
      </c>
      <c r="C73" s="120">
        <v>40015467</v>
      </c>
      <c r="D73" s="104" t="s">
        <v>32</v>
      </c>
      <c r="E73" s="104" t="s">
        <v>46</v>
      </c>
      <c r="F73" s="122" t="s">
        <v>1256</v>
      </c>
      <c r="G73" s="851">
        <v>2019</v>
      </c>
      <c r="H73" s="122" t="s">
        <v>1285</v>
      </c>
      <c r="I73" s="106">
        <v>25000000</v>
      </c>
      <c r="J73" s="106">
        <v>11289976</v>
      </c>
      <c r="K73" s="132">
        <v>0</v>
      </c>
      <c r="L73" s="132">
        <v>12496860</v>
      </c>
      <c r="M73" s="132">
        <v>0</v>
      </c>
      <c r="N73" s="132">
        <v>1198925</v>
      </c>
      <c r="O73" s="132">
        <v>0</v>
      </c>
      <c r="P73" s="132">
        <v>0</v>
      </c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f t="shared" si="55"/>
        <v>13695785</v>
      </c>
      <c r="X73" s="132">
        <f t="shared" si="56"/>
        <v>13695785</v>
      </c>
      <c r="Y73" s="132">
        <f t="shared" si="57"/>
        <v>14239</v>
      </c>
      <c r="Z73" s="102" t="s">
        <v>1247</v>
      </c>
    </row>
    <row r="74" spans="1:26" s="60" customFormat="1" ht="23.25" customHeight="1" outlineLevel="2">
      <c r="A74" s="101">
        <v>33125</v>
      </c>
      <c r="B74" s="102" t="s">
        <v>128</v>
      </c>
      <c r="C74" s="103">
        <v>40008283</v>
      </c>
      <c r="D74" s="104" t="s">
        <v>32</v>
      </c>
      <c r="E74" s="104" t="s">
        <v>46</v>
      </c>
      <c r="F74" s="104" t="s">
        <v>1286</v>
      </c>
      <c r="G74" s="851"/>
      <c r="H74" s="139" t="s">
        <v>1287</v>
      </c>
      <c r="I74" s="106">
        <v>59988034</v>
      </c>
      <c r="J74" s="106">
        <v>56259239</v>
      </c>
      <c r="K74" s="132">
        <v>0</v>
      </c>
      <c r="L74" s="132">
        <v>0</v>
      </c>
      <c r="M74" s="132">
        <v>0</v>
      </c>
      <c r="N74" s="132">
        <v>0</v>
      </c>
      <c r="O74" s="132">
        <v>3706026</v>
      </c>
      <c r="P74" s="132">
        <v>0</v>
      </c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f t="shared" si="55"/>
        <v>3706026</v>
      </c>
      <c r="X74" s="132">
        <f t="shared" si="56"/>
        <v>3706026</v>
      </c>
      <c r="Y74" s="132">
        <f t="shared" si="57"/>
        <v>22769</v>
      </c>
      <c r="Z74" s="102" t="s">
        <v>1247</v>
      </c>
    </row>
    <row r="75" spans="1:26" s="60" customFormat="1" ht="23.25" customHeight="1" outlineLevel="2">
      <c r="A75" s="101">
        <v>33125</v>
      </c>
      <c r="B75" s="102" t="s">
        <v>128</v>
      </c>
      <c r="C75" s="103">
        <v>40022701</v>
      </c>
      <c r="D75" s="104" t="s">
        <v>32</v>
      </c>
      <c r="E75" s="104" t="s">
        <v>46</v>
      </c>
      <c r="F75" s="104" t="s">
        <v>1658</v>
      </c>
      <c r="G75" s="851">
        <v>2020</v>
      </c>
      <c r="H75" s="139" t="s">
        <v>1669</v>
      </c>
      <c r="I75" s="106">
        <v>80000000</v>
      </c>
      <c r="J75" s="106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2">
        <v>0</v>
      </c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f t="shared" si="55"/>
        <v>0</v>
      </c>
      <c r="X75" s="132">
        <f t="shared" si="56"/>
        <v>0</v>
      </c>
      <c r="Y75" s="132">
        <f t="shared" si="57"/>
        <v>80000000</v>
      </c>
      <c r="Z75" s="102" t="s">
        <v>1255</v>
      </c>
    </row>
    <row r="76" spans="1:26" s="60" customFormat="1" ht="23.25" customHeight="1" outlineLevel="2">
      <c r="A76" s="101">
        <v>33125</v>
      </c>
      <c r="B76" s="102" t="s">
        <v>128</v>
      </c>
      <c r="C76" s="103">
        <v>40022708</v>
      </c>
      <c r="D76" s="104" t="s">
        <v>32</v>
      </c>
      <c r="E76" s="104" t="s">
        <v>46</v>
      </c>
      <c r="F76" s="104" t="s">
        <v>1658</v>
      </c>
      <c r="G76" s="851">
        <v>2020</v>
      </c>
      <c r="H76" s="139" t="s">
        <v>1670</v>
      </c>
      <c r="I76" s="106">
        <v>40000000</v>
      </c>
      <c r="J76" s="106">
        <v>0</v>
      </c>
      <c r="K76" s="132">
        <v>0</v>
      </c>
      <c r="L76" s="132">
        <v>0</v>
      </c>
      <c r="M76" s="132">
        <v>0</v>
      </c>
      <c r="N76" s="132">
        <v>0</v>
      </c>
      <c r="O76" s="132">
        <v>0</v>
      </c>
      <c r="P76" s="132">
        <v>0</v>
      </c>
      <c r="Q76" s="132">
        <v>0</v>
      </c>
      <c r="R76" s="132">
        <v>0</v>
      </c>
      <c r="S76" s="132">
        <v>0</v>
      </c>
      <c r="T76" s="132">
        <v>0</v>
      </c>
      <c r="U76" s="132">
        <v>0</v>
      </c>
      <c r="V76" s="132">
        <v>0</v>
      </c>
      <c r="W76" s="132">
        <f t="shared" ref="W76" si="58">SUBTOTAL(9,K76:V76)</f>
        <v>0</v>
      </c>
      <c r="X76" s="132">
        <f t="shared" ref="X76" si="59">+V76+U76+T76+S76+R76+Q76+P76+O76+N76+M76+L76+K76</f>
        <v>0</v>
      </c>
      <c r="Y76" s="132">
        <f t="shared" ref="Y76" si="60">+I76-J76-X76</f>
        <v>40000000</v>
      </c>
      <c r="Z76" s="102" t="s">
        <v>1255</v>
      </c>
    </row>
    <row r="77" spans="1:26" s="62" customFormat="1" ht="23.25" customHeight="1" outlineLevel="2">
      <c r="A77" s="125"/>
      <c r="B77" s="126"/>
      <c r="C77" s="127"/>
      <c r="D77" s="128"/>
      <c r="E77" s="128"/>
      <c r="F77" s="897"/>
      <c r="G77" s="886"/>
      <c r="H77" s="109" t="s">
        <v>187</v>
      </c>
      <c r="I77" s="129">
        <f>SUM(I71:I76)</f>
        <v>379988034</v>
      </c>
      <c r="J77" s="129">
        <f t="shared" ref="J77:X77" si="61">SUM(J71:J76)</f>
        <v>174413596</v>
      </c>
      <c r="K77" s="129">
        <f t="shared" si="61"/>
        <v>0</v>
      </c>
      <c r="L77" s="129">
        <f t="shared" si="61"/>
        <v>32267297</v>
      </c>
      <c r="M77" s="129">
        <f t="shared" si="61"/>
        <v>0</v>
      </c>
      <c r="N77" s="129">
        <f t="shared" si="61"/>
        <v>44076261</v>
      </c>
      <c r="O77" s="129">
        <f t="shared" si="61"/>
        <v>3706026</v>
      </c>
      <c r="P77" s="129">
        <f t="shared" ref="P77:Q77" si="62">SUM(P71:P76)</f>
        <v>0</v>
      </c>
      <c r="Q77" s="129">
        <f t="shared" si="62"/>
        <v>0</v>
      </c>
      <c r="R77" s="129">
        <f t="shared" si="61"/>
        <v>0</v>
      </c>
      <c r="S77" s="129">
        <f t="shared" si="61"/>
        <v>0</v>
      </c>
      <c r="T77" s="129">
        <f t="shared" si="61"/>
        <v>0</v>
      </c>
      <c r="U77" s="129">
        <f t="shared" si="61"/>
        <v>0</v>
      </c>
      <c r="V77" s="129">
        <f t="shared" si="61"/>
        <v>0</v>
      </c>
      <c r="W77" s="129">
        <f t="shared" si="61"/>
        <v>80049584</v>
      </c>
      <c r="X77" s="129">
        <f t="shared" si="61"/>
        <v>80049584</v>
      </c>
      <c r="Y77" s="129">
        <f>SUM(Y71:Y76)</f>
        <v>125524854</v>
      </c>
      <c r="Z77" s="137"/>
    </row>
    <row r="78" spans="1:26" s="59" customFormat="1" ht="15" customHeight="1" outlineLevel="1">
      <c r="A78" s="111"/>
      <c r="B78" s="112"/>
      <c r="C78" s="90"/>
      <c r="D78" s="113"/>
      <c r="E78" s="114"/>
      <c r="F78" s="113"/>
      <c r="G78" s="885"/>
      <c r="H78" s="115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35"/>
    </row>
    <row r="79" spans="1:26" s="59" customFormat="1" ht="23.25" outlineLevel="1">
      <c r="A79" s="111"/>
      <c r="B79" s="112"/>
      <c r="C79" s="90"/>
      <c r="D79" s="113"/>
      <c r="E79" s="114"/>
      <c r="F79" s="113"/>
      <c r="G79" s="885"/>
      <c r="H79" s="117" t="s">
        <v>335</v>
      </c>
      <c r="I79" s="118">
        <f>+I77</f>
        <v>379988034</v>
      </c>
      <c r="J79" s="118">
        <f t="shared" ref="J79:Y79" si="63">+J77</f>
        <v>174413596</v>
      </c>
      <c r="K79" s="118">
        <f t="shared" si="63"/>
        <v>0</v>
      </c>
      <c r="L79" s="118">
        <f t="shared" ref="L79:M79" si="64">+L77</f>
        <v>32267297</v>
      </c>
      <c r="M79" s="118">
        <f t="shared" si="64"/>
        <v>0</v>
      </c>
      <c r="N79" s="118">
        <v>44076261</v>
      </c>
      <c r="O79" s="118">
        <v>3706026</v>
      </c>
      <c r="P79" s="118">
        <f t="shared" ref="P79:Q79" si="65">+P77</f>
        <v>0</v>
      </c>
      <c r="Q79" s="118">
        <f t="shared" si="65"/>
        <v>0</v>
      </c>
      <c r="R79" s="118">
        <f t="shared" si="63"/>
        <v>0</v>
      </c>
      <c r="S79" s="118">
        <f t="shared" si="63"/>
        <v>0</v>
      </c>
      <c r="T79" s="118">
        <f t="shared" si="63"/>
        <v>0</v>
      </c>
      <c r="U79" s="118">
        <f t="shared" si="63"/>
        <v>0</v>
      </c>
      <c r="V79" s="118">
        <f t="shared" si="63"/>
        <v>0</v>
      </c>
      <c r="W79" s="118">
        <f t="shared" si="63"/>
        <v>80049584</v>
      </c>
      <c r="X79" s="118">
        <f t="shared" si="63"/>
        <v>80049584</v>
      </c>
      <c r="Y79" s="118">
        <f t="shared" si="63"/>
        <v>125524854</v>
      </c>
      <c r="Z79" s="135"/>
    </row>
    <row r="80" spans="1:26" s="64" customFormat="1" ht="15" customHeight="1" outlineLevel="1">
      <c r="A80" s="88"/>
      <c r="B80" s="89"/>
      <c r="C80" s="90"/>
      <c r="D80" s="91"/>
      <c r="E80" s="92"/>
      <c r="F80" s="113"/>
      <c r="G80" s="883"/>
      <c r="H80" s="130"/>
      <c r="I80" s="94"/>
      <c r="J80" s="94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94"/>
      <c r="Z80" s="133"/>
    </row>
    <row r="81" spans="1:28" s="60" customFormat="1" ht="24.95" customHeight="1" outlineLevel="1">
      <c r="A81" s="140"/>
      <c r="B81" s="141"/>
      <c r="C81" s="142"/>
      <c r="D81" s="143"/>
      <c r="E81" s="144"/>
      <c r="F81" s="898"/>
      <c r="G81" s="887"/>
      <c r="H81" s="145" t="s">
        <v>365</v>
      </c>
      <c r="I81" s="146">
        <f>+I13+I23+I35+I44+I55+I67+I79</f>
        <v>2692001104</v>
      </c>
      <c r="J81" s="146">
        <f>+J13+J23+J35+J44+J55+J67+J79</f>
        <v>313808895</v>
      </c>
      <c r="K81" s="146">
        <f>+K13+K23+K35+K44+K55+K67+K79</f>
        <v>0</v>
      </c>
      <c r="L81" s="146">
        <f>+L13+L23+L35+L44+L55+L67+L79</f>
        <v>89132538</v>
      </c>
      <c r="M81" s="146">
        <f>+M13+M23+M35+M44+M55+M67+M79</f>
        <v>110612432</v>
      </c>
      <c r="N81" s="146">
        <v>304573746</v>
      </c>
      <c r="O81" s="146">
        <v>10260055</v>
      </c>
      <c r="P81" s="146">
        <f t="shared" ref="P81:Q81" si="66">+P13+P23+P35+P44+P55+P67+P79</f>
        <v>192567224</v>
      </c>
      <c r="Q81" s="146">
        <f t="shared" si="66"/>
        <v>62700613</v>
      </c>
      <c r="R81" s="146">
        <f t="shared" ref="R81:Y81" si="67">+R13+R23+R35+R44+R55+R67+R79</f>
        <v>0</v>
      </c>
      <c r="S81" s="146">
        <f t="shared" si="67"/>
        <v>0</v>
      </c>
      <c r="T81" s="146">
        <f t="shared" si="67"/>
        <v>0</v>
      </c>
      <c r="U81" s="146">
        <f t="shared" si="67"/>
        <v>0</v>
      </c>
      <c r="V81" s="146">
        <f t="shared" si="67"/>
        <v>0</v>
      </c>
      <c r="W81" s="146">
        <f t="shared" si="67"/>
        <v>769846608</v>
      </c>
      <c r="X81" s="146">
        <f t="shared" si="67"/>
        <v>769846608</v>
      </c>
      <c r="Y81" s="146">
        <f t="shared" si="67"/>
        <v>1608345601</v>
      </c>
      <c r="Z81" s="159"/>
      <c r="AA81" s="160" t="e">
        <v>#REF!</v>
      </c>
      <c r="AB81" s="161">
        <v>0.26716324529388102</v>
      </c>
    </row>
    <row r="82" spans="1:28" s="59" customFormat="1" ht="15" customHeight="1" outlineLevel="1">
      <c r="A82" s="88"/>
      <c r="B82" s="89"/>
      <c r="C82" s="90"/>
      <c r="D82" s="91"/>
      <c r="E82" s="92"/>
      <c r="F82" s="113"/>
      <c r="G82" s="883"/>
      <c r="H82" s="119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35"/>
    </row>
    <row r="83" spans="1:28" s="59" customFormat="1" ht="23.25" outlineLevel="1">
      <c r="A83" s="88"/>
      <c r="B83" s="89"/>
      <c r="C83" s="90"/>
      <c r="D83" s="91"/>
      <c r="E83" s="92"/>
      <c r="F83" s="113"/>
      <c r="G83" s="883"/>
      <c r="H83" s="93" t="s">
        <v>366</v>
      </c>
      <c r="I83" s="94"/>
      <c r="J83" s="94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94"/>
      <c r="Z83" s="133"/>
    </row>
    <row r="84" spans="1:28" s="59" customFormat="1" ht="21" outlineLevel="1">
      <c r="A84" s="88"/>
      <c r="B84" s="89"/>
      <c r="C84" s="90"/>
      <c r="D84" s="91"/>
      <c r="E84" s="92"/>
      <c r="F84" s="113"/>
      <c r="G84" s="883"/>
      <c r="H84" s="99" t="s">
        <v>127</v>
      </c>
      <c r="I84" s="94"/>
      <c r="J84" s="94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94"/>
      <c r="Z84" s="136"/>
    </row>
    <row r="85" spans="1:28" s="60" customFormat="1" ht="23.25" customHeight="1" outlineLevel="2">
      <c r="A85" s="101">
        <v>33125</v>
      </c>
      <c r="B85" s="102" t="s">
        <v>128</v>
      </c>
      <c r="C85" s="103">
        <v>30352623</v>
      </c>
      <c r="D85" s="104" t="s">
        <v>33</v>
      </c>
      <c r="E85" s="104" t="s">
        <v>54</v>
      </c>
      <c r="F85" s="104" t="s">
        <v>1245</v>
      </c>
      <c r="G85" s="851">
        <v>2019</v>
      </c>
      <c r="H85" s="122" t="s">
        <v>1291</v>
      </c>
      <c r="I85" s="106">
        <v>45486809</v>
      </c>
      <c r="J85" s="106">
        <v>40703982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2">
        <v>0</v>
      </c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f t="shared" ref="W85:W88" si="68">SUBTOTAL(9,K85:V85)</f>
        <v>0</v>
      </c>
      <c r="X85" s="132">
        <f t="shared" ref="X85:X88" si="69">+V85+U85+T85+S85+R85+Q85+P85+O85+N85+M85+L85+K85</f>
        <v>0</v>
      </c>
      <c r="Y85" s="132">
        <f t="shared" ref="Y85:Y88" si="70">+I85-J85-X85</f>
        <v>4782827</v>
      </c>
      <c r="Z85" s="102" t="s">
        <v>1247</v>
      </c>
    </row>
    <row r="86" spans="1:28" s="60" customFormat="1" ht="23.25" customHeight="1" outlineLevel="2">
      <c r="A86" s="101">
        <v>33125</v>
      </c>
      <c r="B86" s="102" t="s">
        <v>128</v>
      </c>
      <c r="C86" s="103">
        <v>40015003</v>
      </c>
      <c r="D86" s="104" t="s">
        <v>33</v>
      </c>
      <c r="E86" s="104" t="s">
        <v>54</v>
      </c>
      <c r="F86" s="104" t="s">
        <v>1245</v>
      </c>
      <c r="G86" s="851">
        <v>2019</v>
      </c>
      <c r="H86" s="122" t="s">
        <v>1292</v>
      </c>
      <c r="I86" s="106">
        <v>49803507</v>
      </c>
      <c r="J86" s="106">
        <v>42065919</v>
      </c>
      <c r="K86" s="132">
        <v>0</v>
      </c>
      <c r="L86" s="132">
        <v>0</v>
      </c>
      <c r="M86" s="132">
        <v>0</v>
      </c>
      <c r="N86" s="132">
        <v>0</v>
      </c>
      <c r="O86" s="132">
        <v>0</v>
      </c>
      <c r="P86" s="132">
        <v>0</v>
      </c>
      <c r="Q86" s="132">
        <v>0</v>
      </c>
      <c r="R86" s="132">
        <v>0</v>
      </c>
      <c r="S86" s="132">
        <v>0</v>
      </c>
      <c r="T86" s="132">
        <v>0</v>
      </c>
      <c r="U86" s="132">
        <v>0</v>
      </c>
      <c r="V86" s="132">
        <v>0</v>
      </c>
      <c r="W86" s="132">
        <f t="shared" si="68"/>
        <v>0</v>
      </c>
      <c r="X86" s="132">
        <f t="shared" si="69"/>
        <v>0</v>
      </c>
      <c r="Y86" s="132">
        <f t="shared" si="70"/>
        <v>7737588</v>
      </c>
      <c r="Z86" s="102" t="s">
        <v>1247</v>
      </c>
    </row>
    <row r="87" spans="1:28" s="60" customFormat="1" ht="23.25" customHeight="1" outlineLevel="2">
      <c r="A87" s="101">
        <v>33125</v>
      </c>
      <c r="B87" s="102" t="s">
        <v>128</v>
      </c>
      <c r="C87" s="103">
        <v>40015418</v>
      </c>
      <c r="D87" s="104" t="s">
        <v>33</v>
      </c>
      <c r="E87" s="104" t="s">
        <v>54</v>
      </c>
      <c r="F87" s="104" t="s">
        <v>1245</v>
      </c>
      <c r="G87" s="851">
        <v>2019</v>
      </c>
      <c r="H87" s="122" t="s">
        <v>1293</v>
      </c>
      <c r="I87" s="106">
        <v>49999999</v>
      </c>
      <c r="J87" s="106">
        <v>45214683</v>
      </c>
      <c r="K87" s="132">
        <v>0</v>
      </c>
      <c r="L87" s="132">
        <v>0</v>
      </c>
      <c r="M87" s="132">
        <v>0</v>
      </c>
      <c r="N87" s="132">
        <v>0</v>
      </c>
      <c r="O87" s="132">
        <v>0</v>
      </c>
      <c r="P87" s="132">
        <v>0</v>
      </c>
      <c r="Q87" s="132">
        <v>684580</v>
      </c>
      <c r="R87" s="132">
        <v>0</v>
      </c>
      <c r="S87" s="132">
        <v>0</v>
      </c>
      <c r="T87" s="132">
        <v>0</v>
      </c>
      <c r="U87" s="132">
        <v>0</v>
      </c>
      <c r="V87" s="132">
        <v>0</v>
      </c>
      <c r="W87" s="132">
        <f t="shared" si="68"/>
        <v>684580</v>
      </c>
      <c r="X87" s="132">
        <f t="shared" si="69"/>
        <v>684580</v>
      </c>
      <c r="Y87" s="132">
        <f t="shared" si="70"/>
        <v>4100736</v>
      </c>
      <c r="Z87" s="102" t="s">
        <v>1247</v>
      </c>
    </row>
    <row r="88" spans="1:28" s="60" customFormat="1" ht="23.25" customHeight="1" outlineLevel="2">
      <c r="A88" s="101">
        <v>33125</v>
      </c>
      <c r="B88" s="102" t="s">
        <v>128</v>
      </c>
      <c r="C88" s="103">
        <v>40015590</v>
      </c>
      <c r="D88" s="104" t="s">
        <v>33</v>
      </c>
      <c r="E88" s="104" t="s">
        <v>54</v>
      </c>
      <c r="F88" s="104" t="s">
        <v>1245</v>
      </c>
      <c r="G88" s="851">
        <v>2019</v>
      </c>
      <c r="H88" s="122" t="s">
        <v>1294</v>
      </c>
      <c r="I88" s="106">
        <v>49997308</v>
      </c>
      <c r="J88" s="106">
        <v>39072399</v>
      </c>
      <c r="K88" s="132">
        <v>0</v>
      </c>
      <c r="L88" s="132">
        <v>3573086</v>
      </c>
      <c r="M88" s="132">
        <v>0</v>
      </c>
      <c r="N88" s="132">
        <v>0</v>
      </c>
      <c r="O88" s="132">
        <v>0</v>
      </c>
      <c r="P88" s="132">
        <v>0</v>
      </c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f t="shared" si="68"/>
        <v>3573086</v>
      </c>
      <c r="X88" s="132">
        <f t="shared" si="69"/>
        <v>3573086</v>
      </c>
      <c r="Y88" s="132">
        <f t="shared" si="70"/>
        <v>7351823</v>
      </c>
      <c r="Z88" s="102" t="s">
        <v>1247</v>
      </c>
    </row>
    <row r="89" spans="1:28" s="62" customFormat="1" ht="23.25" customHeight="1" outlineLevel="2">
      <c r="A89" s="125"/>
      <c r="B89" s="126"/>
      <c r="C89" s="127"/>
      <c r="D89" s="128"/>
      <c r="E89" s="128"/>
      <c r="F89" s="897"/>
      <c r="G89" s="886"/>
      <c r="H89" s="109" t="s">
        <v>187</v>
      </c>
      <c r="I89" s="129">
        <f t="shared" ref="I89:N89" si="71">SUM(I85:I88)</f>
        <v>195287623</v>
      </c>
      <c r="J89" s="129">
        <f t="shared" si="71"/>
        <v>167056983</v>
      </c>
      <c r="K89" s="129">
        <f t="shared" si="71"/>
        <v>0</v>
      </c>
      <c r="L89" s="129">
        <f t="shared" si="71"/>
        <v>3573086</v>
      </c>
      <c r="M89" s="129">
        <f t="shared" si="71"/>
        <v>0</v>
      </c>
      <c r="N89" s="129">
        <f t="shared" si="71"/>
        <v>0</v>
      </c>
      <c r="O89" s="129">
        <v>0</v>
      </c>
      <c r="P89" s="129">
        <v>0</v>
      </c>
      <c r="Q89" s="129">
        <f t="shared" ref="Q89" si="72">SUM(Q85:Q88)</f>
        <v>684580</v>
      </c>
      <c r="R89" s="129">
        <f t="shared" ref="R89:Y89" si="73">SUM(R85:R88)</f>
        <v>0</v>
      </c>
      <c r="S89" s="129">
        <f t="shared" si="73"/>
        <v>0</v>
      </c>
      <c r="T89" s="129">
        <f t="shared" si="73"/>
        <v>0</v>
      </c>
      <c r="U89" s="129">
        <f t="shared" si="73"/>
        <v>0</v>
      </c>
      <c r="V89" s="129">
        <f t="shared" si="73"/>
        <v>0</v>
      </c>
      <c r="W89" s="129">
        <f t="shared" si="73"/>
        <v>4257666</v>
      </c>
      <c r="X89" s="129">
        <f t="shared" si="73"/>
        <v>4257666</v>
      </c>
      <c r="Y89" s="129">
        <f t="shared" si="73"/>
        <v>23972974</v>
      </c>
      <c r="Z89" s="137"/>
    </row>
    <row r="90" spans="1:28" s="59" customFormat="1" ht="15" customHeight="1" outlineLevel="1">
      <c r="A90" s="111"/>
      <c r="B90" s="112"/>
      <c r="C90" s="90"/>
      <c r="D90" s="113"/>
      <c r="E90" s="114"/>
      <c r="F90" s="113"/>
      <c r="G90" s="885"/>
      <c r="H90" s="115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35"/>
    </row>
    <row r="91" spans="1:28" s="59" customFormat="1" ht="23.25" outlineLevel="1">
      <c r="A91" s="111"/>
      <c r="B91" s="112"/>
      <c r="C91" s="90"/>
      <c r="D91" s="113"/>
      <c r="E91" s="114"/>
      <c r="F91" s="113"/>
      <c r="G91" s="885"/>
      <c r="H91" s="117" t="s">
        <v>1296</v>
      </c>
      <c r="I91" s="118">
        <f>+I89</f>
        <v>195287623</v>
      </c>
      <c r="J91" s="118">
        <f t="shared" ref="J91:Y91" si="74">+J89</f>
        <v>167056983</v>
      </c>
      <c r="K91" s="118">
        <f t="shared" si="74"/>
        <v>0</v>
      </c>
      <c r="L91" s="118">
        <f t="shared" ref="L91:M91" si="75">+L89</f>
        <v>3573086</v>
      </c>
      <c r="M91" s="118">
        <f t="shared" si="75"/>
        <v>0</v>
      </c>
      <c r="N91" s="118">
        <v>0</v>
      </c>
      <c r="O91" s="118">
        <v>0</v>
      </c>
      <c r="P91" s="118">
        <v>0</v>
      </c>
      <c r="Q91" s="118">
        <f t="shared" ref="Q91" si="76">+Q89</f>
        <v>684580</v>
      </c>
      <c r="R91" s="118">
        <f t="shared" si="74"/>
        <v>0</v>
      </c>
      <c r="S91" s="118">
        <f t="shared" si="74"/>
        <v>0</v>
      </c>
      <c r="T91" s="118">
        <f t="shared" si="74"/>
        <v>0</v>
      </c>
      <c r="U91" s="118">
        <f t="shared" si="74"/>
        <v>0</v>
      </c>
      <c r="V91" s="118">
        <f t="shared" si="74"/>
        <v>0</v>
      </c>
      <c r="W91" s="118">
        <f t="shared" si="74"/>
        <v>4257666</v>
      </c>
      <c r="X91" s="118">
        <f t="shared" si="74"/>
        <v>4257666</v>
      </c>
      <c r="Y91" s="118">
        <f t="shared" si="74"/>
        <v>23972974</v>
      </c>
      <c r="Z91" s="135"/>
    </row>
    <row r="92" spans="1:28" s="63" customFormat="1" ht="15" customHeight="1" outlineLevel="1">
      <c r="A92" s="111"/>
      <c r="B92" s="112"/>
      <c r="C92" s="90"/>
      <c r="D92" s="113"/>
      <c r="E92" s="114"/>
      <c r="F92" s="113"/>
      <c r="G92" s="885"/>
      <c r="H92" s="119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35"/>
    </row>
    <row r="93" spans="1:28" s="59" customFormat="1" ht="23.25" outlineLevel="1">
      <c r="A93" s="88"/>
      <c r="B93" s="89"/>
      <c r="C93" s="90"/>
      <c r="D93" s="91"/>
      <c r="E93" s="92"/>
      <c r="F93" s="113"/>
      <c r="G93" s="883"/>
      <c r="H93" s="93" t="s">
        <v>413</v>
      </c>
      <c r="I93" s="94"/>
      <c r="J93" s="94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94"/>
      <c r="Z93" s="133"/>
    </row>
    <row r="94" spans="1:28" s="66" customFormat="1" ht="23.25" customHeight="1" outlineLevel="1">
      <c r="A94" s="147"/>
      <c r="B94" s="89"/>
      <c r="C94" s="90"/>
      <c r="D94" s="91"/>
      <c r="E94" s="92"/>
      <c r="F94" s="113"/>
      <c r="G94" s="883"/>
      <c r="H94" s="99" t="s">
        <v>127</v>
      </c>
      <c r="I94" s="94"/>
      <c r="J94" s="94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94"/>
      <c r="Z94" s="162"/>
    </row>
    <row r="95" spans="1:28" s="60" customFormat="1" ht="23.25" customHeight="1" outlineLevel="2">
      <c r="A95" s="101">
        <v>33125</v>
      </c>
      <c r="B95" s="102" t="s">
        <v>128</v>
      </c>
      <c r="C95" s="148">
        <v>40015593</v>
      </c>
      <c r="D95" s="104" t="s">
        <v>33</v>
      </c>
      <c r="E95" s="104" t="s">
        <v>48</v>
      </c>
      <c r="F95" s="122" t="s">
        <v>1256</v>
      </c>
      <c r="G95" s="851">
        <v>2019</v>
      </c>
      <c r="H95" s="149" t="s">
        <v>1297</v>
      </c>
      <c r="I95" s="106">
        <v>32000000</v>
      </c>
      <c r="J95" s="106">
        <v>3037392</v>
      </c>
      <c r="K95" s="132">
        <v>0</v>
      </c>
      <c r="L95" s="132">
        <v>0</v>
      </c>
      <c r="M95" s="132">
        <v>0</v>
      </c>
      <c r="N95" s="132">
        <v>14837884</v>
      </c>
      <c r="O95" s="132">
        <v>0</v>
      </c>
      <c r="P95" s="132">
        <v>0</v>
      </c>
      <c r="Q95" s="132">
        <v>14021603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f t="shared" ref="W95:W100" si="77">SUBTOTAL(9,K95:V95)</f>
        <v>28859487</v>
      </c>
      <c r="X95" s="132">
        <f t="shared" ref="X95:X100" si="78">+V95+U95+T95+S95+R95+Q95+P95+O95+N95+M95+L95+K95</f>
        <v>28859487</v>
      </c>
      <c r="Y95" s="132">
        <f t="shared" ref="Y95:Y100" si="79">+I95-J95-X95</f>
        <v>103121</v>
      </c>
      <c r="Z95" s="102" t="s">
        <v>1247</v>
      </c>
    </row>
    <row r="96" spans="1:28" s="60" customFormat="1" ht="23.25" customHeight="1" outlineLevel="2">
      <c r="A96" s="101">
        <v>33125</v>
      </c>
      <c r="B96" s="102" t="s">
        <v>128</v>
      </c>
      <c r="C96" s="148">
        <v>40015653</v>
      </c>
      <c r="D96" s="104" t="s">
        <v>33</v>
      </c>
      <c r="E96" s="104" t="s">
        <v>48</v>
      </c>
      <c r="F96" s="104" t="s">
        <v>1298</v>
      </c>
      <c r="G96" s="851">
        <v>2019</v>
      </c>
      <c r="H96" s="149" t="s">
        <v>1299</v>
      </c>
      <c r="I96" s="106">
        <v>96000000</v>
      </c>
      <c r="J96" s="106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2">
        <v>0</v>
      </c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f t="shared" si="77"/>
        <v>0</v>
      </c>
      <c r="X96" s="132">
        <f t="shared" si="78"/>
        <v>0</v>
      </c>
      <c r="Y96" s="132">
        <f t="shared" si="79"/>
        <v>96000000</v>
      </c>
      <c r="Z96" s="102" t="s">
        <v>1255</v>
      </c>
    </row>
    <row r="97" spans="1:26" s="60" customFormat="1" ht="23.25" customHeight="1" outlineLevel="2">
      <c r="A97" s="101">
        <v>33125</v>
      </c>
      <c r="B97" s="102" t="s">
        <v>128</v>
      </c>
      <c r="C97" s="148">
        <v>40015674</v>
      </c>
      <c r="D97" s="104" t="s">
        <v>33</v>
      </c>
      <c r="E97" s="104" t="s">
        <v>48</v>
      </c>
      <c r="F97" s="122" t="s">
        <v>1256</v>
      </c>
      <c r="G97" s="851">
        <v>2019</v>
      </c>
      <c r="H97" s="149" t="s">
        <v>1300</v>
      </c>
      <c r="I97" s="106">
        <v>37000000</v>
      </c>
      <c r="J97" s="106">
        <v>3005602</v>
      </c>
      <c r="K97" s="132">
        <v>0</v>
      </c>
      <c r="L97" s="132">
        <v>0</v>
      </c>
      <c r="M97" s="132">
        <v>0</v>
      </c>
      <c r="N97" s="132">
        <v>28055112</v>
      </c>
      <c r="O97" s="132">
        <v>0</v>
      </c>
      <c r="P97" s="132">
        <v>5835821</v>
      </c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f t="shared" si="77"/>
        <v>33890933</v>
      </c>
      <c r="X97" s="132">
        <f t="shared" si="78"/>
        <v>33890933</v>
      </c>
      <c r="Y97" s="132">
        <f t="shared" si="79"/>
        <v>103465</v>
      </c>
      <c r="Z97" s="102" t="s">
        <v>1247</v>
      </c>
    </row>
    <row r="98" spans="1:26" s="60" customFormat="1" ht="23.25" customHeight="1" outlineLevel="2">
      <c r="A98" s="101">
        <v>33125</v>
      </c>
      <c r="B98" s="102" t="s">
        <v>128</v>
      </c>
      <c r="C98" s="148">
        <v>40015592</v>
      </c>
      <c r="D98" s="104" t="s">
        <v>33</v>
      </c>
      <c r="E98" s="104" t="s">
        <v>48</v>
      </c>
      <c r="F98" s="122" t="s">
        <v>1256</v>
      </c>
      <c r="G98" s="851">
        <v>2019</v>
      </c>
      <c r="H98" s="149" t="s">
        <v>1301</v>
      </c>
      <c r="I98" s="106">
        <v>35000000</v>
      </c>
      <c r="J98" s="106">
        <v>6122280</v>
      </c>
      <c r="K98" s="132">
        <v>0</v>
      </c>
      <c r="L98" s="132">
        <v>0</v>
      </c>
      <c r="M98" s="132">
        <v>8896396</v>
      </c>
      <c r="N98" s="132">
        <v>18551819</v>
      </c>
      <c r="O98" s="132">
        <v>0</v>
      </c>
      <c r="P98" s="132">
        <v>1429171</v>
      </c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f t="shared" ref="W98:W99" si="80">SUBTOTAL(9,K98:V98)</f>
        <v>28877386</v>
      </c>
      <c r="X98" s="132">
        <f t="shared" ref="X98:X99" si="81">+V98+U98+T98+S98+R98+Q98+P98+O98+N98+M98+L98+K98</f>
        <v>28877386</v>
      </c>
      <c r="Y98" s="132">
        <f t="shared" ref="Y98:Y99" si="82">+I98-J98-X98</f>
        <v>334</v>
      </c>
      <c r="Z98" s="102" t="s">
        <v>1247</v>
      </c>
    </row>
    <row r="99" spans="1:26" s="60" customFormat="1" ht="23.25" customHeight="1" outlineLevel="2">
      <c r="A99" s="101">
        <v>33125</v>
      </c>
      <c r="B99" s="102" t="s">
        <v>128</v>
      </c>
      <c r="C99" s="148">
        <v>40022685</v>
      </c>
      <c r="D99" s="104" t="s">
        <v>33</v>
      </c>
      <c r="E99" s="104" t="s">
        <v>48</v>
      </c>
      <c r="F99" s="122" t="s">
        <v>1658</v>
      </c>
      <c r="G99" s="851">
        <v>2020</v>
      </c>
      <c r="H99" s="149" t="s">
        <v>1668</v>
      </c>
      <c r="I99" s="106">
        <v>99346000</v>
      </c>
      <c r="J99" s="106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2">
        <v>0</v>
      </c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f t="shared" si="80"/>
        <v>0</v>
      </c>
      <c r="X99" s="132">
        <f t="shared" si="81"/>
        <v>0</v>
      </c>
      <c r="Y99" s="132">
        <f t="shared" si="82"/>
        <v>99346000</v>
      </c>
      <c r="Z99" s="102" t="s">
        <v>1255</v>
      </c>
    </row>
    <row r="100" spans="1:26" s="60" customFormat="1" ht="23.25" customHeight="1" outlineLevel="2">
      <c r="A100" s="101">
        <v>33125</v>
      </c>
      <c r="B100" s="102" t="s">
        <v>128</v>
      </c>
      <c r="C100" s="148">
        <v>40022686</v>
      </c>
      <c r="D100" s="104" t="s">
        <v>33</v>
      </c>
      <c r="E100" s="104" t="s">
        <v>48</v>
      </c>
      <c r="F100" s="122" t="s">
        <v>1658</v>
      </c>
      <c r="G100" s="851">
        <v>2020</v>
      </c>
      <c r="H100" s="149" t="s">
        <v>1661</v>
      </c>
      <c r="I100" s="106">
        <v>99346000</v>
      </c>
      <c r="J100" s="106">
        <v>0</v>
      </c>
      <c r="K100" s="132">
        <v>0</v>
      </c>
      <c r="L100" s="132">
        <v>0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0</v>
      </c>
      <c r="T100" s="132">
        <v>0</v>
      </c>
      <c r="U100" s="132">
        <v>0</v>
      </c>
      <c r="V100" s="132">
        <v>0</v>
      </c>
      <c r="W100" s="132">
        <f t="shared" si="77"/>
        <v>0</v>
      </c>
      <c r="X100" s="132">
        <f t="shared" si="78"/>
        <v>0</v>
      </c>
      <c r="Y100" s="132">
        <f t="shared" si="79"/>
        <v>99346000</v>
      </c>
      <c r="Z100" s="102" t="s">
        <v>1255</v>
      </c>
    </row>
    <row r="101" spans="1:26" s="62" customFormat="1" ht="23.25" customHeight="1" outlineLevel="2">
      <c r="A101" s="125"/>
      <c r="B101" s="126"/>
      <c r="C101" s="127"/>
      <c r="D101" s="128"/>
      <c r="E101" s="128"/>
      <c r="F101" s="897"/>
      <c r="G101" s="886"/>
      <c r="H101" s="109" t="s">
        <v>187</v>
      </c>
      <c r="I101" s="129">
        <f t="shared" ref="I101:N101" si="83">SUM(I95:I100)</f>
        <v>398692000</v>
      </c>
      <c r="J101" s="129">
        <f t="shared" si="83"/>
        <v>12165274</v>
      </c>
      <c r="K101" s="129">
        <f t="shared" si="83"/>
        <v>0</v>
      </c>
      <c r="L101" s="129">
        <f t="shared" si="83"/>
        <v>0</v>
      </c>
      <c r="M101" s="129">
        <f t="shared" si="83"/>
        <v>8896396</v>
      </c>
      <c r="N101" s="129">
        <f t="shared" si="83"/>
        <v>61444815</v>
      </c>
      <c r="O101" s="129">
        <v>0</v>
      </c>
      <c r="P101" s="129">
        <f t="shared" ref="P101:Q101" si="84">SUM(P95:P100)</f>
        <v>7264992</v>
      </c>
      <c r="Q101" s="129">
        <f t="shared" si="84"/>
        <v>14021603</v>
      </c>
      <c r="R101" s="129">
        <f t="shared" ref="R101:Y101" si="85">SUM(R95:R100)</f>
        <v>0</v>
      </c>
      <c r="S101" s="129">
        <f t="shared" si="85"/>
        <v>0</v>
      </c>
      <c r="T101" s="129">
        <f t="shared" si="85"/>
        <v>0</v>
      </c>
      <c r="U101" s="129">
        <f t="shared" si="85"/>
        <v>0</v>
      </c>
      <c r="V101" s="129">
        <f t="shared" si="85"/>
        <v>0</v>
      </c>
      <c r="W101" s="129">
        <f t="shared" si="85"/>
        <v>91627806</v>
      </c>
      <c r="X101" s="129">
        <f t="shared" si="85"/>
        <v>91627806</v>
      </c>
      <c r="Y101" s="129">
        <f t="shared" si="85"/>
        <v>294898920</v>
      </c>
      <c r="Z101" s="137"/>
    </row>
    <row r="102" spans="1:26" s="59" customFormat="1" ht="15" customHeight="1" outlineLevel="1">
      <c r="A102" s="111"/>
      <c r="B102" s="112"/>
      <c r="C102" s="90"/>
      <c r="D102" s="113"/>
      <c r="E102" s="114"/>
      <c r="F102" s="113"/>
      <c r="G102" s="885"/>
      <c r="H102" s="115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35"/>
    </row>
    <row r="103" spans="1:26" s="59" customFormat="1" ht="23.25" outlineLevel="1">
      <c r="A103" s="111"/>
      <c r="B103" s="112"/>
      <c r="C103" s="90"/>
      <c r="D103" s="113"/>
      <c r="E103" s="114"/>
      <c r="F103" s="113"/>
      <c r="G103" s="885"/>
      <c r="H103" s="117" t="s">
        <v>442</v>
      </c>
      <c r="I103" s="118">
        <f>+I101</f>
        <v>398692000</v>
      </c>
      <c r="J103" s="118">
        <f>+J101</f>
        <v>12165274</v>
      </c>
      <c r="K103" s="118">
        <f t="shared" ref="K103:Y103" si="86">+K101</f>
        <v>0</v>
      </c>
      <c r="L103" s="118">
        <f t="shared" ref="L103:M103" si="87">+L101</f>
        <v>0</v>
      </c>
      <c r="M103" s="118">
        <f t="shared" si="87"/>
        <v>8896396</v>
      </c>
      <c r="N103" s="118">
        <v>61444815</v>
      </c>
      <c r="O103" s="118">
        <v>0</v>
      </c>
      <c r="P103" s="118">
        <f t="shared" ref="P103:Q103" si="88">+P101</f>
        <v>7264992</v>
      </c>
      <c r="Q103" s="118">
        <f t="shared" si="88"/>
        <v>14021603</v>
      </c>
      <c r="R103" s="118">
        <f t="shared" si="86"/>
        <v>0</v>
      </c>
      <c r="S103" s="118">
        <f t="shared" si="86"/>
        <v>0</v>
      </c>
      <c r="T103" s="118">
        <f t="shared" si="86"/>
        <v>0</v>
      </c>
      <c r="U103" s="118">
        <f t="shared" si="86"/>
        <v>0</v>
      </c>
      <c r="V103" s="118">
        <f t="shared" si="86"/>
        <v>0</v>
      </c>
      <c r="W103" s="118">
        <f t="shared" si="86"/>
        <v>91627806</v>
      </c>
      <c r="X103" s="118">
        <f t="shared" si="86"/>
        <v>91627806</v>
      </c>
      <c r="Y103" s="118">
        <f t="shared" si="86"/>
        <v>294898920</v>
      </c>
      <c r="Z103" s="135"/>
    </row>
    <row r="104" spans="1:26" s="64" customFormat="1" ht="15" customHeight="1" outlineLevel="1">
      <c r="A104" s="88"/>
      <c r="B104" s="89"/>
      <c r="C104" s="150"/>
      <c r="D104" s="91"/>
      <c r="E104" s="92"/>
      <c r="F104" s="899"/>
      <c r="G104" s="883"/>
      <c r="H104" s="130"/>
      <c r="I104" s="94"/>
      <c r="J104" s="94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94"/>
      <c r="Z104" s="133"/>
    </row>
    <row r="105" spans="1:26" s="59" customFormat="1" ht="23.25" outlineLevel="1">
      <c r="A105" s="88"/>
      <c r="B105" s="89"/>
      <c r="C105" s="90"/>
      <c r="D105" s="91"/>
      <c r="E105" s="92"/>
      <c r="F105" s="113"/>
      <c r="G105" s="883"/>
      <c r="H105" s="93" t="s">
        <v>443</v>
      </c>
      <c r="I105" s="94"/>
      <c r="J105" s="94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94"/>
      <c r="Z105" s="133"/>
    </row>
    <row r="106" spans="1:26" s="66" customFormat="1" ht="23.25" customHeight="1" outlineLevel="1">
      <c r="A106" s="147"/>
      <c r="B106" s="89"/>
      <c r="C106" s="90"/>
      <c r="D106" s="91"/>
      <c r="E106" s="92"/>
      <c r="F106" s="113"/>
      <c r="G106" s="883"/>
      <c r="H106" s="99" t="s">
        <v>127</v>
      </c>
      <c r="I106" s="94"/>
      <c r="J106" s="94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94"/>
      <c r="Z106" s="162"/>
    </row>
    <row r="107" spans="1:26" s="67" customFormat="1" ht="23.25" customHeight="1" outlineLevel="2">
      <c r="A107" s="101">
        <v>33125</v>
      </c>
      <c r="B107" s="102" t="s">
        <v>128</v>
      </c>
      <c r="C107" s="103">
        <v>40015612</v>
      </c>
      <c r="D107" s="104" t="s">
        <v>33</v>
      </c>
      <c r="E107" s="104" t="s">
        <v>49</v>
      </c>
      <c r="F107" s="122" t="s">
        <v>1256</v>
      </c>
      <c r="G107" s="851">
        <v>2019</v>
      </c>
      <c r="H107" s="122" t="s">
        <v>1303</v>
      </c>
      <c r="I107" s="106">
        <v>40000000</v>
      </c>
      <c r="J107" s="106">
        <v>22947754</v>
      </c>
      <c r="K107" s="132">
        <v>0</v>
      </c>
      <c r="L107" s="132">
        <v>12012397</v>
      </c>
      <c r="M107" s="132">
        <v>0</v>
      </c>
      <c r="N107" s="132">
        <v>0</v>
      </c>
      <c r="O107" s="132">
        <v>3064132</v>
      </c>
      <c r="P107" s="132">
        <v>0</v>
      </c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f t="shared" ref="W107:W109" si="89">SUBTOTAL(9,K107:V107)</f>
        <v>15076529</v>
      </c>
      <c r="X107" s="132">
        <f t="shared" ref="X107:X109" si="90">+V107+U107+T107+S107+R107+Q107+P107+O107+N107+M107+L107+K107</f>
        <v>15076529</v>
      </c>
      <c r="Y107" s="132">
        <f t="shared" ref="Y107:Y109" si="91">+I107-J107-X107</f>
        <v>1975717</v>
      </c>
      <c r="Z107" s="102" t="s">
        <v>1247</v>
      </c>
    </row>
    <row r="108" spans="1:26" s="67" customFormat="1" ht="23.25" customHeight="1" outlineLevel="2">
      <c r="A108" s="101">
        <v>33125</v>
      </c>
      <c r="B108" s="102" t="s">
        <v>128</v>
      </c>
      <c r="C108" s="103">
        <v>40015607</v>
      </c>
      <c r="D108" s="104" t="s">
        <v>33</v>
      </c>
      <c r="E108" s="104" t="s">
        <v>49</v>
      </c>
      <c r="F108" s="122" t="s">
        <v>1256</v>
      </c>
      <c r="G108" s="851">
        <v>2019</v>
      </c>
      <c r="H108" s="122" t="s">
        <v>1304</v>
      </c>
      <c r="I108" s="106">
        <v>64000000</v>
      </c>
      <c r="J108" s="106">
        <v>38332964</v>
      </c>
      <c r="K108" s="132">
        <v>0</v>
      </c>
      <c r="L108" s="132">
        <v>19336772</v>
      </c>
      <c r="M108" s="132">
        <v>0</v>
      </c>
      <c r="N108" s="132">
        <v>0</v>
      </c>
      <c r="O108" s="132">
        <v>6317114</v>
      </c>
      <c r="P108" s="132">
        <v>0</v>
      </c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f t="shared" si="89"/>
        <v>25653886</v>
      </c>
      <c r="X108" s="132">
        <f t="shared" si="90"/>
        <v>25653886</v>
      </c>
      <c r="Y108" s="132">
        <f t="shared" si="91"/>
        <v>13150</v>
      </c>
      <c r="Z108" s="102" t="s">
        <v>1261</v>
      </c>
    </row>
    <row r="109" spans="1:26" s="67" customFormat="1" ht="23.25" customHeight="1" outlineLevel="2">
      <c r="A109" s="101">
        <v>33125</v>
      </c>
      <c r="B109" s="102" t="s">
        <v>128</v>
      </c>
      <c r="C109" s="103">
        <v>40015615</v>
      </c>
      <c r="D109" s="104" t="s">
        <v>33</v>
      </c>
      <c r="E109" s="104" t="s">
        <v>49</v>
      </c>
      <c r="F109" s="122" t="s">
        <v>1256</v>
      </c>
      <c r="G109" s="851">
        <v>2019</v>
      </c>
      <c r="H109" s="122" t="s">
        <v>1305</v>
      </c>
      <c r="I109" s="106">
        <v>96000000</v>
      </c>
      <c r="J109" s="106">
        <v>58373843</v>
      </c>
      <c r="K109" s="132">
        <v>0</v>
      </c>
      <c r="L109" s="132">
        <v>29944461</v>
      </c>
      <c r="M109" s="132">
        <v>0</v>
      </c>
      <c r="N109" s="132">
        <v>7681695</v>
      </c>
      <c r="O109" s="132">
        <v>0</v>
      </c>
      <c r="P109" s="132">
        <v>0</v>
      </c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f t="shared" si="89"/>
        <v>37626156</v>
      </c>
      <c r="X109" s="132">
        <f t="shared" si="90"/>
        <v>37626156</v>
      </c>
      <c r="Y109" s="132">
        <f t="shared" si="91"/>
        <v>1</v>
      </c>
      <c r="Z109" s="102" t="s">
        <v>1261</v>
      </c>
    </row>
    <row r="110" spans="1:26" s="67" customFormat="1" ht="23.25" customHeight="1" outlineLevel="2">
      <c r="A110" s="101">
        <v>33125</v>
      </c>
      <c r="B110" s="102" t="s">
        <v>196</v>
      </c>
      <c r="C110" s="103">
        <v>40022692</v>
      </c>
      <c r="D110" s="104" t="s">
        <v>33</v>
      </c>
      <c r="E110" s="104" t="s">
        <v>49</v>
      </c>
      <c r="F110" s="122" t="s">
        <v>1582</v>
      </c>
      <c r="G110" s="851">
        <v>2020</v>
      </c>
      <c r="H110" s="877" t="s">
        <v>1596</v>
      </c>
      <c r="I110" s="873">
        <v>33597450</v>
      </c>
      <c r="J110" s="873">
        <v>0</v>
      </c>
      <c r="K110" s="873">
        <v>0</v>
      </c>
      <c r="L110" s="873">
        <v>0</v>
      </c>
      <c r="M110" s="873">
        <v>0</v>
      </c>
      <c r="N110" s="873">
        <v>0</v>
      </c>
      <c r="O110" s="873">
        <v>0</v>
      </c>
      <c r="P110" s="132">
        <v>0</v>
      </c>
      <c r="Q110" s="132">
        <v>0</v>
      </c>
      <c r="R110" s="873">
        <v>0</v>
      </c>
      <c r="S110" s="873">
        <v>0</v>
      </c>
      <c r="T110" s="873">
        <v>0</v>
      </c>
      <c r="U110" s="873">
        <v>0</v>
      </c>
      <c r="V110" s="873">
        <v>0</v>
      </c>
      <c r="W110" s="132">
        <f t="shared" ref="W110:W111" si="92">SUBTOTAL(9,K110:V110)</f>
        <v>0</v>
      </c>
      <c r="X110" s="132">
        <f t="shared" ref="X110:X111" si="93">+V110+U110+T110+S110+R110+Q110+P110+O110+N110+M110+L110+K110</f>
        <v>0</v>
      </c>
      <c r="Y110" s="132">
        <f t="shared" ref="Y110:Y111" si="94">+I110-J110-X110</f>
        <v>33597450</v>
      </c>
      <c r="Z110" s="875" t="s">
        <v>1255</v>
      </c>
    </row>
    <row r="111" spans="1:26" s="67" customFormat="1" ht="23.25" customHeight="1" outlineLevel="2">
      <c r="A111" s="101">
        <v>33125</v>
      </c>
      <c r="B111" s="102" t="s">
        <v>196</v>
      </c>
      <c r="C111" s="103">
        <v>40022688</v>
      </c>
      <c r="D111" s="104" t="s">
        <v>33</v>
      </c>
      <c r="E111" s="104" t="s">
        <v>49</v>
      </c>
      <c r="F111" s="122" t="s">
        <v>1683</v>
      </c>
      <c r="G111" s="851">
        <v>2020</v>
      </c>
      <c r="H111" s="877" t="s">
        <v>1686</v>
      </c>
      <c r="I111" s="873">
        <v>94983647</v>
      </c>
      <c r="J111" s="873">
        <v>0</v>
      </c>
      <c r="K111" s="873">
        <v>0</v>
      </c>
      <c r="L111" s="873">
        <v>0</v>
      </c>
      <c r="M111" s="873">
        <v>0</v>
      </c>
      <c r="N111" s="873">
        <v>0</v>
      </c>
      <c r="O111" s="873">
        <v>0</v>
      </c>
      <c r="P111" s="132">
        <v>0</v>
      </c>
      <c r="Q111" s="132">
        <v>0</v>
      </c>
      <c r="R111" s="873">
        <v>0</v>
      </c>
      <c r="S111" s="873">
        <v>0</v>
      </c>
      <c r="T111" s="873">
        <v>0</v>
      </c>
      <c r="U111" s="873">
        <v>0</v>
      </c>
      <c r="V111" s="873">
        <v>0</v>
      </c>
      <c r="W111" s="132">
        <f t="shared" si="92"/>
        <v>0</v>
      </c>
      <c r="X111" s="132">
        <f t="shared" si="93"/>
        <v>0</v>
      </c>
      <c r="Y111" s="132">
        <f t="shared" si="94"/>
        <v>94983647</v>
      </c>
      <c r="Z111" s="875" t="s">
        <v>1665</v>
      </c>
    </row>
    <row r="112" spans="1:26" s="67" customFormat="1" ht="23.25" customHeight="1" outlineLevel="2">
      <c r="A112" s="101">
        <v>33125</v>
      </c>
      <c r="B112" s="102" t="s">
        <v>196</v>
      </c>
      <c r="C112" s="103">
        <v>40023781</v>
      </c>
      <c r="D112" s="104" t="s">
        <v>33</v>
      </c>
      <c r="E112" s="104" t="s">
        <v>49</v>
      </c>
      <c r="F112" s="122" t="s">
        <v>1658</v>
      </c>
      <c r="G112" s="851">
        <v>2020</v>
      </c>
      <c r="H112" s="877" t="s">
        <v>1682</v>
      </c>
      <c r="I112" s="873">
        <v>71418903</v>
      </c>
      <c r="J112" s="873">
        <v>0</v>
      </c>
      <c r="K112" s="873">
        <v>0</v>
      </c>
      <c r="L112" s="873">
        <v>0</v>
      </c>
      <c r="M112" s="873">
        <v>0</v>
      </c>
      <c r="N112" s="873">
        <v>0</v>
      </c>
      <c r="O112" s="873">
        <v>0</v>
      </c>
      <c r="P112" s="132">
        <v>0</v>
      </c>
      <c r="Q112" s="132">
        <v>0</v>
      </c>
      <c r="R112" s="873">
        <v>0</v>
      </c>
      <c r="S112" s="873">
        <v>0</v>
      </c>
      <c r="T112" s="873">
        <v>0</v>
      </c>
      <c r="U112" s="873">
        <v>0</v>
      </c>
      <c r="V112" s="873">
        <v>0</v>
      </c>
      <c r="W112" s="132">
        <f t="shared" ref="W112" si="95">SUBTOTAL(9,K112:V112)</f>
        <v>0</v>
      </c>
      <c r="X112" s="132">
        <f t="shared" ref="X112" si="96">+V112+U112+T112+S112+R112+Q112+P112+O112+N112+M112+L112+K112</f>
        <v>0</v>
      </c>
      <c r="Y112" s="132">
        <f t="shared" ref="Y112" si="97">+I112-J112-X112</f>
        <v>71418903</v>
      </c>
      <c r="Z112" s="875" t="s">
        <v>1255</v>
      </c>
    </row>
    <row r="113" spans="1:26" s="62" customFormat="1" ht="23.25" customHeight="1" outlineLevel="2">
      <c r="A113" s="125"/>
      <c r="B113" s="126"/>
      <c r="C113" s="127"/>
      <c r="D113" s="128"/>
      <c r="E113" s="128"/>
      <c r="F113" s="897"/>
      <c r="G113" s="886"/>
      <c r="H113" s="109" t="s">
        <v>187</v>
      </c>
      <c r="I113" s="129">
        <f>SUM(I107:I112)</f>
        <v>400000000</v>
      </c>
      <c r="J113" s="129">
        <f t="shared" ref="J113:Y113" si="98">SUM(J107:J112)</f>
        <v>119654561</v>
      </c>
      <c r="K113" s="129">
        <f t="shared" si="98"/>
        <v>0</v>
      </c>
      <c r="L113" s="129">
        <f t="shared" si="98"/>
        <v>61293630</v>
      </c>
      <c r="M113" s="129">
        <f t="shared" si="98"/>
        <v>0</v>
      </c>
      <c r="N113" s="129">
        <f t="shared" si="98"/>
        <v>7681695</v>
      </c>
      <c r="O113" s="129">
        <f t="shared" si="98"/>
        <v>9381246</v>
      </c>
      <c r="P113" s="129">
        <f t="shared" si="98"/>
        <v>0</v>
      </c>
      <c r="Q113" s="129">
        <v>0</v>
      </c>
      <c r="R113" s="129">
        <f t="shared" si="98"/>
        <v>0</v>
      </c>
      <c r="S113" s="129">
        <f t="shared" si="98"/>
        <v>0</v>
      </c>
      <c r="T113" s="129">
        <f t="shared" si="98"/>
        <v>0</v>
      </c>
      <c r="U113" s="129">
        <f t="shared" si="98"/>
        <v>0</v>
      </c>
      <c r="V113" s="129">
        <f t="shared" si="98"/>
        <v>0</v>
      </c>
      <c r="W113" s="129">
        <f t="shared" si="98"/>
        <v>78356571</v>
      </c>
      <c r="X113" s="129">
        <f t="shared" si="98"/>
        <v>78356571</v>
      </c>
      <c r="Y113" s="129">
        <f t="shared" si="98"/>
        <v>201988868</v>
      </c>
      <c r="Z113" s="137"/>
    </row>
    <row r="114" spans="1:26" s="59" customFormat="1" ht="15" customHeight="1" outlineLevel="1">
      <c r="A114" s="111"/>
      <c r="B114" s="112"/>
      <c r="C114" s="90"/>
      <c r="D114" s="113"/>
      <c r="E114" s="114"/>
      <c r="F114" s="113"/>
      <c r="G114" s="885"/>
      <c r="H114" s="115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35"/>
    </row>
    <row r="115" spans="1:26" s="59" customFormat="1" ht="23.25" outlineLevel="1">
      <c r="A115" s="111"/>
      <c r="B115" s="112"/>
      <c r="C115" s="90"/>
      <c r="D115" s="113"/>
      <c r="E115" s="114"/>
      <c r="F115" s="113"/>
      <c r="G115" s="885"/>
      <c r="H115" s="117" t="s">
        <v>470</v>
      </c>
      <c r="I115" s="118">
        <f>+I113</f>
        <v>400000000</v>
      </c>
      <c r="J115" s="118">
        <f t="shared" ref="J115:Y115" si="99">+J113</f>
        <v>119654561</v>
      </c>
      <c r="K115" s="118">
        <f t="shared" si="99"/>
        <v>0</v>
      </c>
      <c r="L115" s="118">
        <f t="shared" ref="L115:M115" si="100">+L113</f>
        <v>61293630</v>
      </c>
      <c r="M115" s="118">
        <f t="shared" si="100"/>
        <v>0</v>
      </c>
      <c r="N115" s="118">
        <v>7681695</v>
      </c>
      <c r="O115" s="118">
        <v>9381246</v>
      </c>
      <c r="P115" s="118">
        <v>0</v>
      </c>
      <c r="Q115" s="118">
        <v>0</v>
      </c>
      <c r="R115" s="118">
        <f t="shared" si="99"/>
        <v>0</v>
      </c>
      <c r="S115" s="118">
        <f t="shared" si="99"/>
        <v>0</v>
      </c>
      <c r="T115" s="118">
        <f t="shared" si="99"/>
        <v>0</v>
      </c>
      <c r="U115" s="118">
        <f t="shared" si="99"/>
        <v>0</v>
      </c>
      <c r="V115" s="118">
        <f t="shared" si="99"/>
        <v>0</v>
      </c>
      <c r="W115" s="118">
        <f t="shared" si="99"/>
        <v>78356571</v>
      </c>
      <c r="X115" s="118">
        <f t="shared" si="99"/>
        <v>78356571</v>
      </c>
      <c r="Y115" s="118">
        <f t="shared" si="99"/>
        <v>201988868</v>
      </c>
      <c r="Z115" s="135"/>
    </row>
    <row r="116" spans="1:26" s="68" customFormat="1" ht="15" customHeight="1" outlineLevel="1">
      <c r="A116" s="111"/>
      <c r="B116" s="112"/>
      <c r="C116" s="90"/>
      <c r="D116" s="113"/>
      <c r="E116" s="114"/>
      <c r="F116" s="113"/>
      <c r="G116" s="885"/>
      <c r="H116" s="119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35"/>
    </row>
    <row r="117" spans="1:26" s="68" customFormat="1" ht="23.25" outlineLevel="1">
      <c r="A117" s="111"/>
      <c r="B117" s="112"/>
      <c r="C117" s="90"/>
      <c r="D117" s="113"/>
      <c r="E117" s="114"/>
      <c r="F117" s="113"/>
      <c r="G117" s="885"/>
      <c r="H117" s="93" t="s">
        <v>471</v>
      </c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35"/>
    </row>
    <row r="118" spans="1:26" s="66" customFormat="1" ht="23.25" customHeight="1" outlineLevel="1">
      <c r="A118" s="147"/>
      <c r="B118" s="89"/>
      <c r="C118" s="90"/>
      <c r="D118" s="91"/>
      <c r="E118" s="92"/>
      <c r="F118" s="113"/>
      <c r="G118" s="883"/>
      <c r="H118" s="99" t="s">
        <v>127</v>
      </c>
      <c r="I118" s="94"/>
      <c r="J118" s="94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94"/>
      <c r="Z118" s="162"/>
    </row>
    <row r="119" spans="1:26" s="69" customFormat="1" ht="23.25" customHeight="1">
      <c r="A119" s="101">
        <v>33125</v>
      </c>
      <c r="B119" s="102" t="s">
        <v>128</v>
      </c>
      <c r="C119" s="151">
        <v>40015658</v>
      </c>
      <c r="D119" s="152" t="s">
        <v>33</v>
      </c>
      <c r="E119" s="152" t="s">
        <v>50</v>
      </c>
      <c r="F119" s="104" t="s">
        <v>1307</v>
      </c>
      <c r="G119" s="851">
        <v>2019</v>
      </c>
      <c r="H119" s="153" t="s">
        <v>1308</v>
      </c>
      <c r="I119" s="154">
        <v>32000000</v>
      </c>
      <c r="J119" s="106">
        <v>0</v>
      </c>
      <c r="K119" s="132">
        <v>0</v>
      </c>
      <c r="L119" s="132">
        <v>0</v>
      </c>
      <c r="M119" s="132">
        <v>0</v>
      </c>
      <c r="N119" s="132">
        <v>15135834</v>
      </c>
      <c r="O119" s="132">
        <v>0</v>
      </c>
      <c r="P119" s="132">
        <v>5966708</v>
      </c>
      <c r="Q119" s="132">
        <v>0</v>
      </c>
      <c r="R119" s="132">
        <v>0</v>
      </c>
      <c r="S119" s="132">
        <v>0</v>
      </c>
      <c r="T119" s="132">
        <v>0</v>
      </c>
      <c r="U119" s="132">
        <v>0</v>
      </c>
      <c r="V119" s="132">
        <v>0</v>
      </c>
      <c r="W119" s="132">
        <f t="shared" ref="W119:W122" si="101">SUBTOTAL(9,K119:V119)</f>
        <v>21102542</v>
      </c>
      <c r="X119" s="132">
        <f t="shared" ref="X119:X122" si="102">+V119+U119+T119+S119+R119+Q119+P119+O119+N119+M119+L119+K119</f>
        <v>21102542</v>
      </c>
      <c r="Y119" s="132">
        <f t="shared" ref="Y119:Y122" si="103">+I119-J119-X119</f>
        <v>10897458</v>
      </c>
      <c r="Z119" s="102" t="s">
        <v>1247</v>
      </c>
    </row>
    <row r="120" spans="1:26" s="69" customFormat="1" ht="23.25" customHeight="1">
      <c r="A120" s="101">
        <v>33125</v>
      </c>
      <c r="B120" s="102" t="s">
        <v>128</v>
      </c>
      <c r="C120" s="155">
        <v>40015649</v>
      </c>
      <c r="D120" s="152" t="s">
        <v>33</v>
      </c>
      <c r="E120" s="152" t="s">
        <v>50</v>
      </c>
      <c r="F120" s="122" t="s">
        <v>1256</v>
      </c>
      <c r="G120" s="851">
        <v>2019</v>
      </c>
      <c r="H120" s="156" t="s">
        <v>1309</v>
      </c>
      <c r="I120" s="154">
        <v>77800000</v>
      </c>
      <c r="J120" s="106">
        <v>4133457</v>
      </c>
      <c r="K120" s="132">
        <v>0</v>
      </c>
      <c r="L120" s="132">
        <v>11931503</v>
      </c>
      <c r="M120" s="132">
        <v>0</v>
      </c>
      <c r="N120" s="132">
        <v>3359001</v>
      </c>
      <c r="O120" s="132">
        <v>0</v>
      </c>
      <c r="P120" s="132">
        <v>0</v>
      </c>
      <c r="Q120" s="132">
        <v>0</v>
      </c>
      <c r="R120" s="132">
        <v>0</v>
      </c>
      <c r="S120" s="132">
        <v>0</v>
      </c>
      <c r="T120" s="132">
        <v>0</v>
      </c>
      <c r="U120" s="132">
        <v>0</v>
      </c>
      <c r="V120" s="132">
        <v>0</v>
      </c>
      <c r="W120" s="132">
        <f t="shared" si="101"/>
        <v>15290504</v>
      </c>
      <c r="X120" s="132">
        <f t="shared" si="102"/>
        <v>15290504</v>
      </c>
      <c r="Y120" s="132">
        <f t="shared" si="103"/>
        <v>58376039</v>
      </c>
      <c r="Z120" s="102" t="s">
        <v>1247</v>
      </c>
    </row>
    <row r="121" spans="1:26" s="69" customFormat="1" ht="23.25" customHeight="1">
      <c r="A121" s="101">
        <v>33125</v>
      </c>
      <c r="B121" s="102" t="s">
        <v>128</v>
      </c>
      <c r="C121" s="155">
        <v>40015667</v>
      </c>
      <c r="D121" s="152" t="s">
        <v>33</v>
      </c>
      <c r="E121" s="152" t="s">
        <v>50</v>
      </c>
      <c r="F121" s="122" t="s">
        <v>1256</v>
      </c>
      <c r="G121" s="851">
        <v>2019</v>
      </c>
      <c r="H121" s="156" t="s">
        <v>1310</v>
      </c>
      <c r="I121" s="154">
        <f>43086867+75394</f>
        <v>43162261</v>
      </c>
      <c r="J121" s="106">
        <v>3854667</v>
      </c>
      <c r="K121" s="132">
        <v>0</v>
      </c>
      <c r="L121" s="132">
        <v>22168595</v>
      </c>
      <c r="M121" s="132">
        <v>0</v>
      </c>
      <c r="N121" s="132">
        <v>17138999</v>
      </c>
      <c r="O121" s="132">
        <v>0</v>
      </c>
      <c r="P121" s="132">
        <v>0</v>
      </c>
      <c r="Q121" s="132">
        <v>0</v>
      </c>
      <c r="R121" s="132">
        <v>0</v>
      </c>
      <c r="S121" s="132">
        <v>0</v>
      </c>
      <c r="T121" s="132">
        <v>0</v>
      </c>
      <c r="U121" s="132">
        <v>0</v>
      </c>
      <c r="V121" s="132">
        <v>0</v>
      </c>
      <c r="W121" s="132">
        <f t="shared" si="101"/>
        <v>39307594</v>
      </c>
      <c r="X121" s="132">
        <f t="shared" si="102"/>
        <v>39307594</v>
      </c>
      <c r="Y121" s="132">
        <f t="shared" si="103"/>
        <v>0</v>
      </c>
      <c r="Z121" s="102" t="s">
        <v>1247</v>
      </c>
    </row>
    <row r="122" spans="1:26" s="69" customFormat="1" ht="23.25" customHeight="1">
      <c r="A122" s="101">
        <v>33125</v>
      </c>
      <c r="B122" s="102" t="s">
        <v>128</v>
      </c>
      <c r="C122" s="151">
        <v>40015665</v>
      </c>
      <c r="D122" s="152" t="s">
        <v>33</v>
      </c>
      <c r="E122" s="152" t="s">
        <v>50</v>
      </c>
      <c r="F122" s="122" t="s">
        <v>1256</v>
      </c>
      <c r="G122" s="851">
        <v>2019</v>
      </c>
      <c r="H122" s="153" t="s">
        <v>1311</v>
      </c>
      <c r="I122" s="154">
        <v>47113133</v>
      </c>
      <c r="J122" s="106">
        <v>7230841</v>
      </c>
      <c r="K122" s="132">
        <v>0</v>
      </c>
      <c r="L122" s="132">
        <v>17127492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0</v>
      </c>
      <c r="T122" s="132">
        <v>0</v>
      </c>
      <c r="U122" s="132">
        <v>0</v>
      </c>
      <c r="V122" s="132">
        <v>0</v>
      </c>
      <c r="W122" s="132">
        <f t="shared" si="101"/>
        <v>17127492</v>
      </c>
      <c r="X122" s="132">
        <f t="shared" si="102"/>
        <v>17127492</v>
      </c>
      <c r="Y122" s="132">
        <f t="shared" si="103"/>
        <v>22754800</v>
      </c>
      <c r="Z122" s="102" t="s">
        <v>1247</v>
      </c>
    </row>
    <row r="123" spans="1:26" s="69" customFormat="1" ht="23.25" customHeight="1">
      <c r="A123" s="101">
        <v>33125</v>
      </c>
      <c r="B123" s="102" t="s">
        <v>128</v>
      </c>
      <c r="C123" s="151">
        <v>40022745</v>
      </c>
      <c r="D123" s="152" t="s">
        <v>33</v>
      </c>
      <c r="E123" s="152" t="s">
        <v>50</v>
      </c>
      <c r="F123" s="122" t="s">
        <v>1658</v>
      </c>
      <c r="G123" s="851">
        <v>2020</v>
      </c>
      <c r="H123" s="871" t="s">
        <v>1659</v>
      </c>
      <c r="I123" s="872">
        <v>83499269</v>
      </c>
      <c r="J123" s="873">
        <v>0</v>
      </c>
      <c r="K123" s="874"/>
      <c r="L123" s="874"/>
      <c r="M123" s="874"/>
      <c r="N123" s="874"/>
      <c r="O123" s="874"/>
      <c r="P123" s="874">
        <v>0</v>
      </c>
      <c r="Q123" s="132">
        <v>0</v>
      </c>
      <c r="R123" s="874"/>
      <c r="S123" s="874"/>
      <c r="T123" s="874"/>
      <c r="U123" s="874"/>
      <c r="V123" s="874"/>
      <c r="W123" s="132">
        <f t="shared" ref="W123:W124" si="104">SUBTOTAL(9,K123:V123)</f>
        <v>0</v>
      </c>
      <c r="X123" s="132">
        <f t="shared" ref="X123:X124" si="105">+V123+U123+T123+S123+R123+Q123+P123+O123+N123+M123+L123+K123</f>
        <v>0</v>
      </c>
      <c r="Y123" s="132">
        <f t="shared" ref="Y123:Y124" si="106">+I123-J123-X123</f>
        <v>83499269</v>
      </c>
      <c r="Z123" s="875" t="s">
        <v>1255</v>
      </c>
    </row>
    <row r="124" spans="1:26" s="69" customFormat="1" ht="23.25" customHeight="1">
      <c r="A124" s="101">
        <v>33125</v>
      </c>
      <c r="B124" s="102" t="s">
        <v>128</v>
      </c>
      <c r="C124" s="151">
        <v>40021890</v>
      </c>
      <c r="D124" s="152" t="s">
        <v>33</v>
      </c>
      <c r="E124" s="152" t="s">
        <v>50</v>
      </c>
      <c r="F124" s="122" t="s">
        <v>1658</v>
      </c>
      <c r="G124" s="851">
        <v>2020</v>
      </c>
      <c r="H124" s="871" t="s">
        <v>1660</v>
      </c>
      <c r="I124" s="872">
        <v>65500731</v>
      </c>
      <c r="J124" s="873">
        <v>0</v>
      </c>
      <c r="K124" s="874"/>
      <c r="L124" s="874"/>
      <c r="M124" s="874"/>
      <c r="N124" s="874"/>
      <c r="O124" s="874"/>
      <c r="P124" s="874">
        <v>0</v>
      </c>
      <c r="Q124" s="132">
        <v>0</v>
      </c>
      <c r="R124" s="874"/>
      <c r="S124" s="874"/>
      <c r="T124" s="874"/>
      <c r="U124" s="874"/>
      <c r="V124" s="874"/>
      <c r="W124" s="132">
        <f t="shared" si="104"/>
        <v>0</v>
      </c>
      <c r="X124" s="132">
        <f t="shared" si="105"/>
        <v>0</v>
      </c>
      <c r="Y124" s="132">
        <f t="shared" si="106"/>
        <v>65500731</v>
      </c>
      <c r="Z124" s="875" t="s">
        <v>1255</v>
      </c>
    </row>
    <row r="125" spans="1:26" s="69" customFormat="1" ht="23.25" customHeight="1">
      <c r="A125" s="101">
        <v>33125</v>
      </c>
      <c r="B125" s="102" t="s">
        <v>196</v>
      </c>
      <c r="C125" s="151">
        <v>40022729</v>
      </c>
      <c r="D125" s="152" t="s">
        <v>33</v>
      </c>
      <c r="E125" s="152" t="s">
        <v>50</v>
      </c>
      <c r="F125" s="122" t="s">
        <v>1582</v>
      </c>
      <c r="G125" s="851">
        <v>2020</v>
      </c>
      <c r="H125" s="871" t="s">
        <v>1595</v>
      </c>
      <c r="I125" s="872">
        <v>51000000</v>
      </c>
      <c r="J125" s="873">
        <v>0</v>
      </c>
      <c r="K125" s="132">
        <v>0</v>
      </c>
      <c r="L125" s="874"/>
      <c r="M125" s="132">
        <v>0</v>
      </c>
      <c r="N125" s="132">
        <v>0</v>
      </c>
      <c r="O125" s="132">
        <v>0</v>
      </c>
      <c r="P125" s="132">
        <v>0</v>
      </c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f t="shared" ref="W125" si="107">SUBTOTAL(9,K125:V125)</f>
        <v>0</v>
      </c>
      <c r="X125" s="132">
        <f t="shared" ref="X125" si="108">+V125+U125+T125+S125+R125+Q125+P125+O125+N125+M125+L125+K125</f>
        <v>0</v>
      </c>
      <c r="Y125" s="132">
        <f t="shared" ref="Y125" si="109">+I125-J125-X125</f>
        <v>51000000</v>
      </c>
      <c r="Z125" s="875" t="s">
        <v>1255</v>
      </c>
    </row>
    <row r="126" spans="1:26" s="62" customFormat="1" ht="23.25" customHeight="1" outlineLevel="2">
      <c r="A126" s="125"/>
      <c r="B126" s="126"/>
      <c r="C126" s="127"/>
      <c r="D126" s="128"/>
      <c r="E126" s="128"/>
      <c r="F126" s="897"/>
      <c r="G126" s="886"/>
      <c r="H126" s="109" t="s">
        <v>187</v>
      </c>
      <c r="I126" s="129">
        <f>SUM(I119:I125)</f>
        <v>400075394</v>
      </c>
      <c r="J126" s="129">
        <f t="shared" ref="J126:Y126" si="110">SUM(J119:J125)</f>
        <v>15218965</v>
      </c>
      <c r="K126" s="129">
        <f t="shared" si="110"/>
        <v>0</v>
      </c>
      <c r="L126" s="129">
        <f t="shared" si="110"/>
        <v>51227590</v>
      </c>
      <c r="M126" s="129">
        <f t="shared" si="110"/>
        <v>0</v>
      </c>
      <c r="N126" s="129">
        <f t="shared" si="110"/>
        <v>35633834</v>
      </c>
      <c r="O126" s="129">
        <f>SUM(O119:O125)</f>
        <v>0</v>
      </c>
      <c r="P126" s="129">
        <f t="shared" ref="P126:Q126" si="111">SUM(P119:P125)</f>
        <v>5966708</v>
      </c>
      <c r="Q126" s="129">
        <f t="shared" si="111"/>
        <v>0</v>
      </c>
      <c r="R126" s="129">
        <f t="shared" si="110"/>
        <v>0</v>
      </c>
      <c r="S126" s="129">
        <f t="shared" si="110"/>
        <v>0</v>
      </c>
      <c r="T126" s="129">
        <f t="shared" si="110"/>
        <v>0</v>
      </c>
      <c r="U126" s="129">
        <f t="shared" si="110"/>
        <v>0</v>
      </c>
      <c r="V126" s="129">
        <f t="shared" si="110"/>
        <v>0</v>
      </c>
      <c r="W126" s="129">
        <f t="shared" si="110"/>
        <v>92828132</v>
      </c>
      <c r="X126" s="129">
        <f t="shared" si="110"/>
        <v>92828132</v>
      </c>
      <c r="Y126" s="129">
        <f t="shared" si="110"/>
        <v>292028297</v>
      </c>
      <c r="Z126" s="137"/>
    </row>
    <row r="127" spans="1:26" s="59" customFormat="1" ht="15" customHeight="1" outlineLevel="1">
      <c r="A127" s="111"/>
      <c r="B127" s="112"/>
      <c r="C127" s="90"/>
      <c r="D127" s="113"/>
      <c r="E127" s="114"/>
      <c r="F127" s="113"/>
      <c r="G127" s="885"/>
      <c r="H127" s="115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35"/>
    </row>
    <row r="128" spans="1:26" s="59" customFormat="1" ht="23.25" outlineLevel="1">
      <c r="A128" s="111"/>
      <c r="B128" s="112"/>
      <c r="C128" s="90"/>
      <c r="D128" s="113"/>
      <c r="E128" s="114"/>
      <c r="F128" s="113"/>
      <c r="G128" s="885"/>
      <c r="H128" s="117" t="s">
        <v>496</v>
      </c>
      <c r="I128" s="118">
        <f>+I126</f>
        <v>400075394</v>
      </c>
      <c r="J128" s="118">
        <f>+J126</f>
        <v>15218965</v>
      </c>
      <c r="K128" s="118">
        <f t="shared" ref="K128:Y128" si="112">+K126</f>
        <v>0</v>
      </c>
      <c r="L128" s="118">
        <f t="shared" ref="L128:M128" si="113">+L126</f>
        <v>51227590</v>
      </c>
      <c r="M128" s="118">
        <f t="shared" si="113"/>
        <v>0</v>
      </c>
      <c r="N128" s="118">
        <v>35633834</v>
      </c>
      <c r="O128" s="118">
        <v>0</v>
      </c>
      <c r="P128" s="118">
        <f t="shared" ref="P128:Q128" si="114">+P126</f>
        <v>5966708</v>
      </c>
      <c r="Q128" s="118">
        <f t="shared" si="114"/>
        <v>0</v>
      </c>
      <c r="R128" s="118">
        <f t="shared" si="112"/>
        <v>0</v>
      </c>
      <c r="S128" s="118">
        <f t="shared" si="112"/>
        <v>0</v>
      </c>
      <c r="T128" s="118">
        <f t="shared" si="112"/>
        <v>0</v>
      </c>
      <c r="U128" s="118">
        <f t="shared" si="112"/>
        <v>0</v>
      </c>
      <c r="V128" s="118">
        <f t="shared" si="112"/>
        <v>0</v>
      </c>
      <c r="W128" s="118">
        <f t="shared" si="112"/>
        <v>92828132</v>
      </c>
      <c r="X128" s="118">
        <f t="shared" si="112"/>
        <v>92828132</v>
      </c>
      <c r="Y128" s="118">
        <f t="shared" si="112"/>
        <v>292028297</v>
      </c>
      <c r="Z128" s="135"/>
    </row>
    <row r="129" spans="1:26" s="68" customFormat="1" ht="15" customHeight="1" outlineLevel="1">
      <c r="A129" s="111"/>
      <c r="B129" s="112"/>
      <c r="C129" s="90"/>
      <c r="D129" s="113"/>
      <c r="E129" s="114"/>
      <c r="F129" s="113"/>
      <c r="G129" s="885"/>
      <c r="H129" s="119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35"/>
    </row>
    <row r="130" spans="1:26" s="68" customFormat="1" ht="23.25" outlineLevel="1">
      <c r="A130" s="111"/>
      <c r="B130" s="112"/>
      <c r="C130" s="90"/>
      <c r="D130" s="113"/>
      <c r="E130" s="114"/>
      <c r="F130" s="113"/>
      <c r="G130" s="885"/>
      <c r="H130" s="93" t="s">
        <v>497</v>
      </c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35"/>
    </row>
    <row r="131" spans="1:26" s="66" customFormat="1" ht="23.25" customHeight="1" outlineLevel="1">
      <c r="A131" s="147"/>
      <c r="B131" s="89"/>
      <c r="C131" s="90"/>
      <c r="D131" s="91"/>
      <c r="E131" s="92"/>
      <c r="F131" s="113"/>
      <c r="G131" s="883"/>
      <c r="H131" s="99" t="s">
        <v>127</v>
      </c>
      <c r="I131" s="94"/>
      <c r="J131" s="94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94"/>
      <c r="Z131" s="162"/>
    </row>
    <row r="132" spans="1:26" s="70" customFormat="1" ht="23.25" customHeight="1" outlineLevel="1">
      <c r="A132" s="101">
        <v>33125</v>
      </c>
      <c r="B132" s="102" t="s">
        <v>128</v>
      </c>
      <c r="C132" s="120">
        <v>40015380</v>
      </c>
      <c r="D132" s="104" t="s">
        <v>33</v>
      </c>
      <c r="E132" s="104" t="s">
        <v>51</v>
      </c>
      <c r="F132" s="122" t="s">
        <v>1256</v>
      </c>
      <c r="G132" s="851">
        <v>2019</v>
      </c>
      <c r="H132" s="157" t="s">
        <v>1313</v>
      </c>
      <c r="I132" s="158">
        <v>96000000</v>
      </c>
      <c r="J132" s="106">
        <v>0</v>
      </c>
      <c r="K132" s="132">
        <v>0</v>
      </c>
      <c r="L132" s="132">
        <v>0</v>
      </c>
      <c r="M132" s="132">
        <v>0</v>
      </c>
      <c r="N132" s="132">
        <v>27162245</v>
      </c>
      <c r="O132" s="132">
        <v>0</v>
      </c>
      <c r="P132" s="132">
        <v>0</v>
      </c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f t="shared" ref="W132:W135" si="115">SUBTOTAL(9,K132:V132)</f>
        <v>27162245</v>
      </c>
      <c r="X132" s="132">
        <f t="shared" ref="X132:X135" si="116">+V132+U132+T132+S132+R132+Q132+P132+O132+N132+M132+L132+K132</f>
        <v>27162245</v>
      </c>
      <c r="Y132" s="132">
        <f t="shared" ref="Y132:Y135" si="117">+I132-J132-X132</f>
        <v>68837755</v>
      </c>
      <c r="Z132" s="102" t="s">
        <v>1247</v>
      </c>
    </row>
    <row r="133" spans="1:26" s="70" customFormat="1" ht="23.25" customHeight="1" outlineLevel="1">
      <c r="A133" s="101">
        <v>33125</v>
      </c>
      <c r="B133" s="102" t="s">
        <v>128</v>
      </c>
      <c r="C133" s="120">
        <v>40015475</v>
      </c>
      <c r="D133" s="104" t="s">
        <v>33</v>
      </c>
      <c r="E133" s="104" t="s">
        <v>51</v>
      </c>
      <c r="F133" s="122" t="s">
        <v>1256</v>
      </c>
      <c r="G133" s="851">
        <v>2019</v>
      </c>
      <c r="H133" s="157" t="s">
        <v>1314</v>
      </c>
      <c r="I133" s="158">
        <v>96000000</v>
      </c>
      <c r="J133" s="106">
        <v>23089290</v>
      </c>
      <c r="K133" s="132">
        <v>0</v>
      </c>
      <c r="L133" s="132">
        <v>0</v>
      </c>
      <c r="M133" s="132">
        <v>0</v>
      </c>
      <c r="N133" s="132">
        <v>53543860</v>
      </c>
      <c r="O133" s="132">
        <v>17866850</v>
      </c>
      <c r="P133" s="132">
        <v>0</v>
      </c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f t="shared" si="115"/>
        <v>71410710</v>
      </c>
      <c r="X133" s="132">
        <f t="shared" si="116"/>
        <v>71410710</v>
      </c>
      <c r="Y133" s="132">
        <f t="shared" si="117"/>
        <v>1500000</v>
      </c>
      <c r="Z133" s="102" t="s">
        <v>1247</v>
      </c>
    </row>
    <row r="134" spans="1:26" s="70" customFormat="1" ht="23.25" customHeight="1" outlineLevel="1">
      <c r="A134" s="101">
        <v>33125</v>
      </c>
      <c r="B134" s="102" t="s">
        <v>128</v>
      </c>
      <c r="C134" s="120">
        <v>40008526</v>
      </c>
      <c r="D134" s="104" t="s">
        <v>33</v>
      </c>
      <c r="E134" s="104" t="s">
        <v>51</v>
      </c>
      <c r="F134" s="104" t="s">
        <v>1286</v>
      </c>
      <c r="G134" s="851">
        <v>2018</v>
      </c>
      <c r="H134" s="157" t="s">
        <v>1315</v>
      </c>
      <c r="I134" s="158">
        <v>96000000</v>
      </c>
      <c r="J134" s="106">
        <v>47474603</v>
      </c>
      <c r="K134" s="132">
        <v>0</v>
      </c>
      <c r="L134" s="132">
        <v>0</v>
      </c>
      <c r="M134" s="132">
        <v>14264977</v>
      </c>
      <c r="N134" s="132">
        <v>0</v>
      </c>
      <c r="O134" s="132">
        <v>0</v>
      </c>
      <c r="P134" s="132">
        <v>33502308</v>
      </c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f t="shared" si="115"/>
        <v>47767285</v>
      </c>
      <c r="X134" s="132">
        <f t="shared" si="116"/>
        <v>47767285</v>
      </c>
      <c r="Y134" s="132">
        <f t="shared" si="117"/>
        <v>758112</v>
      </c>
      <c r="Z134" s="102" t="s">
        <v>1247</v>
      </c>
    </row>
    <row r="135" spans="1:26" s="70" customFormat="1" ht="23.25" customHeight="1" outlineLevel="1">
      <c r="A135" s="101">
        <v>33125</v>
      </c>
      <c r="B135" s="102" t="s">
        <v>196</v>
      </c>
      <c r="C135" s="120">
        <v>40021980</v>
      </c>
      <c r="D135" s="104" t="s">
        <v>33</v>
      </c>
      <c r="E135" s="104" t="s">
        <v>51</v>
      </c>
      <c r="F135" s="104" t="s">
        <v>1658</v>
      </c>
      <c r="G135" s="851">
        <v>2020</v>
      </c>
      <c r="H135" s="878" t="s">
        <v>1680</v>
      </c>
      <c r="I135" s="901">
        <v>99346000</v>
      </c>
      <c r="J135" s="873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2">
        <v>0</v>
      </c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f t="shared" si="115"/>
        <v>0</v>
      </c>
      <c r="X135" s="132">
        <f t="shared" si="116"/>
        <v>0</v>
      </c>
      <c r="Y135" s="132">
        <f t="shared" si="117"/>
        <v>99346000</v>
      </c>
      <c r="Z135" s="875" t="s">
        <v>1255</v>
      </c>
    </row>
    <row r="136" spans="1:26" s="70" customFormat="1" ht="23.25" customHeight="1" outlineLevel="1">
      <c r="A136" s="101">
        <v>33125</v>
      </c>
      <c r="B136" s="102" t="s">
        <v>196</v>
      </c>
      <c r="C136" s="120">
        <v>40022048</v>
      </c>
      <c r="D136" s="104" t="s">
        <v>33</v>
      </c>
      <c r="E136" s="104" t="s">
        <v>51</v>
      </c>
      <c r="F136" s="104" t="s">
        <v>1582</v>
      </c>
      <c r="G136" s="851">
        <v>2020</v>
      </c>
      <c r="H136" s="878" t="s">
        <v>1594</v>
      </c>
      <c r="I136" s="901">
        <v>99345000</v>
      </c>
      <c r="J136" s="873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2">
        <v>0</v>
      </c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f t="shared" ref="W136" si="118">SUBTOTAL(9,K136:V136)</f>
        <v>0</v>
      </c>
      <c r="X136" s="132">
        <f t="shared" ref="X136" si="119">+V136+U136+T136+S136+R136+Q136+P136+O136+N136+M136+L136+K136</f>
        <v>0</v>
      </c>
      <c r="Y136" s="132">
        <f t="shared" ref="Y136" si="120">+I136-J136-X136</f>
        <v>99345000</v>
      </c>
      <c r="Z136" s="875" t="s">
        <v>1255</v>
      </c>
    </row>
    <row r="137" spans="1:26" s="62" customFormat="1" ht="23.25" customHeight="1" outlineLevel="2">
      <c r="A137" s="125"/>
      <c r="B137" s="126"/>
      <c r="C137" s="127"/>
      <c r="D137" s="128"/>
      <c r="E137" s="128"/>
      <c r="F137" s="897"/>
      <c r="G137" s="886"/>
      <c r="H137" s="109" t="s">
        <v>187</v>
      </c>
      <c r="I137" s="129">
        <f>SUM(I132:I136)</f>
        <v>486691000</v>
      </c>
      <c r="J137" s="129">
        <f t="shared" ref="J137:Y137" si="121">SUM(J132:J136)</f>
        <v>70563893</v>
      </c>
      <c r="K137" s="129">
        <f t="shared" si="121"/>
        <v>0</v>
      </c>
      <c r="L137" s="129">
        <f t="shared" si="121"/>
        <v>0</v>
      </c>
      <c r="M137" s="129">
        <f t="shared" si="121"/>
        <v>14264977</v>
      </c>
      <c r="N137" s="129">
        <f t="shared" si="121"/>
        <v>80706105</v>
      </c>
      <c r="O137" s="129">
        <f t="shared" si="121"/>
        <v>17866850</v>
      </c>
      <c r="P137" s="129">
        <f t="shared" ref="P137:Q137" si="122">SUM(P132:P136)</f>
        <v>33502308</v>
      </c>
      <c r="Q137" s="129">
        <f t="shared" si="122"/>
        <v>0</v>
      </c>
      <c r="R137" s="129">
        <f t="shared" si="121"/>
        <v>0</v>
      </c>
      <c r="S137" s="129">
        <f t="shared" si="121"/>
        <v>0</v>
      </c>
      <c r="T137" s="129">
        <f t="shared" si="121"/>
        <v>0</v>
      </c>
      <c r="U137" s="129">
        <f t="shared" si="121"/>
        <v>0</v>
      </c>
      <c r="V137" s="129">
        <f t="shared" si="121"/>
        <v>0</v>
      </c>
      <c r="W137" s="129">
        <f t="shared" si="121"/>
        <v>146340240</v>
      </c>
      <c r="X137" s="129">
        <f t="shared" si="121"/>
        <v>146340240</v>
      </c>
      <c r="Y137" s="129">
        <f t="shared" si="121"/>
        <v>269786867</v>
      </c>
      <c r="Z137" s="137"/>
    </row>
    <row r="138" spans="1:26" s="59" customFormat="1" ht="15" customHeight="1" outlineLevel="1">
      <c r="A138" s="111"/>
      <c r="B138" s="112"/>
      <c r="C138" s="90"/>
      <c r="D138" s="113"/>
      <c r="E138" s="114"/>
      <c r="F138" s="113"/>
      <c r="G138" s="885"/>
      <c r="H138" s="115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35"/>
    </row>
    <row r="139" spans="1:26" s="59" customFormat="1" ht="23.25" outlineLevel="1">
      <c r="A139" s="111"/>
      <c r="B139" s="112"/>
      <c r="C139" s="90"/>
      <c r="D139" s="113"/>
      <c r="E139" s="114"/>
      <c r="F139" s="113"/>
      <c r="G139" s="885"/>
      <c r="H139" s="117" t="s">
        <v>523</v>
      </c>
      <c r="I139" s="118">
        <f>+I137</f>
        <v>486691000</v>
      </c>
      <c r="J139" s="118">
        <f t="shared" ref="J139:Y139" si="123">+J137</f>
        <v>70563893</v>
      </c>
      <c r="K139" s="118">
        <f t="shared" si="123"/>
        <v>0</v>
      </c>
      <c r="L139" s="118">
        <f t="shared" ref="L139:M139" si="124">+L137</f>
        <v>0</v>
      </c>
      <c r="M139" s="118">
        <f t="shared" si="124"/>
        <v>14264977</v>
      </c>
      <c r="N139" s="118">
        <v>80706105</v>
      </c>
      <c r="O139" s="118">
        <v>17866850</v>
      </c>
      <c r="P139" s="118">
        <f t="shared" ref="P139:Q139" si="125">+P137</f>
        <v>33502308</v>
      </c>
      <c r="Q139" s="118">
        <f t="shared" si="125"/>
        <v>0</v>
      </c>
      <c r="R139" s="118">
        <f t="shared" si="123"/>
        <v>0</v>
      </c>
      <c r="S139" s="118">
        <f t="shared" si="123"/>
        <v>0</v>
      </c>
      <c r="T139" s="118">
        <f t="shared" si="123"/>
        <v>0</v>
      </c>
      <c r="U139" s="118">
        <f t="shared" si="123"/>
        <v>0</v>
      </c>
      <c r="V139" s="118">
        <f t="shared" si="123"/>
        <v>0</v>
      </c>
      <c r="W139" s="118">
        <f t="shared" si="123"/>
        <v>146340240</v>
      </c>
      <c r="X139" s="118">
        <f t="shared" si="123"/>
        <v>146340240</v>
      </c>
      <c r="Y139" s="118">
        <f t="shared" si="123"/>
        <v>269786867</v>
      </c>
      <c r="Z139" s="135"/>
    </row>
    <row r="140" spans="1:26" s="68" customFormat="1" ht="15" customHeight="1" outlineLevel="1">
      <c r="A140" s="111"/>
      <c r="B140" s="112"/>
      <c r="C140" s="90"/>
      <c r="D140" s="113"/>
      <c r="E140" s="114"/>
      <c r="F140" s="113"/>
      <c r="G140" s="885"/>
      <c r="H140" s="119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35"/>
    </row>
    <row r="141" spans="1:26" s="59" customFormat="1" ht="23.25" outlineLevel="1">
      <c r="A141" s="88"/>
      <c r="B141" s="89"/>
      <c r="C141" s="90"/>
      <c r="D141" s="91"/>
      <c r="E141" s="92"/>
      <c r="F141" s="113"/>
      <c r="G141" s="883"/>
      <c r="H141" s="163" t="s">
        <v>524</v>
      </c>
      <c r="I141" s="94"/>
      <c r="J141" s="94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94"/>
      <c r="Z141" s="133"/>
    </row>
    <row r="142" spans="1:26" s="66" customFormat="1" ht="23.25" customHeight="1" outlineLevel="1">
      <c r="A142" s="147"/>
      <c r="B142" s="89"/>
      <c r="C142" s="90"/>
      <c r="D142" s="91"/>
      <c r="E142" s="92"/>
      <c r="F142" s="113"/>
      <c r="G142" s="883"/>
      <c r="H142" s="99" t="s">
        <v>127</v>
      </c>
      <c r="I142" s="94"/>
      <c r="J142" s="94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94"/>
      <c r="Z142" s="162"/>
    </row>
    <row r="143" spans="1:26" s="67" customFormat="1" ht="23.25" customHeight="1" outlineLevel="2">
      <c r="A143" s="101">
        <v>33125</v>
      </c>
      <c r="B143" s="102" t="s">
        <v>128</v>
      </c>
      <c r="C143" s="103">
        <v>40015629</v>
      </c>
      <c r="D143" s="104" t="s">
        <v>33</v>
      </c>
      <c r="E143" s="104" t="s">
        <v>33</v>
      </c>
      <c r="F143" s="122" t="s">
        <v>1256</v>
      </c>
      <c r="G143" s="851">
        <v>2019</v>
      </c>
      <c r="H143" s="164" t="s">
        <v>1317</v>
      </c>
      <c r="I143" s="165">
        <v>25000000</v>
      </c>
      <c r="J143" s="106">
        <v>0</v>
      </c>
      <c r="K143" s="132">
        <v>0</v>
      </c>
      <c r="L143" s="132">
        <v>0</v>
      </c>
      <c r="M143" s="132">
        <v>0</v>
      </c>
      <c r="N143" s="132">
        <v>0</v>
      </c>
      <c r="O143" s="132">
        <v>18722865</v>
      </c>
      <c r="P143" s="132">
        <v>0</v>
      </c>
      <c r="Q143" s="132">
        <v>4000185</v>
      </c>
      <c r="R143" s="132">
        <v>0</v>
      </c>
      <c r="S143" s="132">
        <v>0</v>
      </c>
      <c r="T143" s="132">
        <v>0</v>
      </c>
      <c r="U143" s="132">
        <v>0</v>
      </c>
      <c r="V143" s="132">
        <v>0</v>
      </c>
      <c r="W143" s="132">
        <f t="shared" ref="W143:W147" si="126">SUBTOTAL(9,K143:V143)</f>
        <v>22723050</v>
      </c>
      <c r="X143" s="132">
        <f t="shared" ref="X143:X147" si="127">+V143+U143+T143+S143+R143+Q143+P143+O143+N143+M143+L143+K143</f>
        <v>22723050</v>
      </c>
      <c r="Y143" s="132">
        <f t="shared" ref="Y143:Y147" si="128">+I143-J143-X143</f>
        <v>2276950</v>
      </c>
      <c r="Z143" s="102" t="s">
        <v>1247</v>
      </c>
    </row>
    <row r="144" spans="1:26" s="67" customFormat="1" ht="23.25" customHeight="1" outlineLevel="2">
      <c r="A144" s="101">
        <v>33125</v>
      </c>
      <c r="B144" s="102" t="s">
        <v>128</v>
      </c>
      <c r="C144" s="103">
        <v>40008382</v>
      </c>
      <c r="D144" s="104" t="s">
        <v>33</v>
      </c>
      <c r="E144" s="104" t="s">
        <v>33</v>
      </c>
      <c r="F144" s="122"/>
      <c r="G144" s="851"/>
      <c r="H144" s="164" t="s">
        <v>1318</v>
      </c>
      <c r="I144" s="165">
        <v>25649000</v>
      </c>
      <c r="J144" s="106">
        <v>0</v>
      </c>
      <c r="K144" s="106">
        <v>0</v>
      </c>
      <c r="L144" s="132">
        <v>14592375</v>
      </c>
      <c r="M144" s="132">
        <v>0</v>
      </c>
      <c r="N144" s="132">
        <v>0</v>
      </c>
      <c r="O144" s="106">
        <v>0</v>
      </c>
      <c r="P144" s="132">
        <v>9907625</v>
      </c>
      <c r="Q144" s="132">
        <v>0</v>
      </c>
      <c r="R144" s="106">
        <v>0</v>
      </c>
      <c r="S144" s="106">
        <v>0</v>
      </c>
      <c r="T144" s="106">
        <v>0</v>
      </c>
      <c r="U144" s="106">
        <v>0</v>
      </c>
      <c r="V144" s="106">
        <v>0</v>
      </c>
      <c r="W144" s="132">
        <f t="shared" si="126"/>
        <v>24500000</v>
      </c>
      <c r="X144" s="132">
        <f t="shared" si="127"/>
        <v>24500000</v>
      </c>
      <c r="Y144" s="132">
        <f t="shared" si="128"/>
        <v>1149000</v>
      </c>
      <c r="Z144" s="102" t="s">
        <v>1247</v>
      </c>
    </row>
    <row r="145" spans="1:26" s="67" customFormat="1" ht="23.25" customHeight="1" outlineLevel="2">
      <c r="A145" s="101">
        <v>33125</v>
      </c>
      <c r="B145" s="102" t="s">
        <v>128</v>
      </c>
      <c r="C145" s="103">
        <v>40015139</v>
      </c>
      <c r="D145" s="104" t="s">
        <v>33</v>
      </c>
      <c r="E145" s="104" t="s">
        <v>33</v>
      </c>
      <c r="F145" s="122" t="s">
        <v>1256</v>
      </c>
      <c r="G145" s="851">
        <v>2019</v>
      </c>
      <c r="H145" s="164" t="s">
        <v>1319</v>
      </c>
      <c r="I145" s="165">
        <v>75000000</v>
      </c>
      <c r="J145" s="106">
        <v>0</v>
      </c>
      <c r="K145" s="132">
        <v>0</v>
      </c>
      <c r="L145" s="132">
        <v>37200888</v>
      </c>
      <c r="M145" s="132">
        <v>0</v>
      </c>
      <c r="N145" s="132">
        <v>26160264</v>
      </c>
      <c r="O145" s="132">
        <v>0</v>
      </c>
      <c r="P145" s="132">
        <v>0</v>
      </c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f t="shared" si="126"/>
        <v>63361152</v>
      </c>
      <c r="X145" s="132">
        <f t="shared" si="127"/>
        <v>63361152</v>
      </c>
      <c r="Y145" s="132">
        <f t="shared" si="128"/>
        <v>11638848</v>
      </c>
      <c r="Z145" s="102" t="s">
        <v>1247</v>
      </c>
    </row>
    <row r="146" spans="1:26" s="67" customFormat="1" ht="23.25" customHeight="1" outlineLevel="2">
      <c r="A146" s="101">
        <v>33125</v>
      </c>
      <c r="B146" s="102" t="s">
        <v>128</v>
      </c>
      <c r="C146" s="166">
        <v>40015256</v>
      </c>
      <c r="D146" s="167" t="s">
        <v>33</v>
      </c>
      <c r="E146" s="167" t="s">
        <v>33</v>
      </c>
      <c r="F146" s="122" t="s">
        <v>1256</v>
      </c>
      <c r="G146" s="851">
        <v>2019</v>
      </c>
      <c r="H146" s="168" t="s">
        <v>1320</v>
      </c>
      <c r="I146" s="165">
        <v>50000000</v>
      </c>
      <c r="J146" s="106">
        <v>0</v>
      </c>
      <c r="K146" s="132">
        <v>0</v>
      </c>
      <c r="L146" s="132">
        <v>2506477</v>
      </c>
      <c r="M146" s="132">
        <v>0</v>
      </c>
      <c r="N146" s="132">
        <v>0</v>
      </c>
      <c r="O146" s="132">
        <v>0</v>
      </c>
      <c r="P146" s="132">
        <v>0</v>
      </c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f t="shared" si="126"/>
        <v>2506477</v>
      </c>
      <c r="X146" s="132">
        <f t="shared" si="127"/>
        <v>2506477</v>
      </c>
      <c r="Y146" s="132">
        <f t="shared" si="128"/>
        <v>47493523</v>
      </c>
      <c r="Z146" s="102" t="s">
        <v>1247</v>
      </c>
    </row>
    <row r="147" spans="1:26" s="67" customFormat="1" ht="23.25" customHeight="1" outlineLevel="2">
      <c r="A147" s="101">
        <v>33125</v>
      </c>
      <c r="B147" s="102" t="s">
        <v>128</v>
      </c>
      <c r="C147" s="155">
        <v>40015347</v>
      </c>
      <c r="D147" s="104" t="s">
        <v>33</v>
      </c>
      <c r="E147" s="104" t="s">
        <v>33</v>
      </c>
      <c r="F147" s="122" t="s">
        <v>1256</v>
      </c>
      <c r="G147" s="851">
        <v>2019</v>
      </c>
      <c r="H147" s="156" t="s">
        <v>1321</v>
      </c>
      <c r="I147" s="169">
        <v>49997007</v>
      </c>
      <c r="J147" s="106">
        <v>0</v>
      </c>
      <c r="K147" s="132">
        <v>0</v>
      </c>
      <c r="L147" s="132">
        <v>11116831</v>
      </c>
      <c r="M147" s="132">
        <v>0</v>
      </c>
      <c r="N147" s="132">
        <v>27238803</v>
      </c>
      <c r="O147" s="132">
        <v>0</v>
      </c>
      <c r="P147" s="132">
        <v>0</v>
      </c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f t="shared" si="126"/>
        <v>38355634</v>
      </c>
      <c r="X147" s="132">
        <f t="shared" si="127"/>
        <v>38355634</v>
      </c>
      <c r="Y147" s="132">
        <f t="shared" si="128"/>
        <v>11641373</v>
      </c>
      <c r="Z147" s="102" t="s">
        <v>1247</v>
      </c>
    </row>
    <row r="148" spans="1:26" s="62" customFormat="1" ht="23.25" customHeight="1" outlineLevel="2">
      <c r="A148" s="125"/>
      <c r="B148" s="126"/>
      <c r="C148" s="127"/>
      <c r="D148" s="128"/>
      <c r="E148" s="128"/>
      <c r="F148" s="897"/>
      <c r="G148" s="886"/>
      <c r="H148" s="109" t="s">
        <v>187</v>
      </c>
      <c r="I148" s="129">
        <f t="shared" ref="I148:N148" si="129">SUM(I143:I147)</f>
        <v>225646007</v>
      </c>
      <c r="J148" s="129">
        <f t="shared" si="129"/>
        <v>0</v>
      </c>
      <c r="K148" s="129">
        <f t="shared" si="129"/>
        <v>0</v>
      </c>
      <c r="L148" s="129">
        <f t="shared" si="129"/>
        <v>65416571</v>
      </c>
      <c r="M148" s="129">
        <f t="shared" si="129"/>
        <v>0</v>
      </c>
      <c r="N148" s="129">
        <f t="shared" si="129"/>
        <v>53399067</v>
      </c>
      <c r="O148" s="129">
        <f t="shared" ref="O148" si="130">SUM(O143:O147)</f>
        <v>18722865</v>
      </c>
      <c r="P148" s="129">
        <f t="shared" ref="P148:Q148" si="131">SUM(P143:P147)</f>
        <v>9907625</v>
      </c>
      <c r="Q148" s="129">
        <f t="shared" si="131"/>
        <v>4000185</v>
      </c>
      <c r="R148" s="129">
        <f t="shared" ref="R148:Y148" si="132">SUM(R143:R147)</f>
        <v>0</v>
      </c>
      <c r="S148" s="129">
        <f t="shared" si="132"/>
        <v>0</v>
      </c>
      <c r="T148" s="129">
        <f t="shared" si="132"/>
        <v>0</v>
      </c>
      <c r="U148" s="129">
        <f t="shared" si="132"/>
        <v>0</v>
      </c>
      <c r="V148" s="129">
        <f t="shared" si="132"/>
        <v>0</v>
      </c>
      <c r="W148" s="129">
        <f t="shared" si="132"/>
        <v>151446313</v>
      </c>
      <c r="X148" s="129">
        <f t="shared" si="132"/>
        <v>151446313</v>
      </c>
      <c r="Y148" s="129">
        <f t="shared" si="132"/>
        <v>74199694</v>
      </c>
      <c r="Z148" s="137"/>
    </row>
    <row r="149" spans="1:26" s="59" customFormat="1" ht="15" customHeight="1" outlineLevel="1">
      <c r="A149" s="111"/>
      <c r="B149" s="112"/>
      <c r="C149" s="90"/>
      <c r="D149" s="113"/>
      <c r="E149" s="114"/>
      <c r="F149" s="113"/>
      <c r="G149" s="885"/>
      <c r="H149" s="115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35"/>
    </row>
    <row r="150" spans="1:26" s="59" customFormat="1" ht="23.25" outlineLevel="1">
      <c r="A150" s="111"/>
      <c r="B150" s="112"/>
      <c r="C150" s="90"/>
      <c r="D150" s="113"/>
      <c r="E150" s="114"/>
      <c r="F150" s="113"/>
      <c r="G150" s="885"/>
      <c r="H150" s="117" t="s">
        <v>535</v>
      </c>
      <c r="I150" s="118">
        <f>+I148</f>
        <v>225646007</v>
      </c>
      <c r="J150" s="118">
        <f t="shared" ref="J150:Y150" si="133">+J148</f>
        <v>0</v>
      </c>
      <c r="K150" s="118">
        <f t="shared" si="133"/>
        <v>0</v>
      </c>
      <c r="L150" s="118">
        <f t="shared" ref="L150:M150" si="134">+L148</f>
        <v>65416571</v>
      </c>
      <c r="M150" s="118">
        <f t="shared" si="134"/>
        <v>0</v>
      </c>
      <c r="N150" s="118">
        <v>53399067</v>
      </c>
      <c r="O150" s="118">
        <f t="shared" ref="O150" si="135">+O148</f>
        <v>18722865</v>
      </c>
      <c r="P150" s="118">
        <f t="shared" ref="P150:Q150" si="136">+P148</f>
        <v>9907625</v>
      </c>
      <c r="Q150" s="118">
        <f t="shared" si="136"/>
        <v>4000185</v>
      </c>
      <c r="R150" s="118">
        <f t="shared" si="133"/>
        <v>0</v>
      </c>
      <c r="S150" s="118">
        <f t="shared" si="133"/>
        <v>0</v>
      </c>
      <c r="T150" s="118">
        <f t="shared" si="133"/>
        <v>0</v>
      </c>
      <c r="U150" s="118">
        <f t="shared" si="133"/>
        <v>0</v>
      </c>
      <c r="V150" s="118">
        <f t="shared" si="133"/>
        <v>0</v>
      </c>
      <c r="W150" s="118">
        <f t="shared" si="133"/>
        <v>151446313</v>
      </c>
      <c r="X150" s="118">
        <f t="shared" si="133"/>
        <v>151446313</v>
      </c>
      <c r="Y150" s="118">
        <f t="shared" si="133"/>
        <v>74199694</v>
      </c>
      <c r="Z150" s="135"/>
    </row>
    <row r="151" spans="1:26" s="71" customFormat="1" ht="15" customHeight="1" outlineLevel="1">
      <c r="A151" s="88"/>
      <c r="B151" s="89"/>
      <c r="C151" s="90"/>
      <c r="D151" s="170"/>
      <c r="E151" s="171"/>
      <c r="F151" s="113"/>
      <c r="G151" s="888"/>
      <c r="H151" s="130"/>
      <c r="I151" s="94"/>
      <c r="J151" s="94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  <c r="Y151" s="94"/>
      <c r="Z151" s="133"/>
    </row>
    <row r="152" spans="1:26" s="59" customFormat="1" ht="23.25" outlineLevel="1">
      <c r="A152" s="88"/>
      <c r="B152" s="89"/>
      <c r="C152" s="90"/>
      <c r="D152" s="91"/>
      <c r="E152" s="92"/>
      <c r="F152" s="113"/>
      <c r="G152" s="883"/>
      <c r="H152" s="93" t="s">
        <v>536</v>
      </c>
      <c r="I152" s="94"/>
      <c r="J152" s="94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94"/>
      <c r="Z152" s="133"/>
    </row>
    <row r="153" spans="1:26" s="66" customFormat="1" ht="23.25" customHeight="1" outlineLevel="1">
      <c r="A153" s="147"/>
      <c r="B153" s="89"/>
      <c r="C153" s="90"/>
      <c r="D153" s="91"/>
      <c r="E153" s="92"/>
      <c r="F153" s="113"/>
      <c r="G153" s="883"/>
      <c r="H153" s="99" t="s">
        <v>127</v>
      </c>
      <c r="I153" s="94"/>
      <c r="J153" s="94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94"/>
      <c r="Z153" s="162"/>
    </row>
    <row r="154" spans="1:26" s="67" customFormat="1" ht="23.25" customHeight="1" outlineLevel="2">
      <c r="A154" s="101">
        <v>33125</v>
      </c>
      <c r="B154" s="102" t="s">
        <v>128</v>
      </c>
      <c r="C154" s="120">
        <v>40014893</v>
      </c>
      <c r="D154" s="172" t="s">
        <v>33</v>
      </c>
      <c r="E154" s="172" t="s">
        <v>52</v>
      </c>
      <c r="F154" s="122" t="s">
        <v>1256</v>
      </c>
      <c r="G154" s="851">
        <v>2019</v>
      </c>
      <c r="H154" s="173" t="s">
        <v>1323</v>
      </c>
      <c r="I154" s="165">
        <v>78300000</v>
      </c>
      <c r="J154" s="106">
        <v>53672894</v>
      </c>
      <c r="K154" s="132">
        <v>0</v>
      </c>
      <c r="L154" s="132">
        <v>0</v>
      </c>
      <c r="M154" s="132">
        <v>0</v>
      </c>
      <c r="N154" s="132">
        <v>23007106</v>
      </c>
      <c r="O154" s="132">
        <v>0</v>
      </c>
      <c r="P154" s="132">
        <v>0</v>
      </c>
      <c r="Q154" s="132">
        <v>0</v>
      </c>
      <c r="R154" s="132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f t="shared" ref="W154:W159" si="137">SUBTOTAL(9,K154:V154)</f>
        <v>23007106</v>
      </c>
      <c r="X154" s="132">
        <f t="shared" ref="X154:X159" si="138">+V154+U154+T154+S154+R154+Q154+P154+O154+N154+M154+L154+K154</f>
        <v>23007106</v>
      </c>
      <c r="Y154" s="132">
        <f t="shared" ref="Y154:Y159" si="139">+I154-J154-X154</f>
        <v>1620000</v>
      </c>
      <c r="Z154" s="102" t="s">
        <v>1247</v>
      </c>
    </row>
    <row r="155" spans="1:26" s="67" customFormat="1" ht="23.25" customHeight="1" outlineLevel="2">
      <c r="A155" s="101">
        <v>33125</v>
      </c>
      <c r="B155" s="102" t="s">
        <v>128</v>
      </c>
      <c r="C155" s="120">
        <v>40011574</v>
      </c>
      <c r="D155" s="172" t="s">
        <v>33</v>
      </c>
      <c r="E155" s="172" t="s">
        <v>52</v>
      </c>
      <c r="F155" s="122" t="s">
        <v>1256</v>
      </c>
      <c r="G155" s="851">
        <v>2019</v>
      </c>
      <c r="H155" s="173" t="s">
        <v>1324</v>
      </c>
      <c r="I155" s="165">
        <v>96700000</v>
      </c>
      <c r="J155" s="106">
        <v>66733492</v>
      </c>
      <c r="K155" s="132">
        <v>0</v>
      </c>
      <c r="L155" s="132">
        <v>0</v>
      </c>
      <c r="M155" s="132">
        <v>0</v>
      </c>
      <c r="N155" s="132">
        <v>0</v>
      </c>
      <c r="O155" s="132">
        <v>28596508</v>
      </c>
      <c r="P155" s="132">
        <v>0</v>
      </c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f t="shared" si="137"/>
        <v>28596508</v>
      </c>
      <c r="X155" s="132">
        <f t="shared" si="138"/>
        <v>28596508</v>
      </c>
      <c r="Y155" s="132">
        <f t="shared" si="139"/>
        <v>1370000</v>
      </c>
      <c r="Z155" s="102" t="s">
        <v>1247</v>
      </c>
    </row>
    <row r="156" spans="1:26" s="67" customFormat="1" ht="23.25" customHeight="1" outlineLevel="2">
      <c r="A156" s="101">
        <v>33125</v>
      </c>
      <c r="B156" s="102" t="s">
        <v>128</v>
      </c>
      <c r="C156" s="120">
        <v>40015637</v>
      </c>
      <c r="D156" s="172" t="s">
        <v>33</v>
      </c>
      <c r="E156" s="172" t="s">
        <v>52</v>
      </c>
      <c r="F156" s="104" t="s">
        <v>1245</v>
      </c>
      <c r="G156" s="851">
        <v>2019</v>
      </c>
      <c r="H156" s="173" t="s">
        <v>1326</v>
      </c>
      <c r="I156" s="165">
        <v>25000000</v>
      </c>
      <c r="J156" s="106">
        <v>22050000</v>
      </c>
      <c r="K156" s="132">
        <v>0</v>
      </c>
      <c r="L156" s="132">
        <v>0</v>
      </c>
      <c r="M156" s="132">
        <v>0</v>
      </c>
      <c r="N156" s="132">
        <v>0</v>
      </c>
      <c r="O156" s="132">
        <v>2450000</v>
      </c>
      <c r="P156" s="132">
        <v>0</v>
      </c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f t="shared" ref="W156" si="140">SUBTOTAL(9,K156:V156)</f>
        <v>2450000</v>
      </c>
      <c r="X156" s="132">
        <f>+V156+U156+T156+S156+R156+Q156+P156+O156+N156+M156+L156+K156</f>
        <v>2450000</v>
      </c>
      <c r="Y156" s="132">
        <f>+I156-J156-X156</f>
        <v>500000</v>
      </c>
      <c r="Z156" s="102" t="s">
        <v>1247</v>
      </c>
    </row>
    <row r="157" spans="1:26" s="67" customFormat="1" ht="23.25" customHeight="1" outlineLevel="2">
      <c r="A157" s="101">
        <v>33125</v>
      </c>
      <c r="B157" s="102" t="s">
        <v>196</v>
      </c>
      <c r="C157" s="120">
        <v>40022294</v>
      </c>
      <c r="D157" s="172" t="s">
        <v>33</v>
      </c>
      <c r="E157" s="172" t="s">
        <v>52</v>
      </c>
      <c r="F157" s="122" t="s">
        <v>1582</v>
      </c>
      <c r="G157" s="851">
        <v>2020</v>
      </c>
      <c r="H157" s="880" t="s">
        <v>1593</v>
      </c>
      <c r="I157" s="879">
        <v>36500000</v>
      </c>
      <c r="J157" s="873">
        <v>0</v>
      </c>
      <c r="K157" s="132">
        <v>0</v>
      </c>
      <c r="L157" s="132">
        <v>0</v>
      </c>
      <c r="M157" s="132">
        <v>0</v>
      </c>
      <c r="N157" s="132">
        <v>0</v>
      </c>
      <c r="O157" s="874">
        <v>0</v>
      </c>
      <c r="P157" s="132">
        <v>0</v>
      </c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f t="shared" ref="W157" si="141">SUBTOTAL(9,K157:V157)</f>
        <v>0</v>
      </c>
      <c r="X157" s="132">
        <f t="shared" ref="X157" si="142">+V157+U157+T157+S157+R157+Q157+P157+O157+N157+M157+L157+K157</f>
        <v>0</v>
      </c>
      <c r="Y157" s="132">
        <f t="shared" ref="Y157" si="143">+I157-J157-X157</f>
        <v>36500000</v>
      </c>
      <c r="Z157" s="875" t="s">
        <v>1255</v>
      </c>
    </row>
    <row r="158" spans="1:26" s="67" customFormat="1" ht="23.25" customHeight="1" outlineLevel="2">
      <c r="A158" s="101">
        <v>33125</v>
      </c>
      <c r="B158" s="102" t="s">
        <v>196</v>
      </c>
      <c r="C158" s="120">
        <v>40020577</v>
      </c>
      <c r="D158" s="172" t="s">
        <v>33</v>
      </c>
      <c r="E158" s="172" t="s">
        <v>52</v>
      </c>
      <c r="F158" s="122" t="s">
        <v>1658</v>
      </c>
      <c r="G158" s="851">
        <v>2020</v>
      </c>
      <c r="H158" s="880" t="s">
        <v>1662</v>
      </c>
      <c r="I158" s="879">
        <v>78500000</v>
      </c>
      <c r="J158" s="873">
        <v>0</v>
      </c>
      <c r="K158" s="874">
        <v>0</v>
      </c>
      <c r="L158" s="874">
        <v>0</v>
      </c>
      <c r="M158" s="874">
        <v>0</v>
      </c>
      <c r="N158" s="874">
        <v>0</v>
      </c>
      <c r="O158" s="874">
        <v>0</v>
      </c>
      <c r="P158" s="874">
        <v>0</v>
      </c>
      <c r="Q158" s="132">
        <v>0</v>
      </c>
      <c r="R158" s="874">
        <v>0</v>
      </c>
      <c r="S158" s="874">
        <v>0</v>
      </c>
      <c r="T158" s="874">
        <v>0</v>
      </c>
      <c r="U158" s="874">
        <v>0</v>
      </c>
      <c r="V158" s="874">
        <v>0</v>
      </c>
      <c r="W158" s="132">
        <f t="shared" ref="W158" si="144">SUBTOTAL(9,K158:V158)</f>
        <v>0</v>
      </c>
      <c r="X158" s="132">
        <f t="shared" ref="X158" si="145">+V158+U158+T158+S158+R158+Q158+P158+O158+N158+M158+L158+K158</f>
        <v>0</v>
      </c>
      <c r="Y158" s="132">
        <f t="shared" ref="Y158" si="146">+I158-J158-X158</f>
        <v>78500000</v>
      </c>
      <c r="Z158" s="875" t="s">
        <v>1255</v>
      </c>
    </row>
    <row r="159" spans="1:26" s="67" customFormat="1" ht="23.25" customHeight="1" outlineLevel="2">
      <c r="A159" s="101">
        <v>33125</v>
      </c>
      <c r="B159" s="102" t="s">
        <v>196</v>
      </c>
      <c r="C159" s="120">
        <v>40021732</v>
      </c>
      <c r="D159" s="172" t="s">
        <v>33</v>
      </c>
      <c r="E159" s="172" t="s">
        <v>52</v>
      </c>
      <c r="F159" s="122" t="s">
        <v>1249</v>
      </c>
      <c r="G159" s="851">
        <v>2020</v>
      </c>
      <c r="H159" s="173" t="s">
        <v>1325</v>
      </c>
      <c r="I159" s="165">
        <v>85000000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32">
        <v>0</v>
      </c>
      <c r="Q159" s="132">
        <v>0</v>
      </c>
      <c r="R159" s="106">
        <v>0</v>
      </c>
      <c r="S159" s="106">
        <v>0</v>
      </c>
      <c r="T159" s="106">
        <v>0</v>
      </c>
      <c r="U159" s="106">
        <v>0</v>
      </c>
      <c r="V159" s="106">
        <v>0</v>
      </c>
      <c r="W159" s="132">
        <f t="shared" si="137"/>
        <v>0</v>
      </c>
      <c r="X159" s="132">
        <f t="shared" si="138"/>
        <v>0</v>
      </c>
      <c r="Y159" s="132">
        <f t="shared" si="139"/>
        <v>85000000</v>
      </c>
      <c r="Z159" s="102" t="s">
        <v>1255</v>
      </c>
    </row>
    <row r="160" spans="1:26" s="62" customFormat="1" ht="23.25" customHeight="1" outlineLevel="2">
      <c r="A160" s="125"/>
      <c r="B160" s="126"/>
      <c r="C160" s="127"/>
      <c r="D160" s="128"/>
      <c r="E160" s="128"/>
      <c r="F160" s="897"/>
      <c r="G160" s="886"/>
      <c r="H160" s="109" t="s">
        <v>187</v>
      </c>
      <c r="I160" s="129">
        <f>SUM(I154:I159)</f>
        <v>400000000</v>
      </c>
      <c r="J160" s="129">
        <f>SUM(J154:J159)</f>
        <v>142456386</v>
      </c>
      <c r="K160" s="129">
        <f t="shared" ref="K160:Y160" si="147">SUM(K154:K159)</f>
        <v>0</v>
      </c>
      <c r="L160" s="129">
        <f t="shared" si="147"/>
        <v>0</v>
      </c>
      <c r="M160" s="129">
        <f t="shared" si="147"/>
        <v>0</v>
      </c>
      <c r="N160" s="129">
        <f t="shared" si="147"/>
        <v>23007106</v>
      </c>
      <c r="O160" s="129">
        <f t="shared" si="147"/>
        <v>31046508</v>
      </c>
      <c r="P160" s="129">
        <v>0</v>
      </c>
      <c r="Q160" s="129">
        <v>0</v>
      </c>
      <c r="R160" s="129">
        <f t="shared" si="147"/>
        <v>0</v>
      </c>
      <c r="S160" s="129">
        <f t="shared" si="147"/>
        <v>0</v>
      </c>
      <c r="T160" s="129">
        <f t="shared" si="147"/>
        <v>0</v>
      </c>
      <c r="U160" s="129">
        <f t="shared" si="147"/>
        <v>0</v>
      </c>
      <c r="V160" s="129">
        <f t="shared" si="147"/>
        <v>0</v>
      </c>
      <c r="W160" s="129">
        <f t="shared" si="147"/>
        <v>54053614</v>
      </c>
      <c r="X160" s="129">
        <f t="shared" si="147"/>
        <v>54053614</v>
      </c>
      <c r="Y160" s="129">
        <f t="shared" si="147"/>
        <v>203490000</v>
      </c>
      <c r="Z160" s="137"/>
    </row>
    <row r="161" spans="1:26" s="59" customFormat="1" ht="15" customHeight="1" outlineLevel="1">
      <c r="A161" s="111"/>
      <c r="B161" s="112"/>
      <c r="C161" s="90"/>
      <c r="D161" s="113"/>
      <c r="E161" s="114"/>
      <c r="F161" s="113"/>
      <c r="G161" s="885"/>
      <c r="H161" s="115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35"/>
    </row>
    <row r="162" spans="1:26" s="59" customFormat="1" ht="23.25" outlineLevel="1">
      <c r="A162" s="111"/>
      <c r="B162" s="112"/>
      <c r="C162" s="90"/>
      <c r="D162" s="113"/>
      <c r="E162" s="114"/>
      <c r="F162" s="113"/>
      <c r="G162" s="885"/>
      <c r="H162" s="117" t="s">
        <v>574</v>
      </c>
      <c r="I162" s="118">
        <f>+I160</f>
        <v>400000000</v>
      </c>
      <c r="J162" s="118">
        <f t="shared" ref="J162:Y162" si="148">+J160</f>
        <v>142456386</v>
      </c>
      <c r="K162" s="118">
        <f t="shared" si="148"/>
        <v>0</v>
      </c>
      <c r="L162" s="118">
        <f t="shared" ref="L162:M162" si="149">+L160</f>
        <v>0</v>
      </c>
      <c r="M162" s="118">
        <f t="shared" si="149"/>
        <v>0</v>
      </c>
      <c r="N162" s="118">
        <v>23007106</v>
      </c>
      <c r="O162" s="118">
        <v>31046508</v>
      </c>
      <c r="P162" s="118">
        <v>0</v>
      </c>
      <c r="Q162" s="118">
        <v>0</v>
      </c>
      <c r="R162" s="118">
        <f t="shared" si="148"/>
        <v>0</v>
      </c>
      <c r="S162" s="118">
        <f t="shared" si="148"/>
        <v>0</v>
      </c>
      <c r="T162" s="118">
        <f t="shared" si="148"/>
        <v>0</v>
      </c>
      <c r="U162" s="118">
        <f t="shared" si="148"/>
        <v>0</v>
      </c>
      <c r="V162" s="118">
        <f t="shared" si="148"/>
        <v>0</v>
      </c>
      <c r="W162" s="118">
        <f t="shared" si="148"/>
        <v>54053614</v>
      </c>
      <c r="X162" s="118">
        <f t="shared" si="148"/>
        <v>54053614</v>
      </c>
      <c r="Y162" s="118">
        <f t="shared" si="148"/>
        <v>203490000</v>
      </c>
      <c r="Z162" s="135"/>
    </row>
    <row r="163" spans="1:26" s="72" customFormat="1" ht="15" customHeight="1" outlineLevel="1">
      <c r="A163" s="111"/>
      <c r="B163" s="112"/>
      <c r="C163" s="90"/>
      <c r="D163" s="174"/>
      <c r="E163" s="175"/>
      <c r="F163" s="113"/>
      <c r="G163" s="889"/>
      <c r="H163" s="119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35"/>
    </row>
    <row r="164" spans="1:26" s="71" customFormat="1" ht="15" customHeight="1" outlineLevel="1">
      <c r="A164" s="88"/>
      <c r="B164" s="89"/>
      <c r="C164" s="90"/>
      <c r="D164" s="170"/>
      <c r="E164" s="171"/>
      <c r="F164" s="113"/>
      <c r="G164" s="888"/>
      <c r="H164" s="130"/>
      <c r="I164" s="94"/>
      <c r="J164" s="94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  <c r="Y164" s="94"/>
      <c r="Z164" s="133"/>
    </row>
    <row r="165" spans="1:26" s="59" customFormat="1" ht="23.25" outlineLevel="1">
      <c r="A165" s="88"/>
      <c r="B165" s="89"/>
      <c r="C165" s="90"/>
      <c r="D165" s="91"/>
      <c r="E165" s="92"/>
      <c r="F165" s="113"/>
      <c r="G165" s="883"/>
      <c r="H165" s="93" t="s">
        <v>575</v>
      </c>
      <c r="I165" s="94"/>
      <c r="J165" s="94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94"/>
      <c r="Z165" s="133"/>
    </row>
    <row r="166" spans="1:26" s="66" customFormat="1" ht="23.25" customHeight="1" outlineLevel="1">
      <c r="A166" s="147"/>
      <c r="B166" s="89"/>
      <c r="C166" s="90"/>
      <c r="D166" s="91"/>
      <c r="E166" s="92"/>
      <c r="F166" s="113"/>
      <c r="G166" s="883"/>
      <c r="H166" s="99" t="s">
        <v>127</v>
      </c>
      <c r="I166" s="94"/>
      <c r="J166" s="94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94"/>
      <c r="Z166" s="162"/>
    </row>
    <row r="167" spans="1:26" s="60" customFormat="1" ht="23.25" customHeight="1" outlineLevel="2">
      <c r="A167" s="101">
        <v>33125</v>
      </c>
      <c r="B167" s="102" t="s">
        <v>128</v>
      </c>
      <c r="C167" s="120">
        <v>40015571</v>
      </c>
      <c r="D167" s="172" t="s">
        <v>33</v>
      </c>
      <c r="E167" s="172" t="s">
        <v>53</v>
      </c>
      <c r="F167" s="122" t="s">
        <v>1256</v>
      </c>
      <c r="G167" s="851">
        <v>2019</v>
      </c>
      <c r="H167" s="157" t="s">
        <v>1329</v>
      </c>
      <c r="I167" s="165">
        <v>76557028</v>
      </c>
      <c r="J167" s="106">
        <v>61738367</v>
      </c>
      <c r="K167" s="132">
        <v>0</v>
      </c>
      <c r="L167" s="132">
        <v>0</v>
      </c>
      <c r="M167" s="132">
        <v>14010814</v>
      </c>
      <c r="N167" s="132">
        <v>0</v>
      </c>
      <c r="O167" s="132">
        <v>0</v>
      </c>
      <c r="P167" s="132">
        <v>0</v>
      </c>
      <c r="Q167" s="132">
        <v>0</v>
      </c>
      <c r="R167" s="132">
        <v>0</v>
      </c>
      <c r="S167" s="132">
        <v>0</v>
      </c>
      <c r="T167" s="132">
        <v>0</v>
      </c>
      <c r="U167" s="132">
        <v>0</v>
      </c>
      <c r="V167" s="132">
        <v>0</v>
      </c>
      <c r="W167" s="132">
        <f t="shared" ref="W167:W170" si="150">SUBTOTAL(9,K167:V167)</f>
        <v>14010814</v>
      </c>
      <c r="X167" s="132">
        <f t="shared" ref="X167:X170" si="151">+V167+U167+T167+S167+R167+Q167+P167+O167+N167+M167+L167+K167</f>
        <v>14010814</v>
      </c>
      <c r="Y167" s="132">
        <f t="shared" ref="Y167:Y170" si="152">+I167-J167-X167</f>
        <v>807847</v>
      </c>
      <c r="Z167" s="102" t="s">
        <v>1247</v>
      </c>
    </row>
    <row r="168" spans="1:26" s="60" customFormat="1" ht="23.25" customHeight="1" outlineLevel="2">
      <c r="A168" s="101">
        <v>33125</v>
      </c>
      <c r="B168" s="102" t="s">
        <v>128</v>
      </c>
      <c r="C168" s="120">
        <v>40015566</v>
      </c>
      <c r="D168" s="172" t="s">
        <v>33</v>
      </c>
      <c r="E168" s="172" t="s">
        <v>53</v>
      </c>
      <c r="F168" s="122" t="s">
        <v>1256</v>
      </c>
      <c r="G168" s="851">
        <v>2019</v>
      </c>
      <c r="H168" s="157" t="s">
        <v>1330</v>
      </c>
      <c r="I168" s="165">
        <v>65170356</v>
      </c>
      <c r="J168" s="106">
        <v>37123138</v>
      </c>
      <c r="K168" s="132">
        <v>0</v>
      </c>
      <c r="L168" s="132">
        <v>0</v>
      </c>
      <c r="M168" s="132">
        <v>0</v>
      </c>
      <c r="N168" s="132">
        <v>27514354</v>
      </c>
      <c r="O168" s="132">
        <v>0</v>
      </c>
      <c r="P168" s="132">
        <v>0</v>
      </c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f t="shared" si="150"/>
        <v>27514354</v>
      </c>
      <c r="X168" s="132">
        <f t="shared" si="151"/>
        <v>27514354</v>
      </c>
      <c r="Y168" s="132">
        <f t="shared" si="152"/>
        <v>532864</v>
      </c>
      <c r="Z168" s="102" t="s">
        <v>1247</v>
      </c>
    </row>
    <row r="169" spans="1:26" s="60" customFormat="1" ht="23.25" customHeight="1" outlineLevel="2">
      <c r="A169" s="101">
        <v>33125</v>
      </c>
      <c r="B169" s="102" t="s">
        <v>128</v>
      </c>
      <c r="C169" s="120">
        <v>40015540</v>
      </c>
      <c r="D169" s="172" t="s">
        <v>33</v>
      </c>
      <c r="E169" s="172" t="s">
        <v>53</v>
      </c>
      <c r="F169" s="122" t="s">
        <v>1256</v>
      </c>
      <c r="G169" s="851">
        <v>2019</v>
      </c>
      <c r="H169" s="157" t="s">
        <v>1331</v>
      </c>
      <c r="I169" s="165">
        <v>58272616</v>
      </c>
      <c r="J169" s="106">
        <v>44298962</v>
      </c>
      <c r="K169" s="132">
        <v>0</v>
      </c>
      <c r="L169" s="132">
        <v>0</v>
      </c>
      <c r="M169" s="132">
        <v>13414791</v>
      </c>
      <c r="N169" s="132">
        <v>0</v>
      </c>
      <c r="O169" s="132">
        <v>0</v>
      </c>
      <c r="P169" s="132">
        <v>0</v>
      </c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f t="shared" si="150"/>
        <v>13414791</v>
      </c>
      <c r="X169" s="132">
        <f t="shared" si="151"/>
        <v>13414791</v>
      </c>
      <c r="Y169" s="132">
        <f t="shared" si="152"/>
        <v>558863</v>
      </c>
      <c r="Z169" s="102" t="s">
        <v>1247</v>
      </c>
    </row>
    <row r="170" spans="1:26" s="60" customFormat="1" ht="23.25" customHeight="1" outlineLevel="2">
      <c r="A170" s="101">
        <v>33125</v>
      </c>
      <c r="B170" s="102" t="s">
        <v>196</v>
      </c>
      <c r="C170" s="120">
        <v>40021457</v>
      </c>
      <c r="D170" s="172" t="s">
        <v>33</v>
      </c>
      <c r="E170" s="172" t="s">
        <v>53</v>
      </c>
      <c r="F170" s="122" t="s">
        <v>1683</v>
      </c>
      <c r="G170" s="851">
        <v>2020</v>
      </c>
      <c r="H170" s="878" t="s">
        <v>1688</v>
      </c>
      <c r="I170" s="879">
        <v>74785101</v>
      </c>
      <c r="J170" s="873">
        <v>0</v>
      </c>
      <c r="K170" s="132">
        <v>0</v>
      </c>
      <c r="L170" s="132">
        <v>0</v>
      </c>
      <c r="M170" s="874">
        <v>0</v>
      </c>
      <c r="N170" s="874">
        <v>0</v>
      </c>
      <c r="O170" s="874">
        <v>0</v>
      </c>
      <c r="P170" s="132">
        <v>0</v>
      </c>
      <c r="Q170" s="132">
        <v>0</v>
      </c>
      <c r="R170" s="874">
        <v>0</v>
      </c>
      <c r="S170" s="874">
        <v>0</v>
      </c>
      <c r="T170" s="874">
        <v>0</v>
      </c>
      <c r="U170" s="874">
        <v>0</v>
      </c>
      <c r="V170" s="874">
        <v>0</v>
      </c>
      <c r="W170" s="132">
        <f t="shared" si="150"/>
        <v>0</v>
      </c>
      <c r="X170" s="132">
        <f t="shared" si="151"/>
        <v>0</v>
      </c>
      <c r="Y170" s="132">
        <f t="shared" si="152"/>
        <v>74785101</v>
      </c>
      <c r="Z170" s="875" t="s">
        <v>1665</v>
      </c>
    </row>
    <row r="171" spans="1:26" s="60" customFormat="1" ht="23.25" customHeight="1" outlineLevel="2">
      <c r="A171" s="101">
        <v>33125</v>
      </c>
      <c r="B171" s="102" t="s">
        <v>196</v>
      </c>
      <c r="C171" s="120">
        <v>40022200</v>
      </c>
      <c r="D171" s="172" t="s">
        <v>33</v>
      </c>
      <c r="E171" s="172" t="s">
        <v>53</v>
      </c>
      <c r="F171" s="122" t="s">
        <v>1582</v>
      </c>
      <c r="G171" s="851">
        <v>2020</v>
      </c>
      <c r="H171" s="878" t="s">
        <v>1592</v>
      </c>
      <c r="I171" s="879">
        <v>95193785</v>
      </c>
      <c r="J171" s="873">
        <v>0</v>
      </c>
      <c r="K171" s="132">
        <v>0</v>
      </c>
      <c r="L171" s="132">
        <v>0</v>
      </c>
      <c r="M171" s="874">
        <v>0</v>
      </c>
      <c r="N171" s="874">
        <v>0</v>
      </c>
      <c r="O171" s="874">
        <v>0</v>
      </c>
      <c r="P171" s="132">
        <v>0</v>
      </c>
      <c r="Q171" s="132">
        <v>0</v>
      </c>
      <c r="R171" s="874">
        <v>0</v>
      </c>
      <c r="S171" s="874">
        <v>0</v>
      </c>
      <c r="T171" s="874">
        <v>0</v>
      </c>
      <c r="U171" s="874">
        <v>0</v>
      </c>
      <c r="V171" s="874">
        <v>0</v>
      </c>
      <c r="W171" s="132">
        <f t="shared" ref="W171" si="153">SUBTOTAL(9,K171:V171)</f>
        <v>0</v>
      </c>
      <c r="X171" s="132">
        <f t="shared" ref="X171" si="154">+V171+U171+T171+S171+R171+Q171+P171+O171+N171+M171+L171+K171</f>
        <v>0</v>
      </c>
      <c r="Y171" s="132">
        <f t="shared" ref="Y171" si="155">+I171-J171-X171</f>
        <v>95193785</v>
      </c>
      <c r="Z171" s="875" t="s">
        <v>1255</v>
      </c>
    </row>
    <row r="172" spans="1:26" s="62" customFormat="1" ht="23.25" customHeight="1" outlineLevel="2">
      <c r="A172" s="125"/>
      <c r="B172" s="126"/>
      <c r="C172" s="127"/>
      <c r="D172" s="128"/>
      <c r="E172" s="128"/>
      <c r="F172" s="897"/>
      <c r="G172" s="886"/>
      <c r="H172" s="109" t="s">
        <v>187</v>
      </c>
      <c r="I172" s="129">
        <f>SUM(I167:I171)</f>
        <v>369978886</v>
      </c>
      <c r="J172" s="129">
        <f t="shared" ref="J172:Y172" si="156">SUM(J167:J171)</f>
        <v>143160467</v>
      </c>
      <c r="K172" s="129">
        <f t="shared" si="156"/>
        <v>0</v>
      </c>
      <c r="L172" s="129">
        <f t="shared" si="156"/>
        <v>0</v>
      </c>
      <c r="M172" s="129">
        <f t="shared" si="156"/>
        <v>27425605</v>
      </c>
      <c r="N172" s="129">
        <f t="shared" si="156"/>
        <v>27514354</v>
      </c>
      <c r="O172" s="129">
        <f t="shared" si="156"/>
        <v>0</v>
      </c>
      <c r="P172" s="129">
        <v>0</v>
      </c>
      <c r="Q172" s="129">
        <v>0</v>
      </c>
      <c r="R172" s="129">
        <f t="shared" si="156"/>
        <v>0</v>
      </c>
      <c r="S172" s="129">
        <f t="shared" si="156"/>
        <v>0</v>
      </c>
      <c r="T172" s="129">
        <f t="shared" si="156"/>
        <v>0</v>
      </c>
      <c r="U172" s="129">
        <f t="shared" si="156"/>
        <v>0</v>
      </c>
      <c r="V172" s="129">
        <f t="shared" si="156"/>
        <v>0</v>
      </c>
      <c r="W172" s="129">
        <f t="shared" si="156"/>
        <v>54939959</v>
      </c>
      <c r="X172" s="129">
        <f t="shared" si="156"/>
        <v>54939959</v>
      </c>
      <c r="Y172" s="129">
        <f t="shared" si="156"/>
        <v>171878460</v>
      </c>
      <c r="Z172" s="137"/>
    </row>
    <row r="173" spans="1:26" s="59" customFormat="1" ht="15" customHeight="1" outlineLevel="1">
      <c r="A173" s="111"/>
      <c r="B173" s="112"/>
      <c r="C173" s="90"/>
      <c r="D173" s="113"/>
      <c r="E173" s="114"/>
      <c r="F173" s="113"/>
      <c r="G173" s="885"/>
      <c r="H173" s="115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35"/>
    </row>
    <row r="174" spans="1:26" s="59" customFormat="1" ht="23.25" outlineLevel="1">
      <c r="A174" s="111"/>
      <c r="B174" s="112"/>
      <c r="C174" s="90"/>
      <c r="D174" s="113"/>
      <c r="E174" s="114"/>
      <c r="F174" s="113"/>
      <c r="G174" s="885"/>
      <c r="H174" s="117" t="s">
        <v>594</v>
      </c>
      <c r="I174" s="118">
        <f>+I172</f>
        <v>369978886</v>
      </c>
      <c r="J174" s="118">
        <f t="shared" ref="J174:Y174" si="157">+J172</f>
        <v>143160467</v>
      </c>
      <c r="K174" s="118">
        <f t="shared" si="157"/>
        <v>0</v>
      </c>
      <c r="L174" s="118">
        <f t="shared" ref="L174:M174" si="158">+L172</f>
        <v>0</v>
      </c>
      <c r="M174" s="118">
        <f t="shared" si="158"/>
        <v>27425605</v>
      </c>
      <c r="N174" s="118">
        <v>27514354</v>
      </c>
      <c r="O174" s="118">
        <v>0</v>
      </c>
      <c r="P174" s="118">
        <v>0</v>
      </c>
      <c r="Q174" s="118">
        <v>0</v>
      </c>
      <c r="R174" s="118">
        <f t="shared" si="157"/>
        <v>0</v>
      </c>
      <c r="S174" s="118">
        <f t="shared" si="157"/>
        <v>0</v>
      </c>
      <c r="T174" s="118">
        <f t="shared" si="157"/>
        <v>0</v>
      </c>
      <c r="U174" s="118">
        <f t="shared" si="157"/>
        <v>0</v>
      </c>
      <c r="V174" s="118">
        <f t="shared" si="157"/>
        <v>0</v>
      </c>
      <c r="W174" s="118">
        <f t="shared" si="157"/>
        <v>54939959</v>
      </c>
      <c r="X174" s="118">
        <f t="shared" si="157"/>
        <v>54939959</v>
      </c>
      <c r="Y174" s="118">
        <f t="shared" si="157"/>
        <v>171878460</v>
      </c>
      <c r="Z174" s="135"/>
    </row>
    <row r="175" spans="1:26" s="64" customFormat="1" ht="15" customHeight="1" outlineLevel="1">
      <c r="A175" s="88"/>
      <c r="B175" s="89"/>
      <c r="C175" s="90"/>
      <c r="D175" s="91"/>
      <c r="E175" s="92"/>
      <c r="F175" s="113"/>
      <c r="G175" s="883"/>
      <c r="H175" s="130"/>
      <c r="I175" s="94"/>
      <c r="J175" s="94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94"/>
      <c r="Z175" s="133"/>
    </row>
    <row r="176" spans="1:26" s="59" customFormat="1" ht="23.25" outlineLevel="1">
      <c r="A176" s="88"/>
      <c r="B176" s="89"/>
      <c r="C176" s="90"/>
      <c r="D176" s="91"/>
      <c r="E176" s="92"/>
      <c r="F176" s="113"/>
      <c r="G176" s="883"/>
      <c r="H176" s="93" t="s">
        <v>595</v>
      </c>
      <c r="I176" s="94"/>
      <c r="J176" s="94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94"/>
      <c r="Z176" s="133"/>
    </row>
    <row r="177" spans="1:26" s="59" customFormat="1" ht="15" customHeight="1" outlineLevel="2">
      <c r="A177" s="95"/>
      <c r="B177" s="96"/>
      <c r="C177" s="97"/>
      <c r="D177" s="98"/>
      <c r="E177" s="98"/>
      <c r="F177" s="113"/>
      <c r="G177" s="884"/>
      <c r="H177" s="99" t="s">
        <v>127</v>
      </c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96"/>
    </row>
    <row r="178" spans="1:26" s="67" customFormat="1" ht="23.25" customHeight="1" outlineLevel="2">
      <c r="A178" s="101">
        <v>33125</v>
      </c>
      <c r="B178" s="102" t="s">
        <v>128</v>
      </c>
      <c r="C178" s="155">
        <v>40014127</v>
      </c>
      <c r="D178" s="104" t="s">
        <v>33</v>
      </c>
      <c r="E178" s="104" t="s">
        <v>1333</v>
      </c>
      <c r="F178" s="122" t="s">
        <v>1256</v>
      </c>
      <c r="G178" s="851">
        <v>2019</v>
      </c>
      <c r="H178" s="156" t="s">
        <v>1334</v>
      </c>
      <c r="I178" s="106">
        <v>49000000</v>
      </c>
      <c r="J178" s="106">
        <v>0</v>
      </c>
      <c r="K178" s="132">
        <v>0</v>
      </c>
      <c r="L178" s="132">
        <v>13746062</v>
      </c>
      <c r="M178" s="132">
        <v>0</v>
      </c>
      <c r="N178" s="132">
        <v>13731627</v>
      </c>
      <c r="O178" s="132">
        <v>0</v>
      </c>
      <c r="P178" s="132">
        <v>0</v>
      </c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f t="shared" ref="W178:W181" si="159">SUBTOTAL(9,K178:V178)</f>
        <v>27477689</v>
      </c>
      <c r="X178" s="132">
        <f t="shared" ref="X178:X181" si="160">+V178+U178+T178+S178+R178+Q178+P178+O178+N178+M178+L178+K178</f>
        <v>27477689</v>
      </c>
      <c r="Y178" s="132">
        <f t="shared" ref="Y178:Y181" si="161">+I178-J178-X178</f>
        <v>21522311</v>
      </c>
      <c r="Z178" s="102" t="s">
        <v>1247</v>
      </c>
    </row>
    <row r="179" spans="1:26" s="67" customFormat="1" ht="23.25" customHeight="1" outlineLevel="2">
      <c r="A179" s="101">
        <v>33125</v>
      </c>
      <c r="B179" s="102" t="s">
        <v>128</v>
      </c>
      <c r="C179" s="155">
        <v>40007217</v>
      </c>
      <c r="D179" s="104" t="s">
        <v>33</v>
      </c>
      <c r="E179" s="104" t="s">
        <v>1333</v>
      </c>
      <c r="F179" s="122"/>
      <c r="G179" s="851"/>
      <c r="H179" s="156" t="s">
        <v>1335</v>
      </c>
      <c r="I179" s="106">
        <v>96443000</v>
      </c>
      <c r="J179" s="106">
        <v>0</v>
      </c>
      <c r="K179" s="132">
        <v>0</v>
      </c>
      <c r="L179" s="132">
        <v>24953506</v>
      </c>
      <c r="M179" s="132">
        <v>0</v>
      </c>
      <c r="N179" s="132">
        <v>0</v>
      </c>
      <c r="O179" s="132">
        <v>0</v>
      </c>
      <c r="P179" s="132">
        <v>0</v>
      </c>
      <c r="Q179" s="132">
        <v>1804209</v>
      </c>
      <c r="R179" s="132">
        <v>0</v>
      </c>
      <c r="S179" s="132">
        <v>0</v>
      </c>
      <c r="T179" s="132">
        <v>0</v>
      </c>
      <c r="U179" s="132">
        <v>0</v>
      </c>
      <c r="V179" s="132">
        <v>0</v>
      </c>
      <c r="W179" s="132">
        <f t="shared" si="159"/>
        <v>26757715</v>
      </c>
      <c r="X179" s="132">
        <f t="shared" si="160"/>
        <v>26757715</v>
      </c>
      <c r="Y179" s="132">
        <f t="shared" si="161"/>
        <v>69685285</v>
      </c>
      <c r="Z179" s="102" t="s">
        <v>1247</v>
      </c>
    </row>
    <row r="180" spans="1:26" s="67" customFormat="1" ht="23.25" customHeight="1" outlineLevel="2">
      <c r="A180" s="101">
        <v>33125</v>
      </c>
      <c r="B180" s="102" t="s">
        <v>128</v>
      </c>
      <c r="C180" s="155">
        <v>40014118</v>
      </c>
      <c r="D180" s="104" t="s">
        <v>33</v>
      </c>
      <c r="E180" s="104" t="s">
        <v>1333</v>
      </c>
      <c r="F180" s="122" t="s">
        <v>1256</v>
      </c>
      <c r="G180" s="851">
        <v>2019</v>
      </c>
      <c r="H180" s="156" t="s">
        <v>1336</v>
      </c>
      <c r="I180" s="106">
        <v>94000000</v>
      </c>
      <c r="J180" s="106">
        <v>0</v>
      </c>
      <c r="K180" s="132">
        <v>0</v>
      </c>
      <c r="L180" s="132">
        <v>0</v>
      </c>
      <c r="M180" s="132">
        <v>0</v>
      </c>
      <c r="N180" s="132">
        <v>0</v>
      </c>
      <c r="O180" s="132">
        <v>0</v>
      </c>
      <c r="P180" s="132">
        <v>0</v>
      </c>
      <c r="Q180" s="132">
        <v>0</v>
      </c>
      <c r="R180" s="132">
        <v>0</v>
      </c>
      <c r="S180" s="132">
        <v>0</v>
      </c>
      <c r="T180" s="132">
        <v>0</v>
      </c>
      <c r="U180" s="132">
        <v>0</v>
      </c>
      <c r="V180" s="132">
        <v>0</v>
      </c>
      <c r="W180" s="132">
        <f t="shared" si="159"/>
        <v>0</v>
      </c>
      <c r="X180" s="132">
        <f t="shared" si="160"/>
        <v>0</v>
      </c>
      <c r="Y180" s="132">
        <f t="shared" si="161"/>
        <v>94000000</v>
      </c>
      <c r="Z180" s="102" t="s">
        <v>1247</v>
      </c>
    </row>
    <row r="181" spans="1:26" s="67" customFormat="1" ht="23.25" customHeight="1" outlineLevel="2">
      <c r="A181" s="101">
        <v>33125</v>
      </c>
      <c r="B181" s="102" t="s">
        <v>128</v>
      </c>
      <c r="C181" s="155">
        <v>40014124</v>
      </c>
      <c r="D181" s="104" t="s">
        <v>33</v>
      </c>
      <c r="E181" s="104" t="s">
        <v>1333</v>
      </c>
      <c r="F181" s="122" t="s">
        <v>1256</v>
      </c>
      <c r="G181" s="851">
        <v>2019</v>
      </c>
      <c r="H181" s="156" t="s">
        <v>1337</v>
      </c>
      <c r="I181" s="106">
        <v>57000000</v>
      </c>
      <c r="J181" s="106">
        <v>0</v>
      </c>
      <c r="K181" s="132">
        <v>0</v>
      </c>
      <c r="L181" s="132">
        <v>14127988</v>
      </c>
      <c r="M181" s="132">
        <v>0</v>
      </c>
      <c r="N181" s="132">
        <v>23450219</v>
      </c>
      <c r="O181" s="132">
        <v>0</v>
      </c>
      <c r="P181" s="132">
        <v>0</v>
      </c>
      <c r="Q181" s="132">
        <v>0</v>
      </c>
      <c r="R181" s="132">
        <v>0</v>
      </c>
      <c r="S181" s="132">
        <v>0</v>
      </c>
      <c r="T181" s="132">
        <v>0</v>
      </c>
      <c r="U181" s="132">
        <v>0</v>
      </c>
      <c r="V181" s="132">
        <v>0</v>
      </c>
      <c r="W181" s="132">
        <f t="shared" si="159"/>
        <v>37578207</v>
      </c>
      <c r="X181" s="132">
        <f t="shared" si="160"/>
        <v>37578207</v>
      </c>
      <c r="Y181" s="132">
        <f t="shared" si="161"/>
        <v>19421793</v>
      </c>
      <c r="Z181" s="102" t="s">
        <v>1247</v>
      </c>
    </row>
    <row r="182" spans="1:26" s="73" customFormat="1" ht="23.25" customHeight="1" outlineLevel="1">
      <c r="A182" s="107"/>
      <c r="B182" s="89"/>
      <c r="C182" s="108"/>
      <c r="D182" s="91"/>
      <c r="E182" s="92"/>
      <c r="F182" s="896"/>
      <c r="G182" s="883"/>
      <c r="H182" s="109" t="s">
        <v>187</v>
      </c>
      <c r="I182" s="110">
        <f>SUM(I178:I181)</f>
        <v>296443000</v>
      </c>
      <c r="J182" s="110">
        <f>SUM(J178:J181)</f>
        <v>0</v>
      </c>
      <c r="K182" s="110">
        <f>SUM(K178:K181)</f>
        <v>0</v>
      </c>
      <c r="L182" s="110">
        <f>SUM(L178:L181)</f>
        <v>52827556</v>
      </c>
      <c r="M182" s="110">
        <f>SUM(M178:M181)</f>
        <v>0</v>
      </c>
      <c r="N182" s="110">
        <v>37181846</v>
      </c>
      <c r="O182" s="110">
        <f t="shared" ref="O182:Q182" si="162">SUM(O178:O181)</f>
        <v>0</v>
      </c>
      <c r="P182" s="110">
        <f t="shared" si="162"/>
        <v>0</v>
      </c>
      <c r="Q182" s="110">
        <f t="shared" si="162"/>
        <v>1804209</v>
      </c>
      <c r="R182" s="110">
        <f t="shared" ref="R182:Y182" si="163">SUM(R178:R181)</f>
        <v>0</v>
      </c>
      <c r="S182" s="110">
        <f t="shared" si="163"/>
        <v>0</v>
      </c>
      <c r="T182" s="110">
        <f t="shared" si="163"/>
        <v>0</v>
      </c>
      <c r="U182" s="110">
        <f t="shared" si="163"/>
        <v>0</v>
      </c>
      <c r="V182" s="110">
        <f t="shared" si="163"/>
        <v>0</v>
      </c>
      <c r="W182" s="110">
        <f t="shared" si="163"/>
        <v>91813611</v>
      </c>
      <c r="X182" s="110">
        <f t="shared" si="163"/>
        <v>91813611</v>
      </c>
      <c r="Y182" s="110">
        <f t="shared" si="163"/>
        <v>204629389</v>
      </c>
      <c r="Z182" s="134"/>
    </row>
    <row r="183" spans="1:26" s="59" customFormat="1" ht="15" customHeight="1" outlineLevel="1">
      <c r="A183" s="111"/>
      <c r="B183" s="112"/>
      <c r="C183" s="90"/>
      <c r="D183" s="113"/>
      <c r="E183" s="114"/>
      <c r="F183" s="113"/>
      <c r="G183" s="885"/>
      <c r="H183" s="115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35"/>
    </row>
    <row r="184" spans="1:26" s="59" customFormat="1" ht="23.25" outlineLevel="1">
      <c r="A184" s="111"/>
      <c r="B184" s="112"/>
      <c r="C184" s="90"/>
      <c r="D184" s="113"/>
      <c r="E184" s="114"/>
      <c r="F184" s="113"/>
      <c r="G184" s="885"/>
      <c r="H184" s="117" t="s">
        <v>1339</v>
      </c>
      <c r="I184" s="118">
        <f>+I182</f>
        <v>296443000</v>
      </c>
      <c r="J184" s="118">
        <f t="shared" ref="J184:Y184" si="164">+J182</f>
        <v>0</v>
      </c>
      <c r="K184" s="118">
        <f t="shared" si="164"/>
        <v>0</v>
      </c>
      <c r="L184" s="118">
        <f t="shared" si="164"/>
        <v>52827556</v>
      </c>
      <c r="M184" s="118">
        <f t="shared" si="164"/>
        <v>0</v>
      </c>
      <c r="N184" s="118">
        <v>37181846</v>
      </c>
      <c r="O184" s="118">
        <f t="shared" ref="O184:Q184" si="165">+O182</f>
        <v>0</v>
      </c>
      <c r="P184" s="118">
        <f t="shared" si="165"/>
        <v>0</v>
      </c>
      <c r="Q184" s="118">
        <f t="shared" si="165"/>
        <v>1804209</v>
      </c>
      <c r="R184" s="118">
        <f t="shared" si="164"/>
        <v>0</v>
      </c>
      <c r="S184" s="118">
        <f t="shared" si="164"/>
        <v>0</v>
      </c>
      <c r="T184" s="118">
        <f t="shared" si="164"/>
        <v>0</v>
      </c>
      <c r="U184" s="118">
        <f t="shared" si="164"/>
        <v>0</v>
      </c>
      <c r="V184" s="118">
        <f t="shared" si="164"/>
        <v>0</v>
      </c>
      <c r="W184" s="118">
        <f t="shared" si="164"/>
        <v>91813611</v>
      </c>
      <c r="X184" s="118">
        <f t="shared" si="164"/>
        <v>91813611</v>
      </c>
      <c r="Y184" s="118">
        <f t="shared" si="164"/>
        <v>204629389</v>
      </c>
      <c r="Z184" s="135"/>
    </row>
    <row r="185" spans="1:26" s="59" customFormat="1" ht="15" customHeight="1" outlineLevel="1">
      <c r="A185" s="88"/>
      <c r="B185" s="89"/>
      <c r="C185" s="90"/>
      <c r="D185" s="91"/>
      <c r="E185" s="92"/>
      <c r="F185" s="113"/>
      <c r="G185" s="883"/>
      <c r="H185" s="130"/>
      <c r="I185" s="94"/>
      <c r="J185" s="94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94"/>
      <c r="Z185" s="133"/>
    </row>
    <row r="186" spans="1:26" s="60" customFormat="1" ht="24.95" customHeight="1" outlineLevel="1">
      <c r="A186" s="140"/>
      <c r="B186" s="141"/>
      <c r="C186" s="142"/>
      <c r="D186" s="143"/>
      <c r="E186" s="144"/>
      <c r="F186" s="898"/>
      <c r="G186" s="887"/>
      <c r="H186" s="145" t="s">
        <v>650</v>
      </c>
      <c r="I186" s="146">
        <f>+I91+I103+I115+I128+I139+I150+I162+I174+I184</f>
        <v>3172813910</v>
      </c>
      <c r="J186" s="146">
        <f>+J91+J103+J115+J128+J139+J150+J162+J174+J184</f>
        <v>670276529</v>
      </c>
      <c r="K186" s="146">
        <f>+K91+K103+K115+K128+K139+K150+K162+K174+K184</f>
        <v>0</v>
      </c>
      <c r="L186" s="146">
        <f>+L91+L103+L115+L128+L139+L150+L162+L174+L184</f>
        <v>234338433</v>
      </c>
      <c r="M186" s="146">
        <f>+M91+M103+M115+M128+M139+M150+M162+M174+M184</f>
        <v>50586978</v>
      </c>
      <c r="N186" s="146">
        <v>326568822</v>
      </c>
      <c r="O186" s="146">
        <f t="shared" ref="O186:Q186" si="166">+O91+O103+O115+O128+O139+O150+O162+O174+O184</f>
        <v>77017469</v>
      </c>
      <c r="P186" s="146">
        <f t="shared" si="166"/>
        <v>56641633</v>
      </c>
      <c r="Q186" s="146">
        <f t="shared" si="166"/>
        <v>20510577</v>
      </c>
      <c r="R186" s="146">
        <f t="shared" ref="R186:Y186" si="167">+R91+R103+R115+R128+R139+R150+R162+R174+R184</f>
        <v>0</v>
      </c>
      <c r="S186" s="146">
        <f t="shared" si="167"/>
        <v>0</v>
      </c>
      <c r="T186" s="146">
        <f t="shared" si="167"/>
        <v>0</v>
      </c>
      <c r="U186" s="146">
        <f t="shared" si="167"/>
        <v>0</v>
      </c>
      <c r="V186" s="146">
        <f t="shared" si="167"/>
        <v>0</v>
      </c>
      <c r="W186" s="146">
        <f t="shared" si="167"/>
        <v>765663912</v>
      </c>
      <c r="X186" s="146">
        <f t="shared" si="167"/>
        <v>765663912</v>
      </c>
      <c r="Y186" s="146">
        <f t="shared" si="167"/>
        <v>1736873469</v>
      </c>
      <c r="Z186" s="159"/>
    </row>
    <row r="187" spans="1:26" s="59" customFormat="1" ht="15" outlineLevel="1">
      <c r="A187" s="88"/>
      <c r="B187" s="89"/>
      <c r="C187" s="90"/>
      <c r="D187" s="91"/>
      <c r="E187" s="92"/>
      <c r="F187" s="113"/>
      <c r="G187" s="883"/>
      <c r="H187" s="130"/>
      <c r="I187" s="94"/>
      <c r="J187" s="94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94"/>
      <c r="Z187" s="133"/>
    </row>
    <row r="188" spans="1:26" s="59" customFormat="1" ht="23.25" outlineLevel="1">
      <c r="A188" s="88"/>
      <c r="B188" s="89"/>
      <c r="C188" s="90"/>
      <c r="D188" s="91"/>
      <c r="E188" s="92"/>
      <c r="F188" s="113"/>
      <c r="G188" s="883"/>
      <c r="H188" s="163" t="s">
        <v>651</v>
      </c>
      <c r="I188" s="94"/>
      <c r="J188" s="94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94"/>
      <c r="Z188" s="133"/>
    </row>
    <row r="189" spans="1:26" s="66" customFormat="1" ht="23.25" customHeight="1" outlineLevel="1">
      <c r="A189" s="147"/>
      <c r="B189" s="89"/>
      <c r="C189" s="90"/>
      <c r="D189" s="91"/>
      <c r="E189" s="92"/>
      <c r="F189" s="113"/>
      <c r="G189" s="883"/>
      <c r="H189" s="99" t="s">
        <v>127</v>
      </c>
      <c r="I189" s="94"/>
      <c r="J189" s="94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94"/>
      <c r="Z189" s="162"/>
    </row>
    <row r="190" spans="1:26" s="69" customFormat="1" ht="23.25" customHeight="1">
      <c r="A190" s="101">
        <v>33125</v>
      </c>
      <c r="B190" s="102" t="s">
        <v>128</v>
      </c>
      <c r="C190" s="155">
        <v>40015374</v>
      </c>
      <c r="D190" s="152" t="s">
        <v>34</v>
      </c>
      <c r="E190" s="176" t="s">
        <v>57</v>
      </c>
      <c r="F190" s="122" t="s">
        <v>1256</v>
      </c>
      <c r="G190" s="851">
        <v>2019</v>
      </c>
      <c r="H190" s="156" t="s">
        <v>1340</v>
      </c>
      <c r="I190" s="154">
        <v>70000000</v>
      </c>
      <c r="J190" s="106">
        <v>39728984</v>
      </c>
      <c r="K190" s="132">
        <v>0</v>
      </c>
      <c r="L190" s="132">
        <v>0</v>
      </c>
      <c r="M190" s="132">
        <v>28175442</v>
      </c>
      <c r="N190" s="132">
        <v>0</v>
      </c>
      <c r="O190" s="132">
        <v>0</v>
      </c>
      <c r="P190" s="132">
        <v>0</v>
      </c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f>SUBTOTAL(9,K190:V190)</f>
        <v>28175442</v>
      </c>
      <c r="X190" s="132">
        <f t="shared" ref="X190:X196" si="168">+V190+U190+T190+S190+R190+Q190+P190+O190+N190+M190+L190+K190</f>
        <v>28175442</v>
      </c>
      <c r="Y190" s="132">
        <f t="shared" ref="Y190:Y196" si="169">+I190-J190-X190</f>
        <v>2095574</v>
      </c>
      <c r="Z190" s="102" t="s">
        <v>1247</v>
      </c>
    </row>
    <row r="191" spans="1:26" s="60" customFormat="1" ht="23.25" customHeight="1" outlineLevel="1">
      <c r="A191" s="101">
        <v>33125</v>
      </c>
      <c r="B191" s="102" t="s">
        <v>128</v>
      </c>
      <c r="C191" s="120">
        <v>40015373</v>
      </c>
      <c r="D191" s="121" t="s">
        <v>34</v>
      </c>
      <c r="E191" s="104" t="s">
        <v>57</v>
      </c>
      <c r="F191" s="122" t="s">
        <v>1256</v>
      </c>
      <c r="G191" s="851">
        <v>2019</v>
      </c>
      <c r="H191" s="123" t="s">
        <v>1341</v>
      </c>
      <c r="I191" s="124">
        <v>65000000</v>
      </c>
      <c r="J191" s="106">
        <v>37927792</v>
      </c>
      <c r="K191" s="132">
        <v>0</v>
      </c>
      <c r="L191" s="132">
        <v>0</v>
      </c>
      <c r="M191" s="132">
        <v>25872672</v>
      </c>
      <c r="N191" s="132">
        <v>0</v>
      </c>
      <c r="O191" s="132">
        <v>0</v>
      </c>
      <c r="P191" s="132">
        <v>0</v>
      </c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f>SUBTOTAL(9,K191:V191)</f>
        <v>25872672</v>
      </c>
      <c r="X191" s="132">
        <f t="shared" si="168"/>
        <v>25872672</v>
      </c>
      <c r="Y191" s="132">
        <f t="shared" si="169"/>
        <v>1199536</v>
      </c>
      <c r="Z191" s="102" t="s">
        <v>1247</v>
      </c>
    </row>
    <row r="192" spans="1:26" s="60" customFormat="1" ht="23.25" customHeight="1" outlineLevel="1">
      <c r="A192" s="101">
        <v>33125</v>
      </c>
      <c r="B192" s="102" t="s">
        <v>196</v>
      </c>
      <c r="C192" s="120">
        <v>40022594</v>
      </c>
      <c r="D192" s="121" t="s">
        <v>34</v>
      </c>
      <c r="E192" s="104" t="s">
        <v>57</v>
      </c>
      <c r="F192" s="122" t="s">
        <v>1342</v>
      </c>
      <c r="G192" s="851">
        <v>2020</v>
      </c>
      <c r="H192" s="177" t="s">
        <v>1343</v>
      </c>
      <c r="I192" s="124">
        <v>65000000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32">
        <v>0</v>
      </c>
      <c r="Q192" s="132">
        <v>0</v>
      </c>
      <c r="R192" s="106">
        <v>0</v>
      </c>
      <c r="S192" s="106">
        <v>0</v>
      </c>
      <c r="T192" s="106">
        <v>0</v>
      </c>
      <c r="U192" s="106">
        <v>0</v>
      </c>
      <c r="V192" s="106">
        <v>0</v>
      </c>
      <c r="W192" s="106">
        <v>0</v>
      </c>
      <c r="X192" s="132">
        <f t="shared" si="168"/>
        <v>0</v>
      </c>
      <c r="Y192" s="132">
        <f t="shared" si="169"/>
        <v>65000000</v>
      </c>
      <c r="Z192" s="102" t="s">
        <v>1255</v>
      </c>
    </row>
    <row r="193" spans="1:26" s="60" customFormat="1" ht="23.25" customHeight="1" outlineLevel="1">
      <c r="A193" s="101">
        <v>33125</v>
      </c>
      <c r="B193" s="102" t="s">
        <v>196</v>
      </c>
      <c r="C193" s="120">
        <v>40022606</v>
      </c>
      <c r="D193" s="121" t="s">
        <v>34</v>
      </c>
      <c r="E193" s="104" t="s">
        <v>57</v>
      </c>
      <c r="F193" s="122" t="s">
        <v>1342</v>
      </c>
      <c r="G193" s="851">
        <v>2020</v>
      </c>
      <c r="H193" s="177" t="s">
        <v>1344</v>
      </c>
      <c r="I193" s="124">
        <v>30000000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32">
        <v>0</v>
      </c>
      <c r="Q193" s="132">
        <v>0</v>
      </c>
      <c r="R193" s="106">
        <v>0</v>
      </c>
      <c r="S193" s="106">
        <v>0</v>
      </c>
      <c r="T193" s="106">
        <v>0</v>
      </c>
      <c r="U193" s="106">
        <v>0</v>
      </c>
      <c r="V193" s="106">
        <v>0</v>
      </c>
      <c r="W193" s="106">
        <v>0</v>
      </c>
      <c r="X193" s="132">
        <f t="shared" si="168"/>
        <v>0</v>
      </c>
      <c r="Y193" s="132">
        <f t="shared" si="169"/>
        <v>30000000</v>
      </c>
      <c r="Z193" s="102" t="s">
        <v>1255</v>
      </c>
    </row>
    <row r="194" spans="1:26" s="60" customFormat="1" ht="23.25" customHeight="1" outlineLevel="1">
      <c r="A194" s="101">
        <v>33125</v>
      </c>
      <c r="B194" s="102" t="s">
        <v>196</v>
      </c>
      <c r="C194" s="120">
        <v>40022636</v>
      </c>
      <c r="D194" s="121" t="s">
        <v>34</v>
      </c>
      <c r="E194" s="104" t="s">
        <v>57</v>
      </c>
      <c r="F194" s="122" t="s">
        <v>1266</v>
      </c>
      <c r="G194" s="851">
        <v>2020</v>
      </c>
      <c r="H194" s="177" t="s">
        <v>1345</v>
      </c>
      <c r="I194" s="124">
        <v>40000000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32">
        <v>0</v>
      </c>
      <c r="Q194" s="132">
        <v>0</v>
      </c>
      <c r="R194" s="106">
        <v>0</v>
      </c>
      <c r="S194" s="106">
        <v>0</v>
      </c>
      <c r="T194" s="106">
        <v>0</v>
      </c>
      <c r="U194" s="106">
        <v>0</v>
      </c>
      <c r="V194" s="106">
        <v>0</v>
      </c>
      <c r="W194" s="106">
        <v>0</v>
      </c>
      <c r="X194" s="132">
        <f t="shared" si="168"/>
        <v>0</v>
      </c>
      <c r="Y194" s="132">
        <f t="shared" si="169"/>
        <v>40000000</v>
      </c>
      <c r="Z194" s="102" t="s">
        <v>1255</v>
      </c>
    </row>
    <row r="195" spans="1:26" s="60" customFormat="1" ht="23.25" customHeight="1" outlineLevel="1">
      <c r="A195" s="101">
        <v>33125</v>
      </c>
      <c r="B195" s="102" t="s">
        <v>196</v>
      </c>
      <c r="C195" s="120">
        <v>40022603</v>
      </c>
      <c r="D195" s="121" t="s">
        <v>34</v>
      </c>
      <c r="E195" s="104" t="s">
        <v>57</v>
      </c>
      <c r="F195" s="122" t="s">
        <v>1249</v>
      </c>
      <c r="G195" s="851">
        <v>2020</v>
      </c>
      <c r="H195" s="177" t="s">
        <v>1346</v>
      </c>
      <c r="I195" s="124">
        <v>65000000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</v>
      </c>
      <c r="P195" s="132">
        <v>0</v>
      </c>
      <c r="Q195" s="132">
        <v>0</v>
      </c>
      <c r="R195" s="106">
        <v>0</v>
      </c>
      <c r="S195" s="106">
        <v>0</v>
      </c>
      <c r="T195" s="106">
        <v>0</v>
      </c>
      <c r="U195" s="106">
        <v>0</v>
      </c>
      <c r="V195" s="106">
        <v>0</v>
      </c>
      <c r="W195" s="106">
        <v>0</v>
      </c>
      <c r="X195" s="132">
        <f t="shared" si="168"/>
        <v>0</v>
      </c>
      <c r="Y195" s="132">
        <f t="shared" si="169"/>
        <v>65000000</v>
      </c>
      <c r="Z195" s="102" t="s">
        <v>1255</v>
      </c>
    </row>
    <row r="196" spans="1:26" s="60" customFormat="1" ht="23.25" customHeight="1" outlineLevel="1">
      <c r="A196" s="101">
        <v>33125</v>
      </c>
      <c r="B196" s="102" t="s">
        <v>128</v>
      </c>
      <c r="C196" s="120">
        <v>40015390</v>
      </c>
      <c r="D196" s="121" t="s">
        <v>34</v>
      </c>
      <c r="E196" s="104" t="s">
        <v>57</v>
      </c>
      <c r="F196" s="122" t="s">
        <v>1256</v>
      </c>
      <c r="G196" s="851">
        <v>2019</v>
      </c>
      <c r="H196" s="123" t="s">
        <v>1347</v>
      </c>
      <c r="I196" s="124">
        <v>65000000</v>
      </c>
      <c r="J196" s="106">
        <v>46813037</v>
      </c>
      <c r="K196" s="132">
        <v>0</v>
      </c>
      <c r="L196" s="132">
        <v>0</v>
      </c>
      <c r="M196" s="132">
        <v>16246624</v>
      </c>
      <c r="N196" s="132">
        <v>0</v>
      </c>
      <c r="O196" s="132">
        <v>0</v>
      </c>
      <c r="P196" s="132">
        <v>0</v>
      </c>
      <c r="Q196" s="132">
        <v>0</v>
      </c>
      <c r="R196" s="132">
        <v>0</v>
      </c>
      <c r="S196" s="132">
        <v>0</v>
      </c>
      <c r="T196" s="132">
        <v>0</v>
      </c>
      <c r="U196" s="132">
        <v>0</v>
      </c>
      <c r="V196" s="132">
        <v>0</v>
      </c>
      <c r="W196" s="132">
        <f>SUBTOTAL(9,K196:V196)</f>
        <v>16246624</v>
      </c>
      <c r="X196" s="132">
        <f t="shared" si="168"/>
        <v>16246624</v>
      </c>
      <c r="Y196" s="132">
        <f t="shared" si="169"/>
        <v>1940339</v>
      </c>
      <c r="Z196" s="102" t="s">
        <v>1247</v>
      </c>
    </row>
    <row r="197" spans="1:26" s="62" customFormat="1" ht="23.25" customHeight="1" outlineLevel="2">
      <c r="A197" s="125"/>
      <c r="B197" s="126"/>
      <c r="C197" s="127"/>
      <c r="D197" s="128"/>
      <c r="E197" s="128"/>
      <c r="F197" s="897"/>
      <c r="G197" s="886"/>
      <c r="H197" s="109" t="s">
        <v>187</v>
      </c>
      <c r="I197" s="129">
        <f t="shared" ref="I197:N197" si="170">SUM(I190:I196)</f>
        <v>400000000</v>
      </c>
      <c r="J197" s="129">
        <f t="shared" si="170"/>
        <v>124469813</v>
      </c>
      <c r="K197" s="129">
        <f t="shared" si="170"/>
        <v>0</v>
      </c>
      <c r="L197" s="129">
        <f t="shared" si="170"/>
        <v>0</v>
      </c>
      <c r="M197" s="129">
        <f t="shared" si="170"/>
        <v>70294738</v>
      </c>
      <c r="N197" s="129">
        <f t="shared" si="170"/>
        <v>0</v>
      </c>
      <c r="O197" s="129">
        <v>0</v>
      </c>
      <c r="P197" s="129">
        <v>0</v>
      </c>
      <c r="Q197" s="129">
        <v>0</v>
      </c>
      <c r="R197" s="129">
        <f t="shared" ref="R197:Y197" si="171">SUM(R190:R196)</f>
        <v>0</v>
      </c>
      <c r="S197" s="129">
        <f t="shared" si="171"/>
        <v>0</v>
      </c>
      <c r="T197" s="129">
        <f t="shared" si="171"/>
        <v>0</v>
      </c>
      <c r="U197" s="129">
        <f t="shared" si="171"/>
        <v>0</v>
      </c>
      <c r="V197" s="129">
        <f t="shared" si="171"/>
        <v>0</v>
      </c>
      <c r="W197" s="129">
        <f t="shared" si="171"/>
        <v>70294738</v>
      </c>
      <c r="X197" s="129">
        <f t="shared" si="171"/>
        <v>70294738</v>
      </c>
      <c r="Y197" s="129">
        <f t="shared" si="171"/>
        <v>205235449</v>
      </c>
      <c r="Z197" s="137"/>
    </row>
    <row r="198" spans="1:26" s="59" customFormat="1" ht="15" outlineLevel="1">
      <c r="A198" s="111"/>
      <c r="B198" s="112"/>
      <c r="C198" s="90"/>
      <c r="D198" s="113"/>
      <c r="E198" s="114"/>
      <c r="F198" s="113"/>
      <c r="G198" s="885"/>
      <c r="H198" s="115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35"/>
    </row>
    <row r="199" spans="1:26" s="59" customFormat="1" ht="23.25" outlineLevel="1">
      <c r="A199" s="111"/>
      <c r="B199" s="112"/>
      <c r="C199" s="90"/>
      <c r="D199" s="113"/>
      <c r="E199" s="114"/>
      <c r="F199" s="113"/>
      <c r="G199" s="885"/>
      <c r="H199" s="117" t="s">
        <v>699</v>
      </c>
      <c r="I199" s="118">
        <f>+I197</f>
        <v>400000000</v>
      </c>
      <c r="J199" s="118">
        <f t="shared" ref="J199:Y199" si="172">+J197</f>
        <v>124469813</v>
      </c>
      <c r="K199" s="118">
        <f t="shared" si="172"/>
        <v>0</v>
      </c>
      <c r="L199" s="118">
        <f t="shared" ref="L199:M199" si="173">+L197</f>
        <v>0</v>
      </c>
      <c r="M199" s="118">
        <f t="shared" si="173"/>
        <v>70294738</v>
      </c>
      <c r="N199" s="118">
        <v>0</v>
      </c>
      <c r="O199" s="118">
        <v>0</v>
      </c>
      <c r="P199" s="118">
        <v>0</v>
      </c>
      <c r="Q199" s="118">
        <v>0</v>
      </c>
      <c r="R199" s="118">
        <f t="shared" si="172"/>
        <v>0</v>
      </c>
      <c r="S199" s="118">
        <f t="shared" si="172"/>
        <v>0</v>
      </c>
      <c r="T199" s="118">
        <f t="shared" si="172"/>
        <v>0</v>
      </c>
      <c r="U199" s="118">
        <f t="shared" si="172"/>
        <v>0</v>
      </c>
      <c r="V199" s="118">
        <f t="shared" si="172"/>
        <v>0</v>
      </c>
      <c r="W199" s="118">
        <f t="shared" si="172"/>
        <v>70294738</v>
      </c>
      <c r="X199" s="118">
        <f t="shared" si="172"/>
        <v>70294738</v>
      </c>
      <c r="Y199" s="118">
        <f t="shared" si="172"/>
        <v>205235449</v>
      </c>
      <c r="Z199" s="135"/>
    </row>
    <row r="200" spans="1:26" s="59" customFormat="1" ht="15" outlineLevel="1">
      <c r="A200" s="88"/>
      <c r="B200" s="89"/>
      <c r="C200" s="90"/>
      <c r="D200" s="91"/>
      <c r="E200" s="92"/>
      <c r="F200" s="113"/>
      <c r="G200" s="883"/>
      <c r="H200" s="130"/>
      <c r="I200" s="94"/>
      <c r="J200" s="94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94"/>
      <c r="Z200" s="133"/>
    </row>
    <row r="201" spans="1:26" s="59" customFormat="1" ht="23.25" outlineLevel="1">
      <c r="A201" s="88"/>
      <c r="B201" s="89"/>
      <c r="C201" s="90"/>
      <c r="D201" s="91"/>
      <c r="E201" s="92"/>
      <c r="F201" s="113"/>
      <c r="G201" s="883"/>
      <c r="H201" s="163" t="s">
        <v>700</v>
      </c>
      <c r="I201" s="94"/>
      <c r="J201" s="94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94"/>
      <c r="Z201" s="133"/>
    </row>
    <row r="202" spans="1:26" s="66" customFormat="1" ht="23.25" customHeight="1" outlineLevel="1">
      <c r="A202" s="147"/>
      <c r="B202" s="89"/>
      <c r="C202" s="90"/>
      <c r="D202" s="91"/>
      <c r="E202" s="92"/>
      <c r="F202" s="113"/>
      <c r="G202" s="883"/>
      <c r="H202" s="99" t="s">
        <v>127</v>
      </c>
      <c r="I202" s="94"/>
      <c r="J202" s="94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94"/>
      <c r="Z202" s="162"/>
    </row>
    <row r="203" spans="1:26" s="60" customFormat="1" ht="23.25" customHeight="1" outlineLevel="2">
      <c r="A203" s="101">
        <v>33125</v>
      </c>
      <c r="B203" s="102" t="s">
        <v>128</v>
      </c>
      <c r="C203" s="179">
        <v>40015309</v>
      </c>
      <c r="D203" s="104" t="s">
        <v>34</v>
      </c>
      <c r="E203" s="104" t="s">
        <v>58</v>
      </c>
      <c r="F203" s="122" t="s">
        <v>1256</v>
      </c>
      <c r="G203" s="851">
        <v>2019</v>
      </c>
      <c r="H203" s="149" t="s">
        <v>1349</v>
      </c>
      <c r="I203" s="106">
        <v>70000000</v>
      </c>
      <c r="J203" s="106">
        <v>0</v>
      </c>
      <c r="K203" s="132">
        <v>0</v>
      </c>
      <c r="L203" s="132">
        <v>0</v>
      </c>
      <c r="M203" s="132">
        <v>0</v>
      </c>
      <c r="N203" s="132">
        <v>0</v>
      </c>
      <c r="O203" s="132">
        <v>23102764</v>
      </c>
      <c r="P203" s="132">
        <v>0</v>
      </c>
      <c r="Q203" s="132">
        <v>0</v>
      </c>
      <c r="R203" s="132">
        <v>0</v>
      </c>
      <c r="S203" s="132">
        <v>0</v>
      </c>
      <c r="T203" s="132">
        <v>0</v>
      </c>
      <c r="U203" s="132">
        <v>0</v>
      </c>
      <c r="V203" s="132">
        <v>0</v>
      </c>
      <c r="W203" s="132">
        <f t="shared" ref="W203:W205" si="174">SUBTOTAL(9,K203:V203)</f>
        <v>23102764</v>
      </c>
      <c r="X203" s="132">
        <f t="shared" ref="X203:X205" si="175">+V203+U203+T203+S203+R203+Q203+P203+O203+N203+M203+L203+K203</f>
        <v>23102764</v>
      </c>
      <c r="Y203" s="132">
        <f t="shared" ref="Y203:Y205" si="176">+I203-J203-X203</f>
        <v>46897236</v>
      </c>
      <c r="Z203" s="102" t="s">
        <v>1247</v>
      </c>
    </row>
    <row r="204" spans="1:26" s="60" customFormat="1" ht="23.25" customHeight="1" outlineLevel="2">
      <c r="A204" s="101">
        <v>33125</v>
      </c>
      <c r="B204" s="102" t="s">
        <v>128</v>
      </c>
      <c r="C204" s="179">
        <v>40015264</v>
      </c>
      <c r="D204" s="104" t="s">
        <v>34</v>
      </c>
      <c r="E204" s="104" t="s">
        <v>58</v>
      </c>
      <c r="F204" s="122" t="s">
        <v>1256</v>
      </c>
      <c r="G204" s="851">
        <v>2019</v>
      </c>
      <c r="H204" s="149" t="s">
        <v>1350</v>
      </c>
      <c r="I204" s="106">
        <v>37440000</v>
      </c>
      <c r="J204" s="106">
        <v>0</v>
      </c>
      <c r="K204" s="132">
        <v>0</v>
      </c>
      <c r="L204" s="132">
        <v>0</v>
      </c>
      <c r="M204" s="132">
        <v>0</v>
      </c>
      <c r="N204" s="132">
        <v>0</v>
      </c>
      <c r="O204" s="132">
        <v>0</v>
      </c>
      <c r="P204" s="132">
        <v>17517562</v>
      </c>
      <c r="Q204" s="132">
        <v>0</v>
      </c>
      <c r="R204" s="132">
        <v>0</v>
      </c>
      <c r="S204" s="132">
        <v>0</v>
      </c>
      <c r="T204" s="132">
        <v>0</v>
      </c>
      <c r="U204" s="132">
        <v>0</v>
      </c>
      <c r="V204" s="132">
        <v>0</v>
      </c>
      <c r="W204" s="132">
        <f t="shared" si="174"/>
        <v>17517562</v>
      </c>
      <c r="X204" s="132">
        <f t="shared" si="175"/>
        <v>17517562</v>
      </c>
      <c r="Y204" s="132">
        <f t="shared" si="176"/>
        <v>19922438</v>
      </c>
      <c r="Z204" s="102" t="s">
        <v>1247</v>
      </c>
    </row>
    <row r="205" spans="1:26" s="60" customFormat="1" ht="23.25" customHeight="1" outlineLevel="2">
      <c r="A205" s="101">
        <v>33125</v>
      </c>
      <c r="B205" s="102" t="s">
        <v>128</v>
      </c>
      <c r="C205" s="155">
        <v>40015317</v>
      </c>
      <c r="D205" s="104" t="s">
        <v>34</v>
      </c>
      <c r="E205" s="104" t="s">
        <v>58</v>
      </c>
      <c r="F205" s="122" t="s">
        <v>1256</v>
      </c>
      <c r="G205" s="851">
        <v>2019</v>
      </c>
      <c r="H205" s="156" t="s">
        <v>1351</v>
      </c>
      <c r="I205" s="106">
        <v>92257281</v>
      </c>
      <c r="J205" s="106">
        <v>81302846</v>
      </c>
      <c r="K205" s="132">
        <v>0</v>
      </c>
      <c r="L205" s="132">
        <v>0</v>
      </c>
      <c r="M205" s="132">
        <v>0</v>
      </c>
      <c r="N205" s="132">
        <v>8637005</v>
      </c>
      <c r="O205" s="132">
        <v>0</v>
      </c>
      <c r="P205" s="132">
        <v>0</v>
      </c>
      <c r="Q205" s="132">
        <v>0</v>
      </c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f t="shared" si="174"/>
        <v>8637005</v>
      </c>
      <c r="X205" s="132">
        <f t="shared" si="175"/>
        <v>8637005</v>
      </c>
      <c r="Y205" s="132">
        <f t="shared" si="176"/>
        <v>2317430</v>
      </c>
      <c r="Z205" s="102" t="s">
        <v>1247</v>
      </c>
    </row>
    <row r="206" spans="1:26" s="62" customFormat="1" ht="23.25" customHeight="1" outlineLevel="2">
      <c r="A206" s="125"/>
      <c r="B206" s="126"/>
      <c r="C206" s="127"/>
      <c r="D206" s="128"/>
      <c r="E206" s="128"/>
      <c r="F206" s="897"/>
      <c r="G206" s="886"/>
      <c r="H206" s="109" t="s">
        <v>187</v>
      </c>
      <c r="I206" s="129">
        <f>SUM(I203:I205)</f>
        <v>199697281</v>
      </c>
      <c r="J206" s="129">
        <f>SUM(J203:J205)</f>
        <v>81302846</v>
      </c>
      <c r="K206" s="129">
        <f>SUM(K203:K205)</f>
        <v>0</v>
      </c>
      <c r="L206" s="129">
        <f>SUM(L203:L205)</f>
        <v>0</v>
      </c>
      <c r="M206" s="129">
        <f>SUM(M203:M205)</f>
        <v>0</v>
      </c>
      <c r="N206" s="129">
        <v>8637005</v>
      </c>
      <c r="O206" s="129">
        <v>23102764</v>
      </c>
      <c r="P206" s="129">
        <v>17517562</v>
      </c>
      <c r="Q206" s="129">
        <v>0</v>
      </c>
      <c r="R206" s="129">
        <f t="shared" ref="R206:Y206" si="177">SUM(R203:R205)</f>
        <v>0</v>
      </c>
      <c r="S206" s="129">
        <f t="shared" si="177"/>
        <v>0</v>
      </c>
      <c r="T206" s="129">
        <f t="shared" si="177"/>
        <v>0</v>
      </c>
      <c r="U206" s="129">
        <f t="shared" si="177"/>
        <v>0</v>
      </c>
      <c r="V206" s="129">
        <f t="shared" si="177"/>
        <v>0</v>
      </c>
      <c r="W206" s="129">
        <f t="shared" si="177"/>
        <v>49257331</v>
      </c>
      <c r="X206" s="129">
        <f t="shared" si="177"/>
        <v>49257331</v>
      </c>
      <c r="Y206" s="129">
        <f t="shared" si="177"/>
        <v>69137104</v>
      </c>
      <c r="Z206" s="137"/>
    </row>
    <row r="207" spans="1:26" s="59" customFormat="1" ht="15" outlineLevel="1">
      <c r="A207" s="111"/>
      <c r="B207" s="112"/>
      <c r="C207" s="90"/>
      <c r="D207" s="113"/>
      <c r="E207" s="114"/>
      <c r="F207" s="113"/>
      <c r="G207" s="885"/>
      <c r="H207" s="115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35"/>
    </row>
    <row r="208" spans="1:26" s="59" customFormat="1" ht="23.25" outlineLevel="1">
      <c r="A208" s="111"/>
      <c r="B208" s="112"/>
      <c r="C208" s="90"/>
      <c r="D208" s="113"/>
      <c r="E208" s="114"/>
      <c r="F208" s="113"/>
      <c r="G208" s="885"/>
      <c r="H208" s="117" t="s">
        <v>729</v>
      </c>
      <c r="I208" s="118">
        <f>+I206</f>
        <v>199697281</v>
      </c>
      <c r="J208" s="118">
        <f t="shared" ref="J208:Y208" si="178">+J206</f>
        <v>81302846</v>
      </c>
      <c r="K208" s="118">
        <f t="shared" si="178"/>
        <v>0</v>
      </c>
      <c r="L208" s="118">
        <f t="shared" ref="L208:M208" si="179">+L206</f>
        <v>0</v>
      </c>
      <c r="M208" s="118">
        <f t="shared" si="179"/>
        <v>0</v>
      </c>
      <c r="N208" s="118">
        <v>8637005</v>
      </c>
      <c r="O208" s="118">
        <v>23102764</v>
      </c>
      <c r="P208" s="118">
        <v>17517562</v>
      </c>
      <c r="Q208" s="118">
        <v>0</v>
      </c>
      <c r="R208" s="118">
        <f t="shared" si="178"/>
        <v>0</v>
      </c>
      <c r="S208" s="118">
        <f t="shared" si="178"/>
        <v>0</v>
      </c>
      <c r="T208" s="118">
        <f t="shared" si="178"/>
        <v>0</v>
      </c>
      <c r="U208" s="118">
        <f t="shared" si="178"/>
        <v>0</v>
      </c>
      <c r="V208" s="118">
        <f t="shared" si="178"/>
        <v>0</v>
      </c>
      <c r="W208" s="118">
        <f t="shared" si="178"/>
        <v>49257331</v>
      </c>
      <c r="X208" s="118">
        <f t="shared" si="178"/>
        <v>49257331</v>
      </c>
      <c r="Y208" s="118">
        <f t="shared" si="178"/>
        <v>69137104</v>
      </c>
      <c r="Z208" s="135"/>
    </row>
    <row r="209" spans="1:26" s="59" customFormat="1" ht="15" customHeight="1" outlineLevel="1">
      <c r="A209" s="88"/>
      <c r="B209" s="89"/>
      <c r="C209" s="150"/>
      <c r="D209" s="91"/>
      <c r="E209" s="92"/>
      <c r="F209" s="899"/>
      <c r="G209" s="883"/>
      <c r="H209" s="130"/>
      <c r="I209" s="94"/>
      <c r="J209" s="94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94"/>
      <c r="Z209" s="133"/>
    </row>
    <row r="210" spans="1:26" s="59" customFormat="1" ht="23.25" outlineLevel="1">
      <c r="A210" s="88"/>
      <c r="B210" s="89"/>
      <c r="C210" s="90"/>
      <c r="D210" s="91"/>
      <c r="E210" s="92"/>
      <c r="F210" s="113"/>
      <c r="G210" s="883"/>
      <c r="H210" s="163" t="s">
        <v>730</v>
      </c>
      <c r="I210" s="94"/>
      <c r="J210" s="94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94"/>
      <c r="Z210" s="133"/>
    </row>
    <row r="211" spans="1:26" s="66" customFormat="1" ht="23.25" customHeight="1" outlineLevel="1">
      <c r="A211" s="147"/>
      <c r="B211" s="89"/>
      <c r="C211" s="90"/>
      <c r="D211" s="91"/>
      <c r="E211" s="92"/>
      <c r="F211" s="113"/>
      <c r="G211" s="883"/>
      <c r="H211" s="99" t="s">
        <v>127</v>
      </c>
      <c r="I211" s="94"/>
      <c r="J211" s="94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94"/>
      <c r="Z211" s="162"/>
    </row>
    <row r="212" spans="1:26" s="69" customFormat="1" ht="23.25" customHeight="1">
      <c r="A212" s="101">
        <v>33125</v>
      </c>
      <c r="B212" s="102" t="s">
        <v>128</v>
      </c>
      <c r="C212" s="151">
        <v>40013654</v>
      </c>
      <c r="D212" s="152" t="s">
        <v>34</v>
      </c>
      <c r="E212" s="176" t="s">
        <v>59</v>
      </c>
      <c r="F212" s="122" t="s">
        <v>1256</v>
      </c>
      <c r="G212" s="851">
        <v>2019</v>
      </c>
      <c r="H212" s="153" t="s">
        <v>1352</v>
      </c>
      <c r="I212" s="154">
        <v>80000000</v>
      </c>
      <c r="J212" s="106">
        <v>20525700</v>
      </c>
      <c r="K212" s="132">
        <v>0</v>
      </c>
      <c r="L212" s="132">
        <v>49360173</v>
      </c>
      <c r="M212" s="132">
        <v>0</v>
      </c>
      <c r="N212" s="132">
        <v>10113513</v>
      </c>
      <c r="O212" s="132">
        <v>0</v>
      </c>
      <c r="P212" s="132">
        <v>0</v>
      </c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f t="shared" ref="W212:W214" si="180">SUBTOTAL(9,K212:V212)</f>
        <v>59473686</v>
      </c>
      <c r="X212" s="132">
        <f t="shared" ref="X212:X214" si="181">+V212+U212+T212+S212+R212+Q212+P212+O212+N212+M212+L212+K212</f>
        <v>59473686</v>
      </c>
      <c r="Y212" s="132">
        <f t="shared" ref="Y212:Y214" si="182">+I212-J212-X212</f>
        <v>614</v>
      </c>
      <c r="Z212" s="102" t="s">
        <v>1261</v>
      </c>
    </row>
    <row r="213" spans="1:26" s="69" customFormat="1" ht="23.25" customHeight="1">
      <c r="A213" s="101">
        <v>33125</v>
      </c>
      <c r="B213" s="102" t="s">
        <v>128</v>
      </c>
      <c r="C213" s="151">
        <v>40013648</v>
      </c>
      <c r="D213" s="152" t="s">
        <v>34</v>
      </c>
      <c r="E213" s="152" t="s">
        <v>59</v>
      </c>
      <c r="F213" s="122" t="s">
        <v>1256</v>
      </c>
      <c r="G213" s="851">
        <v>2019</v>
      </c>
      <c r="H213" s="153" t="s">
        <v>1353</v>
      </c>
      <c r="I213" s="154">
        <v>81000000</v>
      </c>
      <c r="J213" s="106">
        <v>24515488</v>
      </c>
      <c r="K213" s="132">
        <v>0</v>
      </c>
      <c r="L213" s="132">
        <v>34973059</v>
      </c>
      <c r="M213" s="132">
        <v>0</v>
      </c>
      <c r="N213" s="132">
        <v>15885682</v>
      </c>
      <c r="O213" s="132">
        <v>0</v>
      </c>
      <c r="P213" s="132">
        <v>5623567</v>
      </c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f t="shared" si="180"/>
        <v>56482308</v>
      </c>
      <c r="X213" s="132">
        <f t="shared" si="181"/>
        <v>56482308</v>
      </c>
      <c r="Y213" s="132">
        <f t="shared" si="182"/>
        <v>2204</v>
      </c>
      <c r="Z213" s="102" t="s">
        <v>1247</v>
      </c>
    </row>
    <row r="214" spans="1:26" s="69" customFormat="1" ht="23.25" customHeight="1">
      <c r="A214" s="101">
        <v>33125</v>
      </c>
      <c r="B214" s="102" t="s">
        <v>128</v>
      </c>
      <c r="C214" s="151">
        <v>40013652</v>
      </c>
      <c r="D214" s="152" t="s">
        <v>34</v>
      </c>
      <c r="E214" s="152" t="s">
        <v>59</v>
      </c>
      <c r="F214" s="122" t="s">
        <v>1256</v>
      </c>
      <c r="G214" s="851">
        <v>2019</v>
      </c>
      <c r="H214" s="153" t="s">
        <v>1354</v>
      </c>
      <c r="I214" s="154">
        <v>39000000</v>
      </c>
      <c r="J214" s="106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21524613</v>
      </c>
      <c r="Q214" s="132">
        <v>9323445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f t="shared" si="180"/>
        <v>30848058</v>
      </c>
      <c r="X214" s="132">
        <f t="shared" si="181"/>
        <v>30848058</v>
      </c>
      <c r="Y214" s="132">
        <f t="shared" si="182"/>
        <v>8151942</v>
      </c>
      <c r="Z214" s="102" t="s">
        <v>1247</v>
      </c>
    </row>
    <row r="215" spans="1:26" s="69" customFormat="1" ht="23.25" customHeight="1">
      <c r="A215" s="101">
        <v>33125</v>
      </c>
      <c r="B215" s="102" t="s">
        <v>196</v>
      </c>
      <c r="C215" s="151">
        <v>40021780</v>
      </c>
      <c r="D215" s="152" t="s">
        <v>34</v>
      </c>
      <c r="E215" s="152" t="s">
        <v>59</v>
      </c>
      <c r="F215" s="122" t="s">
        <v>1582</v>
      </c>
      <c r="G215" s="851">
        <v>2020</v>
      </c>
      <c r="H215" s="871" t="s">
        <v>1588</v>
      </c>
      <c r="I215" s="872">
        <v>35000000</v>
      </c>
      <c r="J215" s="106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2">
        <v>0</v>
      </c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f t="shared" ref="W215:W218" si="183">SUBTOTAL(9,K215:V215)</f>
        <v>0</v>
      </c>
      <c r="X215" s="132">
        <f t="shared" ref="X215:X218" si="184">+V215+U215+T215+S215+R215+Q215+P215+O215+N215+M215+L215+K215</f>
        <v>0</v>
      </c>
      <c r="Y215" s="132">
        <f t="shared" ref="Y215:Y218" si="185">+I215-J215-X215</f>
        <v>35000000</v>
      </c>
      <c r="Z215" s="875" t="s">
        <v>1255</v>
      </c>
    </row>
    <row r="216" spans="1:26" s="69" customFormat="1" ht="23.25" customHeight="1">
      <c r="A216" s="101">
        <v>33125</v>
      </c>
      <c r="B216" s="102" t="s">
        <v>196</v>
      </c>
      <c r="C216" s="151">
        <v>40021788</v>
      </c>
      <c r="D216" s="152" t="s">
        <v>34</v>
      </c>
      <c r="E216" s="152" t="s">
        <v>59</v>
      </c>
      <c r="F216" s="122" t="s">
        <v>1582</v>
      </c>
      <c r="G216" s="851">
        <v>2020</v>
      </c>
      <c r="H216" s="871" t="s">
        <v>1589</v>
      </c>
      <c r="I216" s="872">
        <v>35000000</v>
      </c>
      <c r="J216" s="106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2">
        <v>0</v>
      </c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f t="shared" si="183"/>
        <v>0</v>
      </c>
      <c r="X216" s="132">
        <f t="shared" si="184"/>
        <v>0</v>
      </c>
      <c r="Y216" s="132">
        <f t="shared" si="185"/>
        <v>35000000</v>
      </c>
      <c r="Z216" s="875" t="s">
        <v>1255</v>
      </c>
    </row>
    <row r="217" spans="1:26" s="69" customFormat="1" ht="23.25" customHeight="1">
      <c r="A217" s="101">
        <v>33125</v>
      </c>
      <c r="B217" s="102" t="s">
        <v>196</v>
      </c>
      <c r="C217" s="151">
        <v>40021778</v>
      </c>
      <c r="D217" s="152" t="s">
        <v>34</v>
      </c>
      <c r="E217" s="152" t="s">
        <v>59</v>
      </c>
      <c r="F217" s="122" t="s">
        <v>1582</v>
      </c>
      <c r="G217" s="851">
        <v>2020</v>
      </c>
      <c r="H217" s="871" t="s">
        <v>1590</v>
      </c>
      <c r="I217" s="872">
        <v>35000000</v>
      </c>
      <c r="J217" s="106">
        <v>0</v>
      </c>
      <c r="K217" s="132">
        <v>0</v>
      </c>
      <c r="L217" s="132">
        <v>0</v>
      </c>
      <c r="M217" s="132">
        <v>0</v>
      </c>
      <c r="N217" s="132">
        <v>0</v>
      </c>
      <c r="O217" s="132">
        <v>0</v>
      </c>
      <c r="P217" s="132">
        <v>0</v>
      </c>
      <c r="Q217" s="132">
        <v>0</v>
      </c>
      <c r="R217" s="132">
        <v>0</v>
      </c>
      <c r="S217" s="132">
        <v>0</v>
      </c>
      <c r="T217" s="132">
        <v>0</v>
      </c>
      <c r="U217" s="132">
        <v>0</v>
      </c>
      <c r="V217" s="132">
        <v>0</v>
      </c>
      <c r="W217" s="132">
        <f t="shared" si="183"/>
        <v>0</v>
      </c>
      <c r="X217" s="132">
        <f t="shared" si="184"/>
        <v>0</v>
      </c>
      <c r="Y217" s="132">
        <f t="shared" si="185"/>
        <v>35000000</v>
      </c>
      <c r="Z217" s="875" t="s">
        <v>1255</v>
      </c>
    </row>
    <row r="218" spans="1:26" s="69" customFormat="1" ht="23.25" customHeight="1">
      <c r="A218" s="101">
        <v>33125</v>
      </c>
      <c r="B218" s="102" t="s">
        <v>196</v>
      </c>
      <c r="C218" s="151">
        <v>40021789</v>
      </c>
      <c r="D218" s="152" t="s">
        <v>34</v>
      </c>
      <c r="E218" s="152" t="s">
        <v>59</v>
      </c>
      <c r="F218" s="122" t="s">
        <v>1582</v>
      </c>
      <c r="G218" s="851">
        <v>2020</v>
      </c>
      <c r="H218" s="871" t="s">
        <v>1591</v>
      </c>
      <c r="I218" s="872">
        <v>95000000</v>
      </c>
      <c r="J218" s="106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2">
        <v>0</v>
      </c>
      <c r="Q218" s="132">
        <v>0</v>
      </c>
      <c r="R218" s="132">
        <v>0</v>
      </c>
      <c r="S218" s="132">
        <v>0</v>
      </c>
      <c r="T218" s="132">
        <v>0</v>
      </c>
      <c r="U218" s="132">
        <v>0</v>
      </c>
      <c r="V218" s="132">
        <v>0</v>
      </c>
      <c r="W218" s="132">
        <f t="shared" si="183"/>
        <v>0</v>
      </c>
      <c r="X218" s="132">
        <f t="shared" si="184"/>
        <v>0</v>
      </c>
      <c r="Y218" s="132">
        <f t="shared" si="185"/>
        <v>95000000</v>
      </c>
      <c r="Z218" s="875" t="s">
        <v>1255</v>
      </c>
    </row>
    <row r="219" spans="1:26" s="62" customFormat="1" ht="23.25" customHeight="1" outlineLevel="2">
      <c r="A219" s="125"/>
      <c r="B219" s="126"/>
      <c r="C219" s="127"/>
      <c r="D219" s="128"/>
      <c r="E219" s="128"/>
      <c r="F219" s="897"/>
      <c r="G219" s="886"/>
      <c r="H219" s="109" t="s">
        <v>187</v>
      </c>
      <c r="I219" s="129">
        <f>SUM(I212:I218)</f>
        <v>400000000</v>
      </c>
      <c r="J219" s="129">
        <f t="shared" ref="J219:Y219" si="186">SUM(J212:J218)</f>
        <v>45041188</v>
      </c>
      <c r="K219" s="129">
        <f t="shared" si="186"/>
        <v>0</v>
      </c>
      <c r="L219" s="129">
        <f t="shared" si="186"/>
        <v>84333232</v>
      </c>
      <c r="M219" s="129">
        <f t="shared" si="186"/>
        <v>0</v>
      </c>
      <c r="N219" s="129">
        <f t="shared" si="186"/>
        <v>25999195</v>
      </c>
      <c r="O219" s="129">
        <f t="shared" si="186"/>
        <v>0</v>
      </c>
      <c r="P219" s="129">
        <f t="shared" ref="P219:Q219" si="187">SUM(P212:P218)</f>
        <v>27148180</v>
      </c>
      <c r="Q219" s="129">
        <f t="shared" si="187"/>
        <v>9323445</v>
      </c>
      <c r="R219" s="129">
        <f t="shared" si="186"/>
        <v>0</v>
      </c>
      <c r="S219" s="129">
        <f t="shared" si="186"/>
        <v>0</v>
      </c>
      <c r="T219" s="129">
        <f t="shared" si="186"/>
        <v>0</v>
      </c>
      <c r="U219" s="129">
        <f t="shared" si="186"/>
        <v>0</v>
      </c>
      <c r="V219" s="129">
        <f t="shared" si="186"/>
        <v>0</v>
      </c>
      <c r="W219" s="129">
        <f t="shared" si="186"/>
        <v>146804052</v>
      </c>
      <c r="X219" s="129">
        <f t="shared" si="186"/>
        <v>146804052</v>
      </c>
      <c r="Y219" s="129">
        <f t="shared" si="186"/>
        <v>208154760</v>
      </c>
      <c r="Z219" s="183"/>
    </row>
    <row r="220" spans="1:26" s="59" customFormat="1" ht="15" outlineLevel="1">
      <c r="A220" s="111"/>
      <c r="B220" s="112"/>
      <c r="C220" s="90"/>
      <c r="D220" s="113"/>
      <c r="E220" s="114"/>
      <c r="F220" s="113"/>
      <c r="G220" s="885"/>
      <c r="H220" s="115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35"/>
    </row>
    <row r="221" spans="1:26" s="59" customFormat="1" ht="23.25" outlineLevel="1">
      <c r="A221" s="111"/>
      <c r="B221" s="112"/>
      <c r="C221" s="90"/>
      <c r="D221" s="113"/>
      <c r="E221" s="114"/>
      <c r="F221" s="113"/>
      <c r="G221" s="885"/>
      <c r="H221" s="117" t="s">
        <v>762</v>
      </c>
      <c r="I221" s="118">
        <f>+I219</f>
        <v>400000000</v>
      </c>
      <c r="J221" s="118">
        <f t="shared" ref="J221:Y221" si="188">+J219</f>
        <v>45041188</v>
      </c>
      <c r="K221" s="118">
        <f t="shared" si="188"/>
        <v>0</v>
      </c>
      <c r="L221" s="118">
        <f t="shared" ref="L221:M221" si="189">+L219</f>
        <v>84333232</v>
      </c>
      <c r="M221" s="118">
        <f t="shared" si="189"/>
        <v>0</v>
      </c>
      <c r="N221" s="118">
        <v>25999195</v>
      </c>
      <c r="O221" s="118">
        <v>0</v>
      </c>
      <c r="P221" s="118">
        <f t="shared" ref="P221:Q221" si="190">+P219</f>
        <v>27148180</v>
      </c>
      <c r="Q221" s="118">
        <f t="shared" si="190"/>
        <v>9323445</v>
      </c>
      <c r="R221" s="118">
        <f t="shared" si="188"/>
        <v>0</v>
      </c>
      <c r="S221" s="118">
        <f t="shared" si="188"/>
        <v>0</v>
      </c>
      <c r="T221" s="118">
        <f t="shared" si="188"/>
        <v>0</v>
      </c>
      <c r="U221" s="118">
        <f t="shared" si="188"/>
        <v>0</v>
      </c>
      <c r="V221" s="118">
        <f t="shared" si="188"/>
        <v>0</v>
      </c>
      <c r="W221" s="118">
        <f t="shared" si="188"/>
        <v>146804052</v>
      </c>
      <c r="X221" s="118">
        <f t="shared" si="188"/>
        <v>146804052</v>
      </c>
      <c r="Y221" s="118">
        <f t="shared" si="188"/>
        <v>208154760</v>
      </c>
      <c r="Z221" s="135"/>
    </row>
    <row r="222" spans="1:26" s="59" customFormat="1" ht="15" customHeight="1" outlineLevel="1">
      <c r="A222" s="88"/>
      <c r="B222" s="89"/>
      <c r="C222" s="90"/>
      <c r="D222" s="91"/>
      <c r="E222" s="92"/>
      <c r="F222" s="113"/>
      <c r="G222" s="883"/>
      <c r="H222" s="130"/>
      <c r="I222" s="94"/>
      <c r="J222" s="94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94"/>
      <c r="Z222" s="133"/>
    </row>
    <row r="223" spans="1:26" s="59" customFormat="1" ht="23.25" outlineLevel="1">
      <c r="A223" s="88"/>
      <c r="B223" s="89"/>
      <c r="C223" s="90"/>
      <c r="D223" s="91"/>
      <c r="E223" s="92"/>
      <c r="F223" s="113"/>
      <c r="G223" s="883"/>
      <c r="H223" s="163" t="s">
        <v>763</v>
      </c>
      <c r="I223" s="94"/>
      <c r="J223" s="94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94"/>
      <c r="Z223" s="133"/>
    </row>
    <row r="224" spans="1:26" s="66" customFormat="1" ht="23.25" customHeight="1" outlineLevel="1">
      <c r="A224" s="147"/>
      <c r="B224" s="89"/>
      <c r="C224" s="90"/>
      <c r="D224" s="91"/>
      <c r="E224" s="92"/>
      <c r="F224" s="113"/>
      <c r="G224" s="883"/>
      <c r="H224" s="99" t="s">
        <v>127</v>
      </c>
      <c r="I224" s="94"/>
      <c r="J224" s="94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94"/>
      <c r="Z224" s="162"/>
    </row>
    <row r="225" spans="1:26" s="60" customFormat="1" ht="23.25" customHeight="1" outlineLevel="2">
      <c r="A225" s="101">
        <v>33125</v>
      </c>
      <c r="B225" s="102" t="s">
        <v>128</v>
      </c>
      <c r="C225" s="120">
        <v>40015417</v>
      </c>
      <c r="D225" s="104" t="s">
        <v>34</v>
      </c>
      <c r="E225" s="104" t="s">
        <v>60</v>
      </c>
      <c r="F225" s="122" t="s">
        <v>1256</v>
      </c>
      <c r="G225" s="851">
        <v>2019</v>
      </c>
      <c r="H225" s="122" t="s">
        <v>1356</v>
      </c>
      <c r="I225" s="106">
        <v>33156600</v>
      </c>
      <c r="J225" s="106">
        <v>16470980</v>
      </c>
      <c r="K225" s="132">
        <v>0</v>
      </c>
      <c r="L225" s="132">
        <v>0</v>
      </c>
      <c r="M225" s="132">
        <v>14569759</v>
      </c>
      <c r="N225" s="132">
        <v>0</v>
      </c>
      <c r="O225" s="132">
        <v>2115172</v>
      </c>
      <c r="P225" s="132">
        <v>0</v>
      </c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f t="shared" ref="W225:W232" si="191">SUBTOTAL(9,K225:V225)</f>
        <v>16684931</v>
      </c>
      <c r="X225" s="132">
        <f t="shared" ref="X225:X232" si="192">+V225+U225+T225+S225+R225+Q225+P225+O225+N225+M225+L225+K225</f>
        <v>16684931</v>
      </c>
      <c r="Y225" s="132">
        <f t="shared" ref="Y225:Y232" si="193">+I225-J225-X225</f>
        <v>689</v>
      </c>
      <c r="Z225" s="102" t="s">
        <v>1247</v>
      </c>
    </row>
    <row r="226" spans="1:26" s="60" customFormat="1" ht="23.25" customHeight="1" outlineLevel="2">
      <c r="A226" s="101">
        <v>33125</v>
      </c>
      <c r="B226" s="102" t="s">
        <v>128</v>
      </c>
      <c r="C226" s="120">
        <v>40015413</v>
      </c>
      <c r="D226" s="104" t="s">
        <v>34</v>
      </c>
      <c r="E226" s="104" t="s">
        <v>60</v>
      </c>
      <c r="F226" s="122" t="s">
        <v>1256</v>
      </c>
      <c r="G226" s="851">
        <v>2019</v>
      </c>
      <c r="H226" s="122" t="s">
        <v>1357</v>
      </c>
      <c r="I226" s="106">
        <v>50616900</v>
      </c>
      <c r="J226" s="106">
        <v>0</v>
      </c>
      <c r="K226" s="132">
        <v>0</v>
      </c>
      <c r="L226" s="132">
        <v>0</v>
      </c>
      <c r="M226" s="132">
        <v>0</v>
      </c>
      <c r="N226" s="132">
        <v>17711983</v>
      </c>
      <c r="O226" s="132">
        <v>0</v>
      </c>
      <c r="P226" s="132">
        <v>24420645</v>
      </c>
      <c r="Q226" s="132">
        <v>8476830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f t="shared" si="191"/>
        <v>50609458</v>
      </c>
      <c r="X226" s="132">
        <f t="shared" si="192"/>
        <v>50609458</v>
      </c>
      <c r="Y226" s="132">
        <f t="shared" si="193"/>
        <v>7442</v>
      </c>
      <c r="Z226" s="102" t="s">
        <v>1247</v>
      </c>
    </row>
    <row r="227" spans="1:26" s="60" customFormat="1" ht="23.25" customHeight="1" outlineLevel="2">
      <c r="A227" s="101">
        <v>33125</v>
      </c>
      <c r="B227" s="102" t="s">
        <v>128</v>
      </c>
      <c r="C227" s="120">
        <v>40015414</v>
      </c>
      <c r="D227" s="104" t="s">
        <v>34</v>
      </c>
      <c r="E227" s="104" t="s">
        <v>60</v>
      </c>
      <c r="F227" s="122" t="s">
        <v>1256</v>
      </c>
      <c r="G227" s="851">
        <v>2019</v>
      </c>
      <c r="H227" s="122" t="s">
        <v>1358</v>
      </c>
      <c r="I227" s="106">
        <v>58226500</v>
      </c>
      <c r="J227" s="106">
        <v>25012536</v>
      </c>
      <c r="K227" s="132">
        <v>0</v>
      </c>
      <c r="L227" s="132">
        <v>0</v>
      </c>
      <c r="M227" s="132">
        <v>33212900</v>
      </c>
      <c r="N227" s="132">
        <v>0</v>
      </c>
      <c r="O227" s="132">
        <v>0</v>
      </c>
      <c r="P227" s="132">
        <v>0</v>
      </c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f t="shared" si="191"/>
        <v>33212900</v>
      </c>
      <c r="X227" s="132">
        <f t="shared" si="192"/>
        <v>33212900</v>
      </c>
      <c r="Y227" s="132">
        <f t="shared" si="193"/>
        <v>1064</v>
      </c>
      <c r="Z227" s="102" t="s">
        <v>1247</v>
      </c>
    </row>
    <row r="228" spans="1:26" s="60" customFormat="1" ht="23.25" customHeight="1" outlineLevel="2">
      <c r="A228" s="101">
        <v>33125</v>
      </c>
      <c r="B228" s="102" t="s">
        <v>128</v>
      </c>
      <c r="C228" s="120">
        <v>40015407</v>
      </c>
      <c r="D228" s="104" t="s">
        <v>34</v>
      </c>
      <c r="E228" s="104" t="s">
        <v>60</v>
      </c>
      <c r="F228" s="122" t="s">
        <v>1256</v>
      </c>
      <c r="G228" s="851">
        <v>2019</v>
      </c>
      <c r="H228" s="122" t="s">
        <v>1359</v>
      </c>
      <c r="I228" s="106">
        <v>58000000</v>
      </c>
      <c r="J228" s="106">
        <v>50300097</v>
      </c>
      <c r="K228" s="132">
        <v>0</v>
      </c>
      <c r="L228" s="132">
        <v>0</v>
      </c>
      <c r="M228" s="132">
        <v>0</v>
      </c>
      <c r="N228" s="132">
        <v>6596378</v>
      </c>
      <c r="O228" s="132">
        <v>0</v>
      </c>
      <c r="P228" s="132">
        <v>0</v>
      </c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f t="shared" si="191"/>
        <v>6596378</v>
      </c>
      <c r="X228" s="132">
        <f t="shared" si="192"/>
        <v>6596378</v>
      </c>
      <c r="Y228" s="132">
        <f t="shared" si="193"/>
        <v>1103525</v>
      </c>
      <c r="Z228" s="102" t="s">
        <v>1247</v>
      </c>
    </row>
    <row r="229" spans="1:26" s="60" customFormat="1" ht="23.25" customHeight="1" outlineLevel="2">
      <c r="A229" s="101">
        <v>33125</v>
      </c>
      <c r="B229" s="102" t="s">
        <v>196</v>
      </c>
      <c r="C229" s="120">
        <v>40022783</v>
      </c>
      <c r="D229" s="104" t="s">
        <v>34</v>
      </c>
      <c r="E229" s="104" t="s">
        <v>60</v>
      </c>
      <c r="F229" s="122" t="s">
        <v>1582</v>
      </c>
      <c r="G229" s="851">
        <v>2020</v>
      </c>
      <c r="H229" s="877" t="s">
        <v>1586</v>
      </c>
      <c r="I229" s="873">
        <v>57528096</v>
      </c>
      <c r="J229" s="106">
        <v>0</v>
      </c>
      <c r="K229" s="106">
        <v>0</v>
      </c>
      <c r="L229" s="106">
        <v>0</v>
      </c>
      <c r="M229" s="106">
        <v>0</v>
      </c>
      <c r="N229" s="106">
        <v>0</v>
      </c>
      <c r="O229" s="106">
        <v>0</v>
      </c>
      <c r="P229" s="132">
        <v>0</v>
      </c>
      <c r="Q229" s="132">
        <v>0</v>
      </c>
      <c r="R229" s="106">
        <v>0</v>
      </c>
      <c r="S229" s="106">
        <v>0</v>
      </c>
      <c r="T229" s="106">
        <v>0</v>
      </c>
      <c r="U229" s="106">
        <v>0</v>
      </c>
      <c r="V229" s="106">
        <v>0</v>
      </c>
      <c r="W229" s="132">
        <f t="shared" ref="W229:W230" si="194">SUBTOTAL(9,K229:V229)</f>
        <v>0</v>
      </c>
      <c r="X229" s="132">
        <f t="shared" ref="X229:X230" si="195">+V229+U229+T229+S229+R229+Q229+P229+O229+N229+M229+L229+K229</f>
        <v>0</v>
      </c>
      <c r="Y229" s="132">
        <f t="shared" ref="Y229:Y230" si="196">+I229-J229-X229</f>
        <v>57528096</v>
      </c>
      <c r="Z229" s="875" t="s">
        <v>1255</v>
      </c>
    </row>
    <row r="230" spans="1:26" s="60" customFormat="1" ht="23.25" customHeight="1" outlineLevel="2">
      <c r="A230" s="101">
        <v>33125</v>
      </c>
      <c r="B230" s="102" t="s">
        <v>196</v>
      </c>
      <c r="C230" s="120">
        <v>40022744</v>
      </c>
      <c r="D230" s="104" t="s">
        <v>34</v>
      </c>
      <c r="E230" s="104" t="s">
        <v>60</v>
      </c>
      <c r="F230" s="122" t="s">
        <v>1582</v>
      </c>
      <c r="G230" s="851">
        <v>2020</v>
      </c>
      <c r="H230" s="877" t="s">
        <v>1587</v>
      </c>
      <c r="I230" s="873">
        <v>42635432</v>
      </c>
      <c r="J230" s="106">
        <v>0</v>
      </c>
      <c r="K230" s="106">
        <v>0</v>
      </c>
      <c r="L230" s="106">
        <v>0</v>
      </c>
      <c r="M230" s="106">
        <v>0</v>
      </c>
      <c r="N230" s="106">
        <v>0</v>
      </c>
      <c r="O230" s="106">
        <v>0</v>
      </c>
      <c r="P230" s="132">
        <v>0</v>
      </c>
      <c r="Q230" s="132">
        <v>0</v>
      </c>
      <c r="R230" s="106">
        <v>0</v>
      </c>
      <c r="S230" s="106">
        <v>0</v>
      </c>
      <c r="T230" s="106">
        <v>0</v>
      </c>
      <c r="U230" s="106">
        <v>0</v>
      </c>
      <c r="V230" s="106">
        <v>0</v>
      </c>
      <c r="W230" s="132">
        <f t="shared" si="194"/>
        <v>0</v>
      </c>
      <c r="X230" s="132">
        <f t="shared" si="195"/>
        <v>0</v>
      </c>
      <c r="Y230" s="132">
        <f t="shared" si="196"/>
        <v>42635432</v>
      </c>
      <c r="Z230" s="875" t="s">
        <v>1255</v>
      </c>
    </row>
    <row r="231" spans="1:26" s="60" customFormat="1" ht="23.25" customHeight="1" outlineLevel="2">
      <c r="A231" s="101">
        <v>33125</v>
      </c>
      <c r="B231" s="102" t="s">
        <v>196</v>
      </c>
      <c r="C231" s="120">
        <v>40022780</v>
      </c>
      <c r="D231" s="104" t="s">
        <v>34</v>
      </c>
      <c r="E231" s="104" t="s">
        <v>60</v>
      </c>
      <c r="F231" s="122" t="s">
        <v>1658</v>
      </c>
      <c r="G231" s="851">
        <v>2020</v>
      </c>
      <c r="H231" s="877" t="s">
        <v>1676</v>
      </c>
      <c r="I231" s="873">
        <v>71425775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0</v>
      </c>
      <c r="Q231" s="132">
        <v>0</v>
      </c>
      <c r="R231" s="106">
        <v>0</v>
      </c>
      <c r="S231" s="106">
        <v>0</v>
      </c>
      <c r="T231" s="106">
        <v>0</v>
      </c>
      <c r="U231" s="106">
        <v>0</v>
      </c>
      <c r="V231" s="106">
        <v>0</v>
      </c>
      <c r="W231" s="132">
        <f t="shared" ref="W231" si="197">SUBTOTAL(9,K231:V231)</f>
        <v>0</v>
      </c>
      <c r="X231" s="132">
        <f t="shared" ref="X231" si="198">+V231+U231+T231+S231+R231+Q231+P231+O231+N231+M231+L231+K231</f>
        <v>0</v>
      </c>
      <c r="Y231" s="132">
        <f t="shared" ref="Y231" si="199">+I231-J231-X231</f>
        <v>71425775</v>
      </c>
      <c r="Z231" s="875" t="s">
        <v>1255</v>
      </c>
    </row>
    <row r="232" spans="1:26" s="60" customFormat="1" ht="23.25" customHeight="1" outlineLevel="2">
      <c r="A232" s="101">
        <v>33125</v>
      </c>
      <c r="B232" s="102" t="s">
        <v>196</v>
      </c>
      <c r="C232" s="120">
        <v>40022782</v>
      </c>
      <c r="D232" s="104" t="s">
        <v>34</v>
      </c>
      <c r="E232" s="104" t="s">
        <v>60</v>
      </c>
      <c r="F232" s="122" t="s">
        <v>1249</v>
      </c>
      <c r="G232" s="851">
        <v>2020</v>
      </c>
      <c r="H232" s="122" t="s">
        <v>1360</v>
      </c>
      <c r="I232" s="106">
        <v>28410695</v>
      </c>
      <c r="J232" s="106">
        <v>0</v>
      </c>
      <c r="K232" s="106">
        <v>0</v>
      </c>
      <c r="L232" s="106">
        <v>0</v>
      </c>
      <c r="M232" s="106">
        <v>0</v>
      </c>
      <c r="N232" s="106">
        <v>0</v>
      </c>
      <c r="O232" s="106">
        <v>0</v>
      </c>
      <c r="P232" s="132">
        <v>0</v>
      </c>
      <c r="Q232" s="132">
        <v>0</v>
      </c>
      <c r="R232" s="106">
        <v>0</v>
      </c>
      <c r="S232" s="106">
        <v>0</v>
      </c>
      <c r="T232" s="106">
        <v>0</v>
      </c>
      <c r="U232" s="106">
        <v>0</v>
      </c>
      <c r="V232" s="106">
        <v>0</v>
      </c>
      <c r="W232" s="132">
        <f t="shared" si="191"/>
        <v>0</v>
      </c>
      <c r="X232" s="132">
        <f t="shared" si="192"/>
        <v>0</v>
      </c>
      <c r="Y232" s="132">
        <f t="shared" si="193"/>
        <v>28410695</v>
      </c>
      <c r="Z232" s="102" t="s">
        <v>1255</v>
      </c>
    </row>
    <row r="233" spans="1:26" s="62" customFormat="1" ht="23.25" customHeight="1" outlineLevel="2">
      <c r="A233" s="125"/>
      <c r="B233" s="126"/>
      <c r="C233" s="127"/>
      <c r="D233" s="128"/>
      <c r="E233" s="128"/>
      <c r="F233" s="897"/>
      <c r="G233" s="886"/>
      <c r="H233" s="109" t="s">
        <v>187</v>
      </c>
      <c r="I233" s="129">
        <f>SUM(I225:I232)</f>
        <v>399999998</v>
      </c>
      <c r="J233" s="129">
        <f t="shared" ref="J233:Q233" si="200">SUM(J225:J232)</f>
        <v>91783613</v>
      </c>
      <c r="K233" s="129">
        <f t="shared" si="200"/>
        <v>0</v>
      </c>
      <c r="L233" s="129">
        <f t="shared" si="200"/>
        <v>0</v>
      </c>
      <c r="M233" s="129">
        <f t="shared" si="200"/>
        <v>47782659</v>
      </c>
      <c r="N233" s="129">
        <f t="shared" si="200"/>
        <v>24308361</v>
      </c>
      <c r="O233" s="129">
        <f t="shared" si="200"/>
        <v>2115172</v>
      </c>
      <c r="P233" s="129">
        <f t="shared" si="200"/>
        <v>24420645</v>
      </c>
      <c r="Q233" s="129">
        <f t="shared" si="200"/>
        <v>8476830</v>
      </c>
      <c r="R233" s="129">
        <f t="shared" ref="R233:W233" si="201">SUM(R225:R232)</f>
        <v>0</v>
      </c>
      <c r="S233" s="129">
        <f t="shared" si="201"/>
        <v>0</v>
      </c>
      <c r="T233" s="129">
        <f t="shared" si="201"/>
        <v>0</v>
      </c>
      <c r="U233" s="129">
        <f t="shared" si="201"/>
        <v>0</v>
      </c>
      <c r="V233" s="129">
        <f t="shared" si="201"/>
        <v>0</v>
      </c>
      <c r="W233" s="129">
        <f t="shared" si="201"/>
        <v>107103667</v>
      </c>
      <c r="X233" s="129">
        <f>SUM(X225:X232)</f>
        <v>107103667</v>
      </c>
      <c r="Y233" s="129">
        <f>SUM(Y225:Y232)</f>
        <v>201112718</v>
      </c>
      <c r="Z233" s="137"/>
    </row>
    <row r="234" spans="1:26" s="59" customFormat="1" ht="15" outlineLevel="1">
      <c r="A234" s="111"/>
      <c r="B234" s="112"/>
      <c r="C234" s="90"/>
      <c r="D234" s="113"/>
      <c r="E234" s="114"/>
      <c r="F234" s="113"/>
      <c r="G234" s="885"/>
      <c r="H234" s="115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35"/>
    </row>
    <row r="235" spans="1:26" s="59" customFormat="1" ht="23.25" outlineLevel="1">
      <c r="A235" s="111"/>
      <c r="B235" s="112"/>
      <c r="C235" s="90"/>
      <c r="D235" s="113"/>
      <c r="E235" s="114"/>
      <c r="F235" s="113"/>
      <c r="G235" s="885"/>
      <c r="H235" s="117" t="s">
        <v>1362</v>
      </c>
      <c r="I235" s="118">
        <f>+I233</f>
        <v>399999998</v>
      </c>
      <c r="J235" s="118">
        <f t="shared" ref="J235:Y235" si="202">+J233</f>
        <v>91783613</v>
      </c>
      <c r="K235" s="118">
        <f t="shared" si="202"/>
        <v>0</v>
      </c>
      <c r="L235" s="118">
        <f t="shared" ref="L235:M235" si="203">+L233</f>
        <v>0</v>
      </c>
      <c r="M235" s="118">
        <f t="shared" si="203"/>
        <v>47782659</v>
      </c>
      <c r="N235" s="118">
        <v>24308361</v>
      </c>
      <c r="O235" s="118">
        <f t="shared" ref="O235:Q235" si="204">+O233</f>
        <v>2115172</v>
      </c>
      <c r="P235" s="118">
        <f t="shared" si="204"/>
        <v>24420645</v>
      </c>
      <c r="Q235" s="118">
        <f t="shared" si="204"/>
        <v>8476830</v>
      </c>
      <c r="R235" s="118">
        <f t="shared" si="202"/>
        <v>0</v>
      </c>
      <c r="S235" s="118">
        <f t="shared" si="202"/>
        <v>0</v>
      </c>
      <c r="T235" s="118">
        <f t="shared" si="202"/>
        <v>0</v>
      </c>
      <c r="U235" s="118">
        <f t="shared" si="202"/>
        <v>0</v>
      </c>
      <c r="V235" s="118">
        <f t="shared" si="202"/>
        <v>0</v>
      </c>
      <c r="W235" s="118">
        <f t="shared" si="202"/>
        <v>107103667</v>
      </c>
      <c r="X235" s="118">
        <f t="shared" si="202"/>
        <v>107103667</v>
      </c>
      <c r="Y235" s="118">
        <f t="shared" si="202"/>
        <v>201112718</v>
      </c>
      <c r="Z235" s="135"/>
    </row>
    <row r="236" spans="1:26" s="64" customFormat="1" ht="15" customHeight="1" outlineLevel="1">
      <c r="A236" s="88"/>
      <c r="B236" s="89"/>
      <c r="C236" s="90"/>
      <c r="D236" s="91"/>
      <c r="E236" s="92"/>
      <c r="F236" s="113"/>
      <c r="G236" s="883"/>
      <c r="H236" s="130"/>
      <c r="I236" s="94"/>
      <c r="J236" s="94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94"/>
      <c r="Z236" s="133"/>
    </row>
    <row r="237" spans="1:26" s="59" customFormat="1" ht="23.25" outlineLevel="1">
      <c r="A237" s="88"/>
      <c r="B237" s="89"/>
      <c r="C237" s="90"/>
      <c r="D237" s="91"/>
      <c r="E237" s="92"/>
      <c r="F237" s="113"/>
      <c r="G237" s="883"/>
      <c r="H237" s="93" t="s">
        <v>775</v>
      </c>
      <c r="I237" s="94"/>
      <c r="J237" s="94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94"/>
      <c r="Z237" s="133"/>
    </row>
    <row r="238" spans="1:26" s="66" customFormat="1" ht="23.25" customHeight="1" outlineLevel="1">
      <c r="A238" s="147"/>
      <c r="B238" s="89"/>
      <c r="C238" s="90"/>
      <c r="D238" s="91"/>
      <c r="E238" s="92"/>
      <c r="F238" s="113"/>
      <c r="G238" s="883"/>
      <c r="H238" s="99" t="s">
        <v>127</v>
      </c>
      <c r="I238" s="94"/>
      <c r="J238" s="94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94"/>
      <c r="Z238" s="162"/>
    </row>
    <row r="239" spans="1:26" s="60" customFormat="1" ht="23.25" customHeight="1" outlineLevel="1">
      <c r="A239" s="101">
        <v>33125</v>
      </c>
      <c r="B239" s="102" t="s">
        <v>128</v>
      </c>
      <c r="C239" s="155">
        <v>30326522</v>
      </c>
      <c r="D239" s="104" t="s">
        <v>34</v>
      </c>
      <c r="E239" s="104" t="s">
        <v>61</v>
      </c>
      <c r="F239" s="122" t="s">
        <v>1256</v>
      </c>
      <c r="G239" s="851">
        <v>2019</v>
      </c>
      <c r="H239" s="156" t="s">
        <v>1363</v>
      </c>
      <c r="I239" s="106">
        <v>96706000</v>
      </c>
      <c r="J239" s="106">
        <v>11981766</v>
      </c>
      <c r="K239" s="132">
        <v>0</v>
      </c>
      <c r="L239" s="132">
        <v>0</v>
      </c>
      <c r="M239" s="132">
        <v>0</v>
      </c>
      <c r="N239" s="132">
        <v>0</v>
      </c>
      <c r="O239" s="132">
        <v>0</v>
      </c>
      <c r="P239" s="132">
        <v>84724234</v>
      </c>
      <c r="Q239" s="132">
        <v>0</v>
      </c>
      <c r="R239" s="132">
        <v>0</v>
      </c>
      <c r="S239" s="132">
        <v>0</v>
      </c>
      <c r="T239" s="132">
        <v>0</v>
      </c>
      <c r="U239" s="132">
        <v>0</v>
      </c>
      <c r="V239" s="132">
        <v>0</v>
      </c>
      <c r="W239" s="132">
        <f t="shared" ref="W239:W240" si="205">SUBTOTAL(9,K239:V239)</f>
        <v>84724234</v>
      </c>
      <c r="X239" s="132">
        <f t="shared" ref="X239:X240" si="206">+V239+U239+T239+S239+R239+Q239+P239+O239+N239+M239+L239+K239</f>
        <v>84724234</v>
      </c>
      <c r="Y239" s="132">
        <f t="shared" ref="Y239:Y240" si="207">+I239-J239-X239</f>
        <v>0</v>
      </c>
      <c r="Z239" s="102" t="s">
        <v>1247</v>
      </c>
    </row>
    <row r="240" spans="1:26" s="69" customFormat="1" ht="23.25" customHeight="1">
      <c r="A240" s="101">
        <v>33125</v>
      </c>
      <c r="B240" s="102" t="s">
        <v>128</v>
      </c>
      <c r="C240" s="151">
        <v>40014989</v>
      </c>
      <c r="D240" s="152" t="s">
        <v>34</v>
      </c>
      <c r="E240" s="152" t="s">
        <v>61</v>
      </c>
      <c r="F240" s="122" t="s">
        <v>1256</v>
      </c>
      <c r="G240" s="851">
        <v>2019</v>
      </c>
      <c r="H240" s="153" t="s">
        <v>1365</v>
      </c>
      <c r="I240" s="154">
        <v>96706000</v>
      </c>
      <c r="J240" s="106">
        <v>24499023</v>
      </c>
      <c r="K240" s="132">
        <v>0</v>
      </c>
      <c r="L240" s="132">
        <v>0</v>
      </c>
      <c r="M240" s="132">
        <v>0</v>
      </c>
      <c r="N240" s="132">
        <v>0</v>
      </c>
      <c r="O240" s="132">
        <v>0</v>
      </c>
      <c r="P240" s="132">
        <v>72206977</v>
      </c>
      <c r="Q240" s="132">
        <v>0</v>
      </c>
      <c r="R240" s="132">
        <v>0</v>
      </c>
      <c r="S240" s="132">
        <v>0</v>
      </c>
      <c r="T240" s="132">
        <v>0</v>
      </c>
      <c r="U240" s="132">
        <v>0</v>
      </c>
      <c r="V240" s="132">
        <v>0</v>
      </c>
      <c r="W240" s="132">
        <f t="shared" si="205"/>
        <v>72206977</v>
      </c>
      <c r="X240" s="132">
        <f t="shared" si="206"/>
        <v>72206977</v>
      </c>
      <c r="Y240" s="132">
        <f t="shared" si="207"/>
        <v>0</v>
      </c>
      <c r="Z240" s="102" t="s">
        <v>1247</v>
      </c>
    </row>
    <row r="241" spans="1:26" s="60" customFormat="1" ht="23.25" customHeight="1" outlineLevel="1">
      <c r="A241" s="101">
        <v>33125</v>
      </c>
      <c r="B241" s="102" t="s">
        <v>196</v>
      </c>
      <c r="C241" s="155">
        <v>40020340</v>
      </c>
      <c r="D241" s="104" t="s">
        <v>34</v>
      </c>
      <c r="E241" s="104" t="s">
        <v>61</v>
      </c>
      <c r="F241" s="122" t="s">
        <v>1342</v>
      </c>
      <c r="G241" s="851">
        <v>2020</v>
      </c>
      <c r="H241" s="939" t="s">
        <v>1364</v>
      </c>
      <c r="I241" s="106">
        <v>47000000</v>
      </c>
      <c r="J241" s="106">
        <v>0</v>
      </c>
      <c r="K241" s="132">
        <v>0</v>
      </c>
      <c r="L241" s="132">
        <v>0</v>
      </c>
      <c r="M241" s="132">
        <v>0</v>
      </c>
      <c r="N241" s="132">
        <v>0</v>
      </c>
      <c r="O241" s="132">
        <v>0</v>
      </c>
      <c r="P241" s="132">
        <v>0</v>
      </c>
      <c r="Q241" s="132">
        <v>0</v>
      </c>
      <c r="R241" s="132">
        <v>0</v>
      </c>
      <c r="S241" s="132">
        <v>0</v>
      </c>
      <c r="T241" s="132">
        <v>0</v>
      </c>
      <c r="U241" s="132">
        <v>0</v>
      </c>
      <c r="V241" s="132">
        <v>0</v>
      </c>
      <c r="W241" s="132">
        <f>+SUM(K241:V241)</f>
        <v>0</v>
      </c>
      <c r="X241" s="132">
        <f>+V241+U241+T241+S241+R241+Q241+P241+O241+N241+M241+L241+K241</f>
        <v>0</v>
      </c>
      <c r="Y241" s="132">
        <f>+I241-J241-X241</f>
        <v>47000000</v>
      </c>
      <c r="Z241" s="102" t="s">
        <v>1255</v>
      </c>
    </row>
    <row r="242" spans="1:26" s="60" customFormat="1" ht="23.25" customHeight="1" outlineLevel="1">
      <c r="A242" s="101">
        <v>33125</v>
      </c>
      <c r="B242" s="102" t="s">
        <v>196</v>
      </c>
      <c r="C242" s="155">
        <v>40007364</v>
      </c>
      <c r="D242" s="104" t="s">
        <v>34</v>
      </c>
      <c r="E242" s="104" t="s">
        <v>61</v>
      </c>
      <c r="F242" s="122" t="s">
        <v>1658</v>
      </c>
      <c r="G242" s="851">
        <v>2020</v>
      </c>
      <c r="H242" s="940" t="s">
        <v>1677</v>
      </c>
      <c r="I242" s="106">
        <v>99000000</v>
      </c>
      <c r="J242" s="106">
        <v>0</v>
      </c>
      <c r="K242" s="106">
        <v>0</v>
      </c>
      <c r="L242" s="106">
        <v>0</v>
      </c>
      <c r="M242" s="106">
        <v>0</v>
      </c>
      <c r="N242" s="106">
        <v>0</v>
      </c>
      <c r="O242" s="106">
        <v>0</v>
      </c>
      <c r="P242" s="106">
        <v>0</v>
      </c>
      <c r="Q242" s="132">
        <v>0</v>
      </c>
      <c r="R242" s="106">
        <v>0</v>
      </c>
      <c r="S242" s="106">
        <v>0</v>
      </c>
      <c r="T242" s="106">
        <v>0</v>
      </c>
      <c r="U242" s="106">
        <v>0</v>
      </c>
      <c r="V242" s="106">
        <v>0</v>
      </c>
      <c r="W242" s="132">
        <f>+SUM(K242:V242)</f>
        <v>0</v>
      </c>
      <c r="X242" s="132">
        <f>+V242+U242+T242+S242+R242+Q242+P242+O242+N242+M242+L242+K242</f>
        <v>0</v>
      </c>
      <c r="Y242" s="132">
        <f>+I242-J242-X242</f>
        <v>99000000</v>
      </c>
      <c r="Z242" s="102" t="s">
        <v>1255</v>
      </c>
    </row>
    <row r="243" spans="1:26" s="60" customFormat="1" ht="23.25" customHeight="1" outlineLevel="1">
      <c r="A243" s="101">
        <v>33125</v>
      </c>
      <c r="B243" s="102" t="s">
        <v>196</v>
      </c>
      <c r="C243" s="155">
        <v>30289674</v>
      </c>
      <c r="D243" s="104" t="s">
        <v>34</v>
      </c>
      <c r="E243" s="104" t="s">
        <v>61</v>
      </c>
      <c r="F243" s="122" t="s">
        <v>1658</v>
      </c>
      <c r="G243" s="851">
        <v>2020</v>
      </c>
      <c r="H243" s="180" t="s">
        <v>1674</v>
      </c>
      <c r="I243" s="106">
        <v>64000000</v>
      </c>
      <c r="J243" s="106">
        <v>0</v>
      </c>
      <c r="K243" s="132">
        <v>0</v>
      </c>
      <c r="L243" s="132">
        <v>0</v>
      </c>
      <c r="M243" s="132">
        <v>0</v>
      </c>
      <c r="N243" s="132">
        <v>0</v>
      </c>
      <c r="O243" s="132">
        <v>0</v>
      </c>
      <c r="P243" s="132">
        <v>0</v>
      </c>
      <c r="Q243" s="132">
        <v>0</v>
      </c>
      <c r="R243" s="132">
        <v>0</v>
      </c>
      <c r="S243" s="132">
        <v>0</v>
      </c>
      <c r="T243" s="132">
        <v>0</v>
      </c>
      <c r="U243" s="132">
        <v>0</v>
      </c>
      <c r="V243" s="132">
        <v>0</v>
      </c>
      <c r="W243" s="132">
        <f>+SUM(K243:V243)</f>
        <v>0</v>
      </c>
      <c r="X243" s="132">
        <f>+V243+U243+T243+S243+R243+Q243+P243+O243+N243+M243+L243+K243</f>
        <v>0</v>
      </c>
      <c r="Y243" s="132">
        <f>+I243-J243-X243</f>
        <v>64000000</v>
      </c>
      <c r="Z243" s="102" t="s">
        <v>1255</v>
      </c>
    </row>
    <row r="244" spans="1:26" s="62" customFormat="1" ht="23.25" customHeight="1" outlineLevel="2">
      <c r="A244" s="125"/>
      <c r="B244" s="126"/>
      <c r="C244" s="127"/>
      <c r="D244" s="128"/>
      <c r="E244" s="128"/>
      <c r="F244" s="897"/>
      <c r="G244" s="886"/>
      <c r="H244" s="109" t="s">
        <v>187</v>
      </c>
      <c r="I244" s="129">
        <f>SUM(I239:I243)</f>
        <v>403412000</v>
      </c>
      <c r="J244" s="129">
        <f t="shared" ref="J244:Y244" si="208">SUM(J239:J243)</f>
        <v>36480789</v>
      </c>
      <c r="K244" s="129">
        <f t="shared" si="208"/>
        <v>0</v>
      </c>
      <c r="L244" s="129">
        <f t="shared" si="208"/>
        <v>0</v>
      </c>
      <c r="M244" s="129">
        <f t="shared" si="208"/>
        <v>0</v>
      </c>
      <c r="N244" s="129">
        <f t="shared" si="208"/>
        <v>0</v>
      </c>
      <c r="O244" s="129">
        <f t="shared" ref="O244:Q244" si="209">SUM(O239:O243)</f>
        <v>0</v>
      </c>
      <c r="P244" s="129">
        <f t="shared" si="209"/>
        <v>156931211</v>
      </c>
      <c r="Q244" s="129">
        <f t="shared" si="209"/>
        <v>0</v>
      </c>
      <c r="R244" s="129">
        <f t="shared" si="208"/>
        <v>0</v>
      </c>
      <c r="S244" s="129">
        <f t="shared" si="208"/>
        <v>0</v>
      </c>
      <c r="T244" s="129">
        <f t="shared" si="208"/>
        <v>0</v>
      </c>
      <c r="U244" s="129">
        <f t="shared" si="208"/>
        <v>0</v>
      </c>
      <c r="V244" s="129">
        <f t="shared" si="208"/>
        <v>0</v>
      </c>
      <c r="W244" s="129">
        <f t="shared" si="208"/>
        <v>156931211</v>
      </c>
      <c r="X244" s="129">
        <f t="shared" si="208"/>
        <v>156931211</v>
      </c>
      <c r="Y244" s="129">
        <f t="shared" si="208"/>
        <v>210000000</v>
      </c>
      <c r="Z244" s="137"/>
    </row>
    <row r="245" spans="1:26" s="59" customFormat="1" ht="15" outlineLevel="1">
      <c r="A245" s="111"/>
      <c r="B245" s="112"/>
      <c r="C245" s="90"/>
      <c r="D245" s="113"/>
      <c r="E245" s="114"/>
      <c r="F245" s="113"/>
      <c r="G245" s="885"/>
      <c r="H245" s="115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35"/>
    </row>
    <row r="246" spans="1:26" s="59" customFormat="1" ht="23.25" outlineLevel="1">
      <c r="A246" s="111"/>
      <c r="B246" s="112"/>
      <c r="C246" s="90"/>
      <c r="D246" s="113"/>
      <c r="E246" s="114"/>
      <c r="F246" s="113"/>
      <c r="G246" s="885"/>
      <c r="H246" s="117" t="s">
        <v>798</v>
      </c>
      <c r="I246" s="118">
        <f>+I244</f>
        <v>403412000</v>
      </c>
      <c r="J246" s="118">
        <f t="shared" ref="J246:Y246" si="210">+J244</f>
        <v>36480789</v>
      </c>
      <c r="K246" s="118">
        <f t="shared" si="210"/>
        <v>0</v>
      </c>
      <c r="L246" s="118">
        <f t="shared" ref="L246:M246" si="211">+L244</f>
        <v>0</v>
      </c>
      <c r="M246" s="118">
        <f t="shared" si="211"/>
        <v>0</v>
      </c>
      <c r="N246" s="118">
        <v>0</v>
      </c>
      <c r="O246" s="118">
        <f t="shared" ref="O246:Q246" si="212">+O244</f>
        <v>0</v>
      </c>
      <c r="P246" s="118">
        <f t="shared" si="212"/>
        <v>156931211</v>
      </c>
      <c r="Q246" s="118">
        <f t="shared" si="212"/>
        <v>0</v>
      </c>
      <c r="R246" s="118">
        <f t="shared" si="210"/>
        <v>0</v>
      </c>
      <c r="S246" s="118">
        <f t="shared" si="210"/>
        <v>0</v>
      </c>
      <c r="T246" s="118">
        <f t="shared" si="210"/>
        <v>0</v>
      </c>
      <c r="U246" s="118">
        <f t="shared" si="210"/>
        <v>0</v>
      </c>
      <c r="V246" s="118">
        <f t="shared" si="210"/>
        <v>0</v>
      </c>
      <c r="W246" s="118">
        <f t="shared" si="210"/>
        <v>156931211</v>
      </c>
      <c r="X246" s="118">
        <f t="shared" si="210"/>
        <v>156931211</v>
      </c>
      <c r="Y246" s="118">
        <f t="shared" si="210"/>
        <v>210000000</v>
      </c>
      <c r="Z246" s="135"/>
    </row>
    <row r="247" spans="1:26" s="64" customFormat="1" ht="15" customHeight="1" outlineLevel="1">
      <c r="A247" s="88"/>
      <c r="B247" s="89"/>
      <c r="C247" s="90"/>
      <c r="D247" s="91"/>
      <c r="E247" s="92"/>
      <c r="F247" s="113"/>
      <c r="G247" s="883"/>
      <c r="H247" s="130"/>
      <c r="I247" s="94"/>
      <c r="J247" s="94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94"/>
      <c r="Z247" s="133"/>
    </row>
    <row r="248" spans="1:26" s="59" customFormat="1" ht="23.25" outlineLevel="1">
      <c r="A248" s="88"/>
      <c r="B248" s="89"/>
      <c r="C248" s="90"/>
      <c r="D248" s="91"/>
      <c r="E248" s="92"/>
      <c r="F248" s="113"/>
      <c r="G248" s="883"/>
      <c r="H248" s="93" t="s">
        <v>799</v>
      </c>
      <c r="I248" s="94"/>
      <c r="J248" s="94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94"/>
      <c r="Z248" s="133"/>
    </row>
    <row r="249" spans="1:26" s="66" customFormat="1" ht="23.25" customHeight="1" outlineLevel="1">
      <c r="A249" s="147"/>
      <c r="B249" s="89"/>
      <c r="C249" s="90"/>
      <c r="D249" s="91"/>
      <c r="E249" s="92"/>
      <c r="F249" s="113"/>
      <c r="G249" s="883"/>
      <c r="H249" s="99" t="s">
        <v>127</v>
      </c>
      <c r="I249" s="94"/>
      <c r="J249" s="94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94"/>
      <c r="Z249" s="162"/>
    </row>
    <row r="250" spans="1:26" s="60" customFormat="1" ht="23.25" customHeight="1" outlineLevel="2">
      <c r="A250" s="101">
        <v>33125</v>
      </c>
      <c r="B250" s="102" t="s">
        <v>128</v>
      </c>
      <c r="C250" s="155">
        <v>40014188</v>
      </c>
      <c r="D250" s="104" t="s">
        <v>34</v>
      </c>
      <c r="E250" s="104" t="s">
        <v>62</v>
      </c>
      <c r="F250" s="122" t="s">
        <v>1256</v>
      </c>
      <c r="G250" s="851">
        <v>2019</v>
      </c>
      <c r="H250" s="181" t="s">
        <v>1368</v>
      </c>
      <c r="I250" s="106">
        <v>96706000</v>
      </c>
      <c r="J250" s="106">
        <v>0</v>
      </c>
      <c r="K250" s="132">
        <v>0</v>
      </c>
      <c r="L250" s="132">
        <v>0</v>
      </c>
      <c r="M250" s="132">
        <v>0</v>
      </c>
      <c r="N250" s="132">
        <v>28130559</v>
      </c>
      <c r="O250" s="132">
        <v>0</v>
      </c>
      <c r="P250" s="132">
        <v>0</v>
      </c>
      <c r="Q250" s="132">
        <v>0</v>
      </c>
      <c r="R250" s="132">
        <v>0</v>
      </c>
      <c r="S250" s="132">
        <v>0</v>
      </c>
      <c r="T250" s="132">
        <v>0</v>
      </c>
      <c r="U250" s="132">
        <v>0</v>
      </c>
      <c r="V250" s="132">
        <v>0</v>
      </c>
      <c r="W250" s="132">
        <f t="shared" ref="W250:W252" si="213">SUBTOTAL(9,K250:V250)</f>
        <v>28130559</v>
      </c>
      <c r="X250" s="132">
        <f t="shared" ref="X250:X252" si="214">+V250+U250+T250+S250+R250+Q250+P250+O250+N250+M250+L250+K250</f>
        <v>28130559</v>
      </c>
      <c r="Y250" s="132">
        <f t="shared" ref="Y250:Y253" si="215">+I250-J250-X250</f>
        <v>68575441</v>
      </c>
      <c r="Z250" s="102" t="s">
        <v>1247</v>
      </c>
    </row>
    <row r="251" spans="1:26" s="60" customFormat="1" ht="23.25" customHeight="1" outlineLevel="2">
      <c r="A251" s="101">
        <v>33125</v>
      </c>
      <c r="B251" s="102" t="s">
        <v>128</v>
      </c>
      <c r="C251" s="155">
        <v>40014186</v>
      </c>
      <c r="D251" s="104" t="s">
        <v>34</v>
      </c>
      <c r="E251" s="104" t="s">
        <v>62</v>
      </c>
      <c r="F251" s="122" t="s">
        <v>1256</v>
      </c>
      <c r="G251" s="851">
        <v>2019</v>
      </c>
      <c r="H251" s="941" t="s">
        <v>1369</v>
      </c>
      <c r="I251" s="182">
        <v>96706000</v>
      </c>
      <c r="J251" s="106">
        <v>0</v>
      </c>
      <c r="K251" s="132">
        <v>0</v>
      </c>
      <c r="L251" s="132">
        <v>0</v>
      </c>
      <c r="M251" s="132">
        <v>0</v>
      </c>
      <c r="N251" s="132">
        <v>32772703</v>
      </c>
      <c r="O251" s="132">
        <v>0</v>
      </c>
      <c r="P251" s="132">
        <v>11809721</v>
      </c>
      <c r="Q251" s="132">
        <v>0</v>
      </c>
      <c r="R251" s="132">
        <v>0</v>
      </c>
      <c r="S251" s="132">
        <v>0</v>
      </c>
      <c r="T251" s="132">
        <v>0</v>
      </c>
      <c r="U251" s="132">
        <v>0</v>
      </c>
      <c r="V251" s="132">
        <v>0</v>
      </c>
      <c r="W251" s="132">
        <f t="shared" si="213"/>
        <v>44582424</v>
      </c>
      <c r="X251" s="132">
        <f t="shared" si="214"/>
        <v>44582424</v>
      </c>
      <c r="Y251" s="132">
        <f t="shared" si="215"/>
        <v>52123576</v>
      </c>
      <c r="Z251" s="102" t="s">
        <v>1247</v>
      </c>
    </row>
    <row r="252" spans="1:26" s="60" customFormat="1" ht="23.25" customHeight="1" outlineLevel="2">
      <c r="A252" s="101">
        <v>33125</v>
      </c>
      <c r="B252" s="102" t="s">
        <v>196</v>
      </c>
      <c r="C252" s="155">
        <v>40022578</v>
      </c>
      <c r="D252" s="104" t="s">
        <v>34</v>
      </c>
      <c r="E252" s="104" t="s">
        <v>62</v>
      </c>
      <c r="F252" s="122" t="s">
        <v>1683</v>
      </c>
      <c r="G252" s="851">
        <v>2020</v>
      </c>
      <c r="H252" s="942" t="s">
        <v>1684</v>
      </c>
      <c r="I252" s="182">
        <v>99346000</v>
      </c>
      <c r="J252" s="106">
        <v>0</v>
      </c>
      <c r="K252" s="132">
        <v>0</v>
      </c>
      <c r="L252" s="132">
        <v>0</v>
      </c>
      <c r="M252" s="132">
        <v>0</v>
      </c>
      <c r="N252" s="132">
        <v>0</v>
      </c>
      <c r="O252" s="132">
        <v>0</v>
      </c>
      <c r="P252" s="132">
        <v>0</v>
      </c>
      <c r="Q252" s="132">
        <v>0</v>
      </c>
      <c r="R252" s="132">
        <v>0</v>
      </c>
      <c r="S252" s="132">
        <v>0</v>
      </c>
      <c r="T252" s="132">
        <v>0</v>
      </c>
      <c r="U252" s="132">
        <v>0</v>
      </c>
      <c r="V252" s="132">
        <v>0</v>
      </c>
      <c r="W252" s="132">
        <f t="shared" si="213"/>
        <v>0</v>
      </c>
      <c r="X252" s="132">
        <f t="shared" si="214"/>
        <v>0</v>
      </c>
      <c r="Y252" s="132">
        <f t="shared" ref="Y252" si="216">+I252-J252-X252</f>
        <v>99346000</v>
      </c>
      <c r="Z252" s="875" t="s">
        <v>1665</v>
      </c>
    </row>
    <row r="253" spans="1:26" s="60" customFormat="1" ht="23.25" customHeight="1" outlineLevel="2">
      <c r="A253" s="101">
        <v>33125</v>
      </c>
      <c r="B253" s="102" t="s">
        <v>196</v>
      </c>
      <c r="C253" s="155">
        <v>40022577</v>
      </c>
      <c r="D253" s="104" t="s">
        <v>34</v>
      </c>
      <c r="E253" s="104" t="s">
        <v>62</v>
      </c>
      <c r="F253" s="122" t="s">
        <v>1582</v>
      </c>
      <c r="G253" s="851">
        <v>2020</v>
      </c>
      <c r="H253" s="876" t="s">
        <v>1585</v>
      </c>
      <c r="I253" s="182">
        <v>99324521</v>
      </c>
      <c r="J253" s="106">
        <v>0</v>
      </c>
      <c r="K253" s="132">
        <v>0</v>
      </c>
      <c r="L253" s="132">
        <v>0</v>
      </c>
      <c r="M253" s="132">
        <v>0</v>
      </c>
      <c r="N253" s="132">
        <v>0</v>
      </c>
      <c r="O253" s="132">
        <v>0</v>
      </c>
      <c r="P253" s="132">
        <v>0</v>
      </c>
      <c r="Q253" s="132">
        <v>0</v>
      </c>
      <c r="R253" s="132">
        <v>0</v>
      </c>
      <c r="S253" s="132">
        <v>0</v>
      </c>
      <c r="T253" s="132">
        <v>0</v>
      </c>
      <c r="U253" s="132">
        <v>0</v>
      </c>
      <c r="V253" s="132">
        <v>0</v>
      </c>
      <c r="W253" s="132">
        <f t="shared" ref="W253" si="217">SUBTOTAL(9,K253:V253)</f>
        <v>0</v>
      </c>
      <c r="X253" s="132">
        <f t="shared" ref="X253" si="218">+V253+U253+T253+S253+R253+Q253+P253+O253+N253+M253+L253+K253</f>
        <v>0</v>
      </c>
      <c r="Y253" s="132">
        <f t="shared" si="215"/>
        <v>99324521</v>
      </c>
      <c r="Z253" s="875" t="s">
        <v>1255</v>
      </c>
    </row>
    <row r="254" spans="1:26" s="62" customFormat="1" ht="23.25" customHeight="1" outlineLevel="2">
      <c r="A254" s="125"/>
      <c r="B254" s="126"/>
      <c r="C254" s="127"/>
      <c r="D254" s="128"/>
      <c r="E254" s="128"/>
      <c r="F254" s="897"/>
      <c r="G254" s="886"/>
      <c r="H254" s="109" t="s">
        <v>187</v>
      </c>
      <c r="I254" s="129">
        <f>SUM(I250:I253)</f>
        <v>392082521</v>
      </c>
      <c r="J254" s="129">
        <f t="shared" ref="J254:Y254" si="219">SUM(J250:J253)</f>
        <v>0</v>
      </c>
      <c r="K254" s="129">
        <f t="shared" si="219"/>
        <v>0</v>
      </c>
      <c r="L254" s="129">
        <f t="shared" si="219"/>
        <v>0</v>
      </c>
      <c r="M254" s="129">
        <f t="shared" si="219"/>
        <v>0</v>
      </c>
      <c r="N254" s="129">
        <f>SUM(N250:N253)</f>
        <v>60903262</v>
      </c>
      <c r="O254" s="129">
        <f t="shared" ref="O254:Q254" si="220">SUM(O250:O253)</f>
        <v>0</v>
      </c>
      <c r="P254" s="129">
        <f t="shared" si="220"/>
        <v>11809721</v>
      </c>
      <c r="Q254" s="129">
        <f t="shared" si="220"/>
        <v>0</v>
      </c>
      <c r="R254" s="129">
        <f t="shared" si="219"/>
        <v>0</v>
      </c>
      <c r="S254" s="129">
        <f t="shared" si="219"/>
        <v>0</v>
      </c>
      <c r="T254" s="129">
        <f t="shared" si="219"/>
        <v>0</v>
      </c>
      <c r="U254" s="129">
        <f t="shared" si="219"/>
        <v>0</v>
      </c>
      <c r="V254" s="129">
        <f t="shared" si="219"/>
        <v>0</v>
      </c>
      <c r="W254" s="129">
        <f t="shared" si="219"/>
        <v>72712983</v>
      </c>
      <c r="X254" s="129">
        <f t="shared" si="219"/>
        <v>72712983</v>
      </c>
      <c r="Y254" s="129">
        <f t="shared" si="219"/>
        <v>319369538</v>
      </c>
      <c r="Z254" s="137"/>
    </row>
    <row r="255" spans="1:26" s="59" customFormat="1" ht="15" outlineLevel="1">
      <c r="A255" s="111"/>
      <c r="B255" s="112"/>
      <c r="C255" s="90"/>
      <c r="D255" s="113"/>
      <c r="E255" s="114"/>
      <c r="F255" s="113"/>
      <c r="G255" s="885"/>
      <c r="H255" s="115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35"/>
    </row>
    <row r="256" spans="1:26" s="59" customFormat="1" ht="23.25" outlineLevel="1">
      <c r="A256" s="111"/>
      <c r="B256" s="112"/>
      <c r="C256" s="90"/>
      <c r="D256" s="113"/>
      <c r="E256" s="114"/>
      <c r="F256" s="113"/>
      <c r="G256" s="885"/>
      <c r="H256" s="117" t="s">
        <v>809</v>
      </c>
      <c r="I256" s="118">
        <f>+I254</f>
        <v>392082521</v>
      </c>
      <c r="J256" s="118">
        <f t="shared" ref="J256:Y256" si="221">+J254</f>
        <v>0</v>
      </c>
      <c r="K256" s="118">
        <f t="shared" si="221"/>
        <v>0</v>
      </c>
      <c r="L256" s="118">
        <f t="shared" ref="L256:M256" si="222">+L254</f>
        <v>0</v>
      </c>
      <c r="M256" s="118">
        <f t="shared" si="222"/>
        <v>0</v>
      </c>
      <c r="N256" s="118">
        <v>60903262</v>
      </c>
      <c r="O256" s="118">
        <f t="shared" ref="O256:Q256" si="223">+O254</f>
        <v>0</v>
      </c>
      <c r="P256" s="118">
        <f t="shared" si="223"/>
        <v>11809721</v>
      </c>
      <c r="Q256" s="118">
        <f t="shared" si="223"/>
        <v>0</v>
      </c>
      <c r="R256" s="118">
        <f t="shared" si="221"/>
        <v>0</v>
      </c>
      <c r="S256" s="118">
        <f t="shared" si="221"/>
        <v>0</v>
      </c>
      <c r="T256" s="118">
        <f t="shared" si="221"/>
        <v>0</v>
      </c>
      <c r="U256" s="118">
        <f t="shared" si="221"/>
        <v>0</v>
      </c>
      <c r="V256" s="118">
        <f t="shared" si="221"/>
        <v>0</v>
      </c>
      <c r="W256" s="118">
        <f t="shared" si="221"/>
        <v>72712983</v>
      </c>
      <c r="X256" s="118">
        <f t="shared" si="221"/>
        <v>72712983</v>
      </c>
      <c r="Y256" s="118">
        <f t="shared" si="221"/>
        <v>319369538</v>
      </c>
      <c r="Z256" s="135"/>
    </row>
    <row r="257" spans="1:26" s="64" customFormat="1" ht="15" customHeight="1" outlineLevel="1">
      <c r="A257" s="88"/>
      <c r="B257" s="89"/>
      <c r="C257" s="90"/>
      <c r="D257" s="91"/>
      <c r="E257" s="92"/>
      <c r="F257" s="113"/>
      <c r="G257" s="883"/>
      <c r="H257" s="130"/>
      <c r="I257" s="94"/>
      <c r="J257" s="94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94"/>
      <c r="Z257" s="133"/>
    </row>
    <row r="258" spans="1:26" s="59" customFormat="1" ht="23.25" outlineLevel="1">
      <c r="A258" s="88"/>
      <c r="B258" s="89"/>
      <c r="C258" s="90"/>
      <c r="D258" s="91"/>
      <c r="E258" s="92"/>
      <c r="F258" s="113"/>
      <c r="G258" s="883"/>
      <c r="H258" s="93" t="s">
        <v>810</v>
      </c>
      <c r="I258" s="94"/>
      <c r="J258" s="94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94"/>
      <c r="Z258" s="133"/>
    </row>
    <row r="259" spans="1:26" s="66" customFormat="1" ht="23.25" customHeight="1" outlineLevel="1">
      <c r="A259" s="147"/>
      <c r="B259" s="89"/>
      <c r="C259" s="90"/>
      <c r="D259" s="91"/>
      <c r="E259" s="92"/>
      <c r="F259" s="113"/>
      <c r="G259" s="883"/>
      <c r="H259" s="99" t="s">
        <v>127</v>
      </c>
      <c r="I259" s="94"/>
      <c r="J259" s="94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94"/>
      <c r="Z259" s="162"/>
    </row>
    <row r="260" spans="1:26" s="69" customFormat="1" ht="23.25" customHeight="1">
      <c r="A260" s="101">
        <v>33125</v>
      </c>
      <c r="B260" s="102" t="s">
        <v>128</v>
      </c>
      <c r="C260" s="151">
        <v>40015273</v>
      </c>
      <c r="D260" s="152" t="s">
        <v>34</v>
      </c>
      <c r="E260" s="176" t="s">
        <v>63</v>
      </c>
      <c r="F260" s="104" t="s">
        <v>1245</v>
      </c>
      <c r="G260" s="851">
        <v>2019</v>
      </c>
      <c r="H260" s="153" t="s">
        <v>1371</v>
      </c>
      <c r="I260" s="154">
        <v>94038000</v>
      </c>
      <c r="J260" s="106">
        <v>89367250</v>
      </c>
      <c r="K260" s="132">
        <v>0</v>
      </c>
      <c r="L260" s="132">
        <v>0</v>
      </c>
      <c r="M260" s="132">
        <v>0</v>
      </c>
      <c r="N260" s="132">
        <v>4670750</v>
      </c>
      <c r="O260" s="132">
        <v>0</v>
      </c>
      <c r="P260" s="132">
        <v>0</v>
      </c>
      <c r="Q260" s="132">
        <v>0</v>
      </c>
      <c r="R260" s="132">
        <v>0</v>
      </c>
      <c r="S260" s="132">
        <v>0</v>
      </c>
      <c r="T260" s="132">
        <v>0</v>
      </c>
      <c r="U260" s="132">
        <v>0</v>
      </c>
      <c r="V260" s="132">
        <v>0</v>
      </c>
      <c r="W260" s="132">
        <f t="shared" ref="W260:W262" si="224">SUBTOTAL(9,K260:V260)</f>
        <v>4670750</v>
      </c>
      <c r="X260" s="132">
        <f t="shared" ref="X260:X262" si="225">+V260+U260+T260+S260+R260+Q260+P260+O260+N260+M260+L260+K260</f>
        <v>4670750</v>
      </c>
      <c r="Y260" s="132">
        <f t="shared" ref="Y260:Y262" si="226">+I260-J260-X260</f>
        <v>0</v>
      </c>
      <c r="Z260" s="102" t="s">
        <v>1247</v>
      </c>
    </row>
    <row r="261" spans="1:26" s="69" customFormat="1" ht="23.25" customHeight="1">
      <c r="A261" s="101">
        <v>33125</v>
      </c>
      <c r="B261" s="102" t="s">
        <v>128</v>
      </c>
      <c r="C261" s="151">
        <v>40015282</v>
      </c>
      <c r="D261" s="152" t="s">
        <v>34</v>
      </c>
      <c r="E261" s="176" t="s">
        <v>63</v>
      </c>
      <c r="F261" s="104" t="s">
        <v>1245</v>
      </c>
      <c r="G261" s="851">
        <v>2019</v>
      </c>
      <c r="H261" s="153" t="s">
        <v>1372</v>
      </c>
      <c r="I261" s="154">
        <v>94038000</v>
      </c>
      <c r="J261" s="106">
        <v>88532390</v>
      </c>
      <c r="K261" s="132">
        <v>0</v>
      </c>
      <c r="L261" s="132">
        <v>0</v>
      </c>
      <c r="M261" s="132">
        <v>0</v>
      </c>
      <c r="N261" s="132">
        <v>5505610</v>
      </c>
      <c r="O261" s="132">
        <v>0</v>
      </c>
      <c r="P261" s="132">
        <v>0</v>
      </c>
      <c r="Q261" s="132">
        <v>0</v>
      </c>
      <c r="R261" s="132">
        <v>0</v>
      </c>
      <c r="S261" s="132">
        <v>0</v>
      </c>
      <c r="T261" s="132">
        <v>0</v>
      </c>
      <c r="U261" s="132">
        <v>0</v>
      </c>
      <c r="V261" s="132">
        <v>0</v>
      </c>
      <c r="W261" s="132">
        <f t="shared" si="224"/>
        <v>5505610</v>
      </c>
      <c r="X261" s="132">
        <f t="shared" si="225"/>
        <v>5505610</v>
      </c>
      <c r="Y261" s="132">
        <f t="shared" si="226"/>
        <v>0</v>
      </c>
      <c r="Z261" s="102" t="s">
        <v>1247</v>
      </c>
    </row>
    <row r="262" spans="1:26" s="60" customFormat="1" ht="23.25" customHeight="1" outlineLevel="2">
      <c r="A262" s="101">
        <v>33125</v>
      </c>
      <c r="B262" s="102" t="s">
        <v>128</v>
      </c>
      <c r="C262" s="103">
        <v>30458477</v>
      </c>
      <c r="D262" s="104" t="s">
        <v>34</v>
      </c>
      <c r="E262" s="104" t="s">
        <v>63</v>
      </c>
      <c r="F262" s="104">
        <v>2016</v>
      </c>
      <c r="G262" s="851"/>
      <c r="H262" s="122" t="s">
        <v>1373</v>
      </c>
      <c r="I262" s="106">
        <v>43987253</v>
      </c>
      <c r="J262" s="106">
        <v>37645269</v>
      </c>
      <c r="K262" s="132">
        <v>0</v>
      </c>
      <c r="L262" s="132">
        <v>0</v>
      </c>
      <c r="M262" s="132">
        <v>0</v>
      </c>
      <c r="N262" s="132">
        <v>961293</v>
      </c>
      <c r="O262" s="132">
        <v>0</v>
      </c>
      <c r="P262" s="132">
        <v>0</v>
      </c>
      <c r="Q262" s="132">
        <v>0</v>
      </c>
      <c r="R262" s="132">
        <v>0</v>
      </c>
      <c r="S262" s="132">
        <v>0</v>
      </c>
      <c r="T262" s="132">
        <v>0</v>
      </c>
      <c r="U262" s="132">
        <v>0</v>
      </c>
      <c r="V262" s="132">
        <v>0</v>
      </c>
      <c r="W262" s="132">
        <f t="shared" si="224"/>
        <v>961293</v>
      </c>
      <c r="X262" s="132">
        <f t="shared" si="225"/>
        <v>961293</v>
      </c>
      <c r="Y262" s="132">
        <f t="shared" si="226"/>
        <v>5380691</v>
      </c>
      <c r="Z262" s="102" t="s">
        <v>1247</v>
      </c>
    </row>
    <row r="263" spans="1:26" s="69" customFormat="1" ht="23.25" customHeight="1">
      <c r="A263" s="101">
        <v>33125</v>
      </c>
      <c r="B263" s="102" t="s">
        <v>128</v>
      </c>
      <c r="C263" s="151">
        <v>40023368</v>
      </c>
      <c r="D263" s="152" t="s">
        <v>34</v>
      </c>
      <c r="E263" s="176" t="s">
        <v>63</v>
      </c>
      <c r="F263" s="104" t="s">
        <v>1658</v>
      </c>
      <c r="G263" s="851">
        <v>2020</v>
      </c>
      <c r="H263" s="153" t="s">
        <v>1679</v>
      </c>
      <c r="I263" s="154">
        <v>75000000</v>
      </c>
      <c r="J263" s="106">
        <v>0</v>
      </c>
      <c r="K263" s="106">
        <v>0</v>
      </c>
      <c r="L263" s="106">
        <v>0</v>
      </c>
      <c r="M263" s="106">
        <v>0</v>
      </c>
      <c r="N263" s="106">
        <v>0</v>
      </c>
      <c r="O263" s="106">
        <v>0</v>
      </c>
      <c r="P263" s="106">
        <v>0</v>
      </c>
      <c r="Q263" s="132">
        <v>0</v>
      </c>
      <c r="R263" s="106">
        <v>0</v>
      </c>
      <c r="S263" s="106">
        <v>0</v>
      </c>
      <c r="T263" s="106">
        <v>0</v>
      </c>
      <c r="U263" s="106">
        <v>0</v>
      </c>
      <c r="V263" s="106">
        <v>0</v>
      </c>
      <c r="W263" s="132">
        <f t="shared" ref="W263" si="227">SUBTOTAL(9,K263:V263)</f>
        <v>0</v>
      </c>
      <c r="X263" s="132">
        <f t="shared" ref="X263" si="228">+V263+U263+T263+S263+R263+Q263+P263+O263+N263+M263+L263+K263</f>
        <v>0</v>
      </c>
      <c r="Y263" s="132">
        <f t="shared" ref="Y263" si="229">+I263-J263-X263</f>
        <v>75000000</v>
      </c>
      <c r="Z263" s="102" t="s">
        <v>1255</v>
      </c>
    </row>
    <row r="264" spans="1:26" s="62" customFormat="1" ht="23.25" customHeight="1" outlineLevel="2">
      <c r="A264" s="125"/>
      <c r="B264" s="126"/>
      <c r="C264" s="127"/>
      <c r="D264" s="128"/>
      <c r="E264" s="128"/>
      <c r="F264" s="897"/>
      <c r="G264" s="886"/>
      <c r="H264" s="109" t="s">
        <v>187</v>
      </c>
      <c r="I264" s="129">
        <f>SUM(I260:I263)</f>
        <v>307063253</v>
      </c>
      <c r="J264" s="129">
        <f t="shared" ref="J264:Y264" si="230">SUM(J260:J263)</f>
        <v>215544909</v>
      </c>
      <c r="K264" s="129">
        <f t="shared" si="230"/>
        <v>0</v>
      </c>
      <c r="L264" s="129">
        <f t="shared" si="230"/>
        <v>0</v>
      </c>
      <c r="M264" s="129">
        <f t="shared" si="230"/>
        <v>0</v>
      </c>
      <c r="N264" s="129">
        <f t="shared" si="230"/>
        <v>11137653</v>
      </c>
      <c r="O264" s="129">
        <f t="shared" ref="O264:Q264" si="231">SUM(O260:O263)</f>
        <v>0</v>
      </c>
      <c r="P264" s="129">
        <f t="shared" si="231"/>
        <v>0</v>
      </c>
      <c r="Q264" s="129">
        <f t="shared" si="231"/>
        <v>0</v>
      </c>
      <c r="R264" s="129">
        <f t="shared" si="230"/>
        <v>0</v>
      </c>
      <c r="S264" s="129">
        <f t="shared" si="230"/>
        <v>0</v>
      </c>
      <c r="T264" s="129">
        <f t="shared" si="230"/>
        <v>0</v>
      </c>
      <c r="U264" s="129">
        <f t="shared" si="230"/>
        <v>0</v>
      </c>
      <c r="V264" s="129">
        <f t="shared" si="230"/>
        <v>0</v>
      </c>
      <c r="W264" s="129">
        <f t="shared" si="230"/>
        <v>11137653</v>
      </c>
      <c r="X264" s="129">
        <f t="shared" si="230"/>
        <v>11137653</v>
      </c>
      <c r="Y264" s="129">
        <f t="shared" si="230"/>
        <v>80380691</v>
      </c>
      <c r="Z264" s="137"/>
    </row>
    <row r="265" spans="1:26" s="59" customFormat="1" ht="15" outlineLevel="1">
      <c r="A265" s="111"/>
      <c r="B265" s="112"/>
      <c r="C265" s="90"/>
      <c r="D265" s="113"/>
      <c r="E265" s="114"/>
      <c r="F265" s="113"/>
      <c r="G265" s="885"/>
      <c r="H265" s="115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35"/>
    </row>
    <row r="266" spans="1:26" s="59" customFormat="1" ht="23.25" outlineLevel="1">
      <c r="A266" s="111"/>
      <c r="B266" s="112"/>
      <c r="C266" s="90"/>
      <c r="D266" s="113"/>
      <c r="E266" s="114"/>
      <c r="F266" s="113"/>
      <c r="G266" s="885"/>
      <c r="H266" s="117" t="s">
        <v>827</v>
      </c>
      <c r="I266" s="118">
        <f>+I264</f>
        <v>307063253</v>
      </c>
      <c r="J266" s="118">
        <f t="shared" ref="J266:Y266" si="232">+J264</f>
        <v>215544909</v>
      </c>
      <c r="K266" s="118">
        <f t="shared" si="232"/>
        <v>0</v>
      </c>
      <c r="L266" s="118">
        <f t="shared" ref="L266:M266" si="233">+L264</f>
        <v>0</v>
      </c>
      <c r="M266" s="118">
        <f t="shared" si="233"/>
        <v>0</v>
      </c>
      <c r="N266" s="118">
        <v>11137653</v>
      </c>
      <c r="O266" s="118">
        <f t="shared" ref="O266:Q266" si="234">+O264</f>
        <v>0</v>
      </c>
      <c r="P266" s="118">
        <f t="shared" si="234"/>
        <v>0</v>
      </c>
      <c r="Q266" s="118">
        <f t="shared" si="234"/>
        <v>0</v>
      </c>
      <c r="R266" s="118">
        <f t="shared" si="232"/>
        <v>0</v>
      </c>
      <c r="S266" s="118">
        <f t="shared" si="232"/>
        <v>0</v>
      </c>
      <c r="T266" s="118">
        <f t="shared" si="232"/>
        <v>0</v>
      </c>
      <c r="U266" s="118">
        <f t="shared" si="232"/>
        <v>0</v>
      </c>
      <c r="V266" s="118">
        <f t="shared" si="232"/>
        <v>0</v>
      </c>
      <c r="W266" s="118">
        <f t="shared" si="232"/>
        <v>11137653</v>
      </c>
      <c r="X266" s="118">
        <f t="shared" si="232"/>
        <v>11137653</v>
      </c>
      <c r="Y266" s="118">
        <f t="shared" si="232"/>
        <v>80380691</v>
      </c>
      <c r="Z266" s="135"/>
    </row>
    <row r="267" spans="1:26" s="64" customFormat="1" ht="15" outlineLevel="1">
      <c r="A267" s="88"/>
      <c r="B267" s="89"/>
      <c r="C267" s="90"/>
      <c r="D267" s="91"/>
      <c r="E267" s="92"/>
      <c r="F267" s="113"/>
      <c r="G267" s="883"/>
      <c r="H267" s="130"/>
      <c r="I267" s="94"/>
      <c r="J267" s="94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94"/>
      <c r="Z267" s="133"/>
    </row>
    <row r="268" spans="1:26" s="59" customFormat="1" ht="23.25" outlineLevel="1">
      <c r="A268" s="88"/>
      <c r="B268" s="89"/>
      <c r="C268" s="90"/>
      <c r="D268" s="91"/>
      <c r="E268" s="92"/>
      <c r="F268" s="113"/>
      <c r="G268" s="883"/>
      <c r="H268" s="93" t="s">
        <v>828</v>
      </c>
      <c r="I268" s="94"/>
      <c r="J268" s="94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94"/>
      <c r="Z268" s="184"/>
    </row>
    <row r="269" spans="1:26" s="66" customFormat="1" ht="23.25" customHeight="1" outlineLevel="1">
      <c r="A269" s="147"/>
      <c r="B269" s="89"/>
      <c r="C269" s="90"/>
      <c r="D269" s="91"/>
      <c r="E269" s="92"/>
      <c r="F269" s="113"/>
      <c r="G269" s="883"/>
      <c r="H269" s="99" t="s">
        <v>127</v>
      </c>
      <c r="I269" s="94"/>
      <c r="J269" s="94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94"/>
      <c r="Z269" s="162"/>
    </row>
    <row r="270" spans="1:26" s="60" customFormat="1" ht="23.25" customHeight="1" outlineLevel="2">
      <c r="A270" s="101">
        <v>33125</v>
      </c>
      <c r="B270" s="102" t="s">
        <v>128</v>
      </c>
      <c r="C270" s="103">
        <v>30483038</v>
      </c>
      <c r="D270" s="104" t="s">
        <v>34</v>
      </c>
      <c r="E270" s="104" t="s">
        <v>64</v>
      </c>
      <c r="F270" s="122" t="s">
        <v>1256</v>
      </c>
      <c r="G270" s="851">
        <v>2019</v>
      </c>
      <c r="H270" s="122" t="s">
        <v>1376</v>
      </c>
      <c r="I270" s="106">
        <v>90000000</v>
      </c>
      <c r="J270" s="106">
        <v>0</v>
      </c>
      <c r="K270" s="132">
        <v>0</v>
      </c>
      <c r="L270" s="132">
        <v>0</v>
      </c>
      <c r="M270" s="132">
        <v>18296164</v>
      </c>
      <c r="N270" s="132">
        <v>12024094</v>
      </c>
      <c r="O270" s="132">
        <v>0</v>
      </c>
      <c r="P270" s="132">
        <v>7674515</v>
      </c>
      <c r="Q270" s="132">
        <v>15485307</v>
      </c>
      <c r="R270" s="132">
        <v>0</v>
      </c>
      <c r="S270" s="132">
        <v>0</v>
      </c>
      <c r="T270" s="132">
        <v>0</v>
      </c>
      <c r="U270" s="132">
        <v>0</v>
      </c>
      <c r="V270" s="132">
        <v>0</v>
      </c>
      <c r="W270" s="132">
        <f t="shared" ref="W270:W273" si="235">SUBTOTAL(9,K270:V270)</f>
        <v>53480080</v>
      </c>
      <c r="X270" s="132">
        <f t="shared" ref="X270:X273" si="236">+V270+U270+T270+S270+R270+Q270+P270+O270+N270+M270+L270+K270</f>
        <v>53480080</v>
      </c>
      <c r="Y270" s="132">
        <f t="shared" ref="Y270:Y273" si="237">+I270-J270-X270</f>
        <v>36519920</v>
      </c>
      <c r="Z270" s="102" t="s">
        <v>1247</v>
      </c>
    </row>
    <row r="271" spans="1:26" s="60" customFormat="1" ht="23.25" customHeight="1" outlineLevel="2">
      <c r="A271" s="101">
        <v>33125</v>
      </c>
      <c r="B271" s="102" t="s">
        <v>128</v>
      </c>
      <c r="C271" s="103">
        <v>40015112</v>
      </c>
      <c r="D271" s="104" t="s">
        <v>34</v>
      </c>
      <c r="E271" s="104" t="s">
        <v>64</v>
      </c>
      <c r="F271" s="122" t="s">
        <v>1256</v>
      </c>
      <c r="G271" s="851">
        <v>2019</v>
      </c>
      <c r="H271" s="122" t="s">
        <v>1377</v>
      </c>
      <c r="I271" s="106">
        <v>25000000</v>
      </c>
      <c r="J271" s="106">
        <v>0</v>
      </c>
      <c r="K271" s="132">
        <v>0</v>
      </c>
      <c r="L271" s="132">
        <v>0</v>
      </c>
      <c r="M271" s="132">
        <v>0</v>
      </c>
      <c r="N271" s="132">
        <v>20474694</v>
      </c>
      <c r="O271" s="132">
        <v>0</v>
      </c>
      <c r="P271" s="132">
        <v>4525306</v>
      </c>
      <c r="Q271" s="132">
        <v>0</v>
      </c>
      <c r="R271" s="132">
        <v>0</v>
      </c>
      <c r="S271" s="132">
        <v>0</v>
      </c>
      <c r="T271" s="132">
        <v>0</v>
      </c>
      <c r="U271" s="132">
        <v>0</v>
      </c>
      <c r="V271" s="132">
        <v>0</v>
      </c>
      <c r="W271" s="132">
        <f t="shared" si="235"/>
        <v>25000000</v>
      </c>
      <c r="X271" s="132">
        <f t="shared" si="236"/>
        <v>25000000</v>
      </c>
      <c r="Y271" s="132">
        <f t="shared" si="237"/>
        <v>0</v>
      </c>
      <c r="Z271" s="102" t="s">
        <v>1247</v>
      </c>
    </row>
    <row r="272" spans="1:26" s="60" customFormat="1" ht="23.25" customHeight="1" outlineLevel="2">
      <c r="A272" s="101">
        <v>33125</v>
      </c>
      <c r="B272" s="102" t="s">
        <v>128</v>
      </c>
      <c r="C272" s="103">
        <v>40014790</v>
      </c>
      <c r="D272" s="104" t="s">
        <v>34</v>
      </c>
      <c r="E272" s="104" t="s">
        <v>64</v>
      </c>
      <c r="F272" s="122" t="s">
        <v>1256</v>
      </c>
      <c r="G272" s="851">
        <v>2019</v>
      </c>
      <c r="H272" s="122" t="s">
        <v>1378</v>
      </c>
      <c r="I272" s="106">
        <v>90000000</v>
      </c>
      <c r="J272" s="106">
        <v>18109325</v>
      </c>
      <c r="K272" s="132">
        <v>0</v>
      </c>
      <c r="L272" s="132">
        <v>0</v>
      </c>
      <c r="M272" s="132">
        <v>26405605</v>
      </c>
      <c r="N272" s="132">
        <v>8695492</v>
      </c>
      <c r="O272" s="132">
        <v>26684765</v>
      </c>
      <c r="P272" s="132">
        <v>10104812</v>
      </c>
      <c r="Q272" s="132">
        <v>0</v>
      </c>
      <c r="R272" s="132">
        <v>0</v>
      </c>
      <c r="S272" s="132">
        <v>0</v>
      </c>
      <c r="T272" s="132">
        <v>0</v>
      </c>
      <c r="U272" s="132">
        <v>0</v>
      </c>
      <c r="V272" s="132">
        <v>0</v>
      </c>
      <c r="W272" s="132">
        <f t="shared" si="235"/>
        <v>71890674</v>
      </c>
      <c r="X272" s="132">
        <f t="shared" si="236"/>
        <v>71890674</v>
      </c>
      <c r="Y272" s="132">
        <f t="shared" si="237"/>
        <v>1</v>
      </c>
      <c r="Z272" s="102" t="s">
        <v>1247</v>
      </c>
    </row>
    <row r="273" spans="1:26" s="60" customFormat="1" ht="23.25" customHeight="1" outlineLevel="2">
      <c r="A273" s="101">
        <v>33125</v>
      </c>
      <c r="B273" s="102" t="s">
        <v>128</v>
      </c>
      <c r="C273" s="103">
        <v>40021847</v>
      </c>
      <c r="D273" s="104" t="s">
        <v>34</v>
      </c>
      <c r="E273" s="104" t="s">
        <v>64</v>
      </c>
      <c r="F273" s="122" t="s">
        <v>1683</v>
      </c>
      <c r="G273" s="851">
        <v>2020</v>
      </c>
      <c r="H273" s="122" t="s">
        <v>1685</v>
      </c>
      <c r="I273" s="106">
        <v>45000000</v>
      </c>
      <c r="J273" s="106">
        <v>0</v>
      </c>
      <c r="K273" s="132">
        <v>0</v>
      </c>
      <c r="L273" s="132">
        <v>0</v>
      </c>
      <c r="M273" s="132">
        <v>0</v>
      </c>
      <c r="N273" s="132">
        <v>0</v>
      </c>
      <c r="O273" s="132">
        <v>0</v>
      </c>
      <c r="P273" s="132">
        <v>0</v>
      </c>
      <c r="Q273" s="132">
        <v>0</v>
      </c>
      <c r="R273" s="132">
        <v>0</v>
      </c>
      <c r="S273" s="132">
        <v>0</v>
      </c>
      <c r="T273" s="132">
        <v>0</v>
      </c>
      <c r="U273" s="132">
        <v>0</v>
      </c>
      <c r="V273" s="132">
        <v>0</v>
      </c>
      <c r="W273" s="132">
        <f t="shared" si="235"/>
        <v>0</v>
      </c>
      <c r="X273" s="132">
        <f t="shared" si="236"/>
        <v>0</v>
      </c>
      <c r="Y273" s="132">
        <f t="shared" si="237"/>
        <v>45000000</v>
      </c>
      <c r="Z273" s="102" t="s">
        <v>1665</v>
      </c>
    </row>
    <row r="274" spans="1:26" s="60" customFormat="1" ht="23.25" customHeight="1" outlineLevel="2">
      <c r="A274" s="101">
        <v>33125</v>
      </c>
      <c r="B274" s="102" t="s">
        <v>128</v>
      </c>
      <c r="C274" s="103">
        <v>40020250</v>
      </c>
      <c r="D274" s="104" t="s">
        <v>34</v>
      </c>
      <c r="E274" s="104" t="s">
        <v>64</v>
      </c>
      <c r="F274" s="122" t="s">
        <v>1658</v>
      </c>
      <c r="G274" s="851">
        <v>2020</v>
      </c>
      <c r="H274" s="122" t="s">
        <v>1673</v>
      </c>
      <c r="I274" s="106">
        <v>98000000</v>
      </c>
      <c r="J274" s="106">
        <v>0</v>
      </c>
      <c r="K274" s="132">
        <v>0</v>
      </c>
      <c r="L274" s="132">
        <v>0</v>
      </c>
      <c r="M274" s="132">
        <v>0</v>
      </c>
      <c r="N274" s="132">
        <v>0</v>
      </c>
      <c r="O274" s="132">
        <v>0</v>
      </c>
      <c r="P274" s="132">
        <v>0</v>
      </c>
      <c r="Q274" s="132">
        <v>0</v>
      </c>
      <c r="R274" s="132">
        <v>0</v>
      </c>
      <c r="S274" s="132">
        <v>0</v>
      </c>
      <c r="T274" s="132">
        <v>0</v>
      </c>
      <c r="U274" s="132">
        <v>0</v>
      </c>
      <c r="V274" s="132">
        <v>0</v>
      </c>
      <c r="W274" s="132">
        <f t="shared" ref="W274" si="238">SUBTOTAL(9,K274:V274)</f>
        <v>0</v>
      </c>
      <c r="X274" s="132">
        <f t="shared" ref="X274" si="239">+V274+U274+T274+S274+R274+Q274+P274+O274+N274+M274+L274+K274</f>
        <v>0</v>
      </c>
      <c r="Y274" s="132">
        <f t="shared" ref="Y274" si="240">+I274-J274-X274</f>
        <v>98000000</v>
      </c>
      <c r="Z274" s="102" t="s">
        <v>1255</v>
      </c>
    </row>
    <row r="275" spans="1:26" s="62" customFormat="1" ht="23.25" customHeight="1" outlineLevel="2">
      <c r="A275" s="125"/>
      <c r="B275" s="126"/>
      <c r="C275" s="127"/>
      <c r="D275" s="128"/>
      <c r="E275" s="128"/>
      <c r="F275" s="897"/>
      <c r="G275" s="886"/>
      <c r="H275" s="109" t="s">
        <v>187</v>
      </c>
      <c r="I275" s="129">
        <f>SUM(I270:I274)</f>
        <v>348000000</v>
      </c>
      <c r="J275" s="129">
        <f t="shared" ref="J275:Y275" si="241">SUM(J270:J274)</f>
        <v>18109325</v>
      </c>
      <c r="K275" s="129">
        <f t="shared" si="241"/>
        <v>0</v>
      </c>
      <c r="L275" s="129">
        <f t="shared" si="241"/>
        <v>0</v>
      </c>
      <c r="M275" s="129">
        <f t="shared" si="241"/>
        <v>44701769</v>
      </c>
      <c r="N275" s="129">
        <f t="shared" si="241"/>
        <v>41194280</v>
      </c>
      <c r="O275" s="129">
        <f t="shared" ref="O275:Q275" si="242">SUM(O270:O274)</f>
        <v>26684765</v>
      </c>
      <c r="P275" s="129">
        <f t="shared" si="242"/>
        <v>22304633</v>
      </c>
      <c r="Q275" s="129">
        <f t="shared" si="242"/>
        <v>15485307</v>
      </c>
      <c r="R275" s="129">
        <f t="shared" si="241"/>
        <v>0</v>
      </c>
      <c r="S275" s="129">
        <f t="shared" si="241"/>
        <v>0</v>
      </c>
      <c r="T275" s="129">
        <f t="shared" si="241"/>
        <v>0</v>
      </c>
      <c r="U275" s="129">
        <f t="shared" si="241"/>
        <v>0</v>
      </c>
      <c r="V275" s="129">
        <f t="shared" si="241"/>
        <v>0</v>
      </c>
      <c r="W275" s="129">
        <f t="shared" si="241"/>
        <v>150370754</v>
      </c>
      <c r="X275" s="129">
        <f t="shared" si="241"/>
        <v>150370754</v>
      </c>
      <c r="Y275" s="129">
        <f t="shared" si="241"/>
        <v>179519921</v>
      </c>
      <c r="Z275" s="137"/>
    </row>
    <row r="276" spans="1:26" s="59" customFormat="1" ht="15" outlineLevel="1">
      <c r="A276" s="111"/>
      <c r="B276" s="112"/>
      <c r="C276" s="90"/>
      <c r="D276" s="113"/>
      <c r="E276" s="114"/>
      <c r="F276" s="113"/>
      <c r="G276" s="885"/>
      <c r="H276" s="115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35"/>
    </row>
    <row r="277" spans="1:26" s="59" customFormat="1" ht="23.25" outlineLevel="1">
      <c r="A277" s="111"/>
      <c r="B277" s="112"/>
      <c r="C277" s="90"/>
      <c r="D277" s="113"/>
      <c r="E277" s="114"/>
      <c r="F277" s="113"/>
      <c r="G277" s="885"/>
      <c r="H277" s="117" t="s">
        <v>860</v>
      </c>
      <c r="I277" s="118">
        <f>+I275</f>
        <v>348000000</v>
      </c>
      <c r="J277" s="118">
        <f>+J275</f>
        <v>18109325</v>
      </c>
      <c r="K277" s="118">
        <f t="shared" ref="K277:Y277" si="243">+K275</f>
        <v>0</v>
      </c>
      <c r="L277" s="118">
        <f t="shared" ref="L277:M277" si="244">+L275</f>
        <v>0</v>
      </c>
      <c r="M277" s="118">
        <f t="shared" si="244"/>
        <v>44701769</v>
      </c>
      <c r="N277" s="118">
        <v>41194280</v>
      </c>
      <c r="O277" s="118">
        <f t="shared" ref="O277:Q277" si="245">+O275</f>
        <v>26684765</v>
      </c>
      <c r="P277" s="118">
        <f t="shared" si="245"/>
        <v>22304633</v>
      </c>
      <c r="Q277" s="118">
        <f t="shared" si="245"/>
        <v>15485307</v>
      </c>
      <c r="R277" s="118">
        <f t="shared" si="243"/>
        <v>0</v>
      </c>
      <c r="S277" s="118">
        <f t="shared" si="243"/>
        <v>0</v>
      </c>
      <c r="T277" s="118">
        <f t="shared" si="243"/>
        <v>0</v>
      </c>
      <c r="U277" s="118">
        <f t="shared" si="243"/>
        <v>0</v>
      </c>
      <c r="V277" s="118">
        <f t="shared" si="243"/>
        <v>0</v>
      </c>
      <c r="W277" s="118">
        <f t="shared" si="243"/>
        <v>150370754</v>
      </c>
      <c r="X277" s="118">
        <f t="shared" si="243"/>
        <v>150370754</v>
      </c>
      <c r="Y277" s="118">
        <f t="shared" si="243"/>
        <v>179519921</v>
      </c>
      <c r="Z277" s="135"/>
    </row>
    <row r="278" spans="1:26" s="64" customFormat="1" ht="15" outlineLevel="1">
      <c r="A278" s="88"/>
      <c r="B278" s="89"/>
      <c r="C278" s="90"/>
      <c r="D278" s="91"/>
      <c r="E278" s="92"/>
      <c r="F278" s="113"/>
      <c r="G278" s="883"/>
      <c r="H278" s="130"/>
      <c r="I278" s="94"/>
      <c r="J278" s="94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94"/>
      <c r="Z278" s="133"/>
    </row>
    <row r="279" spans="1:26" s="59" customFormat="1" ht="23.25" outlineLevel="1">
      <c r="A279" s="88"/>
      <c r="B279" s="89"/>
      <c r="C279" s="90"/>
      <c r="D279" s="91"/>
      <c r="E279" s="92"/>
      <c r="F279" s="113"/>
      <c r="G279" s="883"/>
      <c r="H279" s="93" t="s">
        <v>861</v>
      </c>
      <c r="I279" s="94"/>
      <c r="J279" s="94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94"/>
      <c r="Z279" s="184"/>
    </row>
    <row r="280" spans="1:26" s="66" customFormat="1" ht="23.25" customHeight="1" outlineLevel="1">
      <c r="A280" s="147"/>
      <c r="B280" s="89"/>
      <c r="C280" s="90"/>
      <c r="D280" s="91"/>
      <c r="E280" s="92"/>
      <c r="F280" s="113"/>
      <c r="G280" s="883"/>
      <c r="H280" s="99" t="s">
        <v>127</v>
      </c>
      <c r="I280" s="94"/>
      <c r="J280" s="94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94"/>
      <c r="Z280" s="162"/>
    </row>
    <row r="281" spans="1:26" s="60" customFormat="1" ht="23.25" customHeight="1" outlineLevel="2">
      <c r="A281" s="101">
        <v>33125</v>
      </c>
      <c r="B281" s="102" t="s">
        <v>128</v>
      </c>
      <c r="C281" s="103">
        <v>40014653</v>
      </c>
      <c r="D281" s="104" t="s">
        <v>34</v>
      </c>
      <c r="E281" s="104" t="s">
        <v>65</v>
      </c>
      <c r="F281" s="122" t="s">
        <v>1256</v>
      </c>
      <c r="G281" s="851">
        <v>2019</v>
      </c>
      <c r="H281" s="149" t="s">
        <v>1380</v>
      </c>
      <c r="I281" s="106">
        <v>74240686</v>
      </c>
      <c r="J281" s="106">
        <v>0</v>
      </c>
      <c r="K281" s="132">
        <v>0</v>
      </c>
      <c r="L281" s="132">
        <v>19191205</v>
      </c>
      <c r="M281" s="132">
        <v>0</v>
      </c>
      <c r="N281" s="132">
        <v>0</v>
      </c>
      <c r="O281" s="132">
        <v>0</v>
      </c>
      <c r="P281" s="132">
        <v>35857824</v>
      </c>
      <c r="Q281" s="132">
        <v>0</v>
      </c>
      <c r="R281" s="132">
        <v>0</v>
      </c>
      <c r="S281" s="132">
        <v>0</v>
      </c>
      <c r="T281" s="132">
        <v>0</v>
      </c>
      <c r="U281" s="132">
        <v>0</v>
      </c>
      <c r="V281" s="132">
        <v>0</v>
      </c>
      <c r="W281" s="132">
        <f t="shared" ref="W281:W284" si="246">SUBTOTAL(9,K281:V281)</f>
        <v>55049029</v>
      </c>
      <c r="X281" s="132">
        <f t="shared" ref="X281:X284" si="247">+V281+U281+T281+S281+R281+Q281+P281+O281+N281+M281+L281+K281</f>
        <v>55049029</v>
      </c>
      <c r="Y281" s="132">
        <f t="shared" ref="Y281:Y284" si="248">+I281-J281-X281</f>
        <v>19191657</v>
      </c>
      <c r="Z281" s="102" t="s">
        <v>1247</v>
      </c>
    </row>
    <row r="282" spans="1:26" s="60" customFormat="1" ht="23.25" customHeight="1" outlineLevel="2">
      <c r="A282" s="101">
        <v>33125</v>
      </c>
      <c r="B282" s="102" t="s">
        <v>128</v>
      </c>
      <c r="C282" s="103">
        <v>40008354</v>
      </c>
      <c r="D282" s="104" t="s">
        <v>34</v>
      </c>
      <c r="E282" s="104" t="s">
        <v>65</v>
      </c>
      <c r="F282" s="122"/>
      <c r="G282" s="851"/>
      <c r="H282" s="149" t="s">
        <v>1381</v>
      </c>
      <c r="I282" s="106">
        <v>36615000</v>
      </c>
      <c r="J282" s="106">
        <v>0</v>
      </c>
      <c r="K282" s="106">
        <v>0</v>
      </c>
      <c r="L282" s="132">
        <v>6816230</v>
      </c>
      <c r="M282" s="132">
        <v>0</v>
      </c>
      <c r="N282" s="132">
        <v>9572658</v>
      </c>
      <c r="O282" s="106">
        <v>0</v>
      </c>
      <c r="P282" s="132">
        <v>0</v>
      </c>
      <c r="Q282" s="132">
        <v>0</v>
      </c>
      <c r="R282" s="106">
        <v>0</v>
      </c>
      <c r="S282" s="106">
        <v>0</v>
      </c>
      <c r="T282" s="106">
        <v>0</v>
      </c>
      <c r="U282" s="106">
        <v>0</v>
      </c>
      <c r="V282" s="106">
        <v>0</v>
      </c>
      <c r="W282" s="132">
        <f t="shared" ref="W282" si="249">SUBTOTAL(9,K282:V282)</f>
        <v>16388888</v>
      </c>
      <c r="X282" s="132">
        <f t="shared" si="247"/>
        <v>16388888</v>
      </c>
      <c r="Y282" s="132">
        <f t="shared" ref="Y282" si="250">+I282-J282-X282</f>
        <v>20226112</v>
      </c>
      <c r="Z282" s="102" t="s">
        <v>1247</v>
      </c>
    </row>
    <row r="283" spans="1:26" s="60" customFormat="1" ht="23.25" customHeight="1" outlineLevel="2">
      <c r="A283" s="101">
        <v>33125</v>
      </c>
      <c r="B283" s="102" t="s">
        <v>128</v>
      </c>
      <c r="C283" s="103">
        <v>40014715</v>
      </c>
      <c r="D283" s="104" t="s">
        <v>34</v>
      </c>
      <c r="E283" s="104" t="s">
        <v>65</v>
      </c>
      <c r="F283" s="122" t="s">
        <v>1256</v>
      </c>
      <c r="G283" s="851">
        <v>2019</v>
      </c>
      <c r="H283" s="149" t="s">
        <v>1382</v>
      </c>
      <c r="I283" s="106">
        <v>74927506</v>
      </c>
      <c r="J283" s="106">
        <v>0</v>
      </c>
      <c r="K283" s="132">
        <v>0</v>
      </c>
      <c r="L283" s="132">
        <v>23927940</v>
      </c>
      <c r="M283" s="132">
        <v>0</v>
      </c>
      <c r="N283" s="132">
        <v>27709925</v>
      </c>
      <c r="O283" s="132">
        <v>0</v>
      </c>
      <c r="P283" s="132">
        <v>0</v>
      </c>
      <c r="Q283" s="132">
        <v>0</v>
      </c>
      <c r="R283" s="132">
        <v>0</v>
      </c>
      <c r="S283" s="132">
        <v>0</v>
      </c>
      <c r="T283" s="132">
        <v>0</v>
      </c>
      <c r="U283" s="132">
        <v>0</v>
      </c>
      <c r="V283" s="132">
        <v>0</v>
      </c>
      <c r="W283" s="132">
        <f t="shared" si="246"/>
        <v>51637865</v>
      </c>
      <c r="X283" s="132">
        <f t="shared" si="247"/>
        <v>51637865</v>
      </c>
      <c r="Y283" s="132">
        <f t="shared" si="248"/>
        <v>23289641</v>
      </c>
      <c r="Z283" s="102" t="s">
        <v>1247</v>
      </c>
    </row>
    <row r="284" spans="1:26" s="60" customFormat="1" ht="23.25" customHeight="1" outlineLevel="2">
      <c r="A284" s="101">
        <v>33125</v>
      </c>
      <c r="B284" s="102" t="s">
        <v>128</v>
      </c>
      <c r="C284" s="103">
        <v>40014820</v>
      </c>
      <c r="D284" s="104" t="s">
        <v>34</v>
      </c>
      <c r="E284" s="104" t="s">
        <v>65</v>
      </c>
      <c r="F284" s="122" t="s">
        <v>1256</v>
      </c>
      <c r="G284" s="851">
        <v>2019</v>
      </c>
      <c r="H284" s="149" t="s">
        <v>1383</v>
      </c>
      <c r="I284" s="106">
        <v>50831808</v>
      </c>
      <c r="J284" s="106">
        <v>0</v>
      </c>
      <c r="K284" s="132">
        <v>0</v>
      </c>
      <c r="L284" s="132">
        <v>43695164</v>
      </c>
      <c r="M284" s="132">
        <v>0</v>
      </c>
      <c r="N284" s="132">
        <v>0</v>
      </c>
      <c r="O284" s="132">
        <v>0</v>
      </c>
      <c r="P284" s="132">
        <v>7136644</v>
      </c>
      <c r="Q284" s="132">
        <v>0</v>
      </c>
      <c r="R284" s="132">
        <v>0</v>
      </c>
      <c r="S284" s="132">
        <v>0</v>
      </c>
      <c r="T284" s="132">
        <v>0</v>
      </c>
      <c r="U284" s="132">
        <v>0</v>
      </c>
      <c r="V284" s="132">
        <v>0</v>
      </c>
      <c r="W284" s="132">
        <f t="shared" si="246"/>
        <v>50831808</v>
      </c>
      <c r="X284" s="132">
        <f t="shared" si="247"/>
        <v>50831808</v>
      </c>
      <c r="Y284" s="132">
        <f t="shared" si="248"/>
        <v>0</v>
      </c>
      <c r="Z284" s="102" t="s">
        <v>1247</v>
      </c>
    </row>
    <row r="285" spans="1:26" s="60" customFormat="1" ht="23.25" customHeight="1" outlineLevel="2">
      <c r="A285" s="101">
        <v>33125</v>
      </c>
      <c r="B285" s="102" t="s">
        <v>128</v>
      </c>
      <c r="C285" s="103">
        <v>40022454</v>
      </c>
      <c r="D285" s="104" t="s">
        <v>34</v>
      </c>
      <c r="E285" s="104" t="s">
        <v>65</v>
      </c>
      <c r="F285" s="122" t="s">
        <v>1683</v>
      </c>
      <c r="G285" s="851">
        <v>2020</v>
      </c>
      <c r="H285" s="149" t="s">
        <v>1693</v>
      </c>
      <c r="I285" s="106">
        <v>98654841</v>
      </c>
      <c r="J285" s="106">
        <v>0</v>
      </c>
      <c r="K285" s="132">
        <v>0</v>
      </c>
      <c r="L285" s="132">
        <v>0</v>
      </c>
      <c r="M285" s="132">
        <v>0</v>
      </c>
      <c r="N285" s="132">
        <v>0</v>
      </c>
      <c r="O285" s="132">
        <v>0</v>
      </c>
      <c r="P285" s="132">
        <v>0</v>
      </c>
      <c r="Q285" s="132">
        <v>0</v>
      </c>
      <c r="R285" s="132">
        <v>0</v>
      </c>
      <c r="S285" s="132">
        <v>0</v>
      </c>
      <c r="T285" s="132">
        <v>0</v>
      </c>
      <c r="U285" s="132">
        <v>0</v>
      </c>
      <c r="V285" s="132">
        <v>0</v>
      </c>
      <c r="W285" s="132">
        <f t="shared" ref="W285" si="251">SUBTOTAL(9,K285:V285)</f>
        <v>0</v>
      </c>
      <c r="X285" s="132">
        <f t="shared" ref="X285" si="252">+V285+U285+T285+S285+R285+Q285+P285+O285+N285+M285+L285+K285</f>
        <v>0</v>
      </c>
      <c r="Y285" s="132">
        <f t="shared" ref="Y285" si="253">+I285-J285-X285</f>
        <v>98654841</v>
      </c>
      <c r="Z285" s="102" t="s">
        <v>1665</v>
      </c>
    </row>
    <row r="286" spans="1:26" s="62" customFormat="1" ht="23.25" customHeight="1" outlineLevel="2">
      <c r="A286" s="125"/>
      <c r="B286" s="126"/>
      <c r="C286" s="127"/>
      <c r="D286" s="128"/>
      <c r="E286" s="128"/>
      <c r="F286" s="897"/>
      <c r="G286" s="886"/>
      <c r="H286" s="109" t="s">
        <v>187</v>
      </c>
      <c r="I286" s="129">
        <f t="shared" ref="I286:X286" si="254">SUM(I281:I285)</f>
        <v>335269841</v>
      </c>
      <c r="J286" s="129">
        <f>SUM(J281:J285)</f>
        <v>0</v>
      </c>
      <c r="K286" s="129">
        <f t="shared" si="254"/>
        <v>0</v>
      </c>
      <c r="L286" s="129">
        <f t="shared" si="254"/>
        <v>93630539</v>
      </c>
      <c r="M286" s="129">
        <f t="shared" si="254"/>
        <v>0</v>
      </c>
      <c r="N286" s="129">
        <f t="shared" si="254"/>
        <v>37282583</v>
      </c>
      <c r="O286" s="129">
        <f t="shared" ref="O286:Q286" si="255">SUM(O281:O285)</f>
        <v>0</v>
      </c>
      <c r="P286" s="129">
        <f t="shared" si="255"/>
        <v>42994468</v>
      </c>
      <c r="Q286" s="129">
        <f t="shared" si="255"/>
        <v>0</v>
      </c>
      <c r="R286" s="129">
        <f t="shared" si="254"/>
        <v>0</v>
      </c>
      <c r="S286" s="129">
        <f t="shared" si="254"/>
        <v>0</v>
      </c>
      <c r="T286" s="129">
        <f t="shared" si="254"/>
        <v>0</v>
      </c>
      <c r="U286" s="129">
        <f t="shared" si="254"/>
        <v>0</v>
      </c>
      <c r="V286" s="129">
        <f t="shared" si="254"/>
        <v>0</v>
      </c>
      <c r="W286" s="129">
        <f t="shared" si="254"/>
        <v>173907590</v>
      </c>
      <c r="X286" s="129">
        <f t="shared" si="254"/>
        <v>173907590</v>
      </c>
      <c r="Y286" s="129">
        <f>SUM(Y281:Y285)</f>
        <v>161362251</v>
      </c>
      <c r="Z286" s="137"/>
    </row>
    <row r="287" spans="1:26" s="59" customFormat="1" ht="15" outlineLevel="1">
      <c r="A287" s="111"/>
      <c r="B287" s="112"/>
      <c r="C287" s="90"/>
      <c r="D287" s="113"/>
      <c r="E287" s="114"/>
      <c r="F287" s="113"/>
      <c r="G287" s="885"/>
      <c r="H287" s="115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35"/>
    </row>
    <row r="288" spans="1:26" s="59" customFormat="1" ht="23.25" outlineLevel="1">
      <c r="A288" s="111"/>
      <c r="B288" s="112"/>
      <c r="C288" s="90"/>
      <c r="D288" s="113"/>
      <c r="E288" s="114"/>
      <c r="F288" s="113"/>
      <c r="G288" s="885"/>
      <c r="H288" s="117" t="s">
        <v>891</v>
      </c>
      <c r="I288" s="118">
        <f>+I286</f>
        <v>335269841</v>
      </c>
      <c r="J288" s="118">
        <f>+J286</f>
        <v>0</v>
      </c>
      <c r="K288" s="118">
        <f t="shared" ref="K288:Y288" si="256">+K286</f>
        <v>0</v>
      </c>
      <c r="L288" s="118">
        <f t="shared" ref="L288:M288" si="257">+L286</f>
        <v>93630539</v>
      </c>
      <c r="M288" s="118">
        <f t="shared" si="257"/>
        <v>0</v>
      </c>
      <c r="N288" s="118">
        <v>37282583</v>
      </c>
      <c r="O288" s="118">
        <f t="shared" ref="O288:Q288" si="258">+O286</f>
        <v>0</v>
      </c>
      <c r="P288" s="118">
        <f t="shared" si="258"/>
        <v>42994468</v>
      </c>
      <c r="Q288" s="118">
        <f t="shared" si="258"/>
        <v>0</v>
      </c>
      <c r="R288" s="118">
        <f t="shared" si="256"/>
        <v>0</v>
      </c>
      <c r="S288" s="118">
        <f t="shared" si="256"/>
        <v>0</v>
      </c>
      <c r="T288" s="118">
        <f t="shared" si="256"/>
        <v>0</v>
      </c>
      <c r="U288" s="118">
        <f t="shared" si="256"/>
        <v>0</v>
      </c>
      <c r="V288" s="118">
        <f t="shared" si="256"/>
        <v>0</v>
      </c>
      <c r="W288" s="118">
        <f t="shared" si="256"/>
        <v>173907590</v>
      </c>
      <c r="X288" s="118">
        <f t="shared" si="256"/>
        <v>173907590</v>
      </c>
      <c r="Y288" s="118">
        <f t="shared" si="256"/>
        <v>161362251</v>
      </c>
      <c r="Z288" s="135"/>
    </row>
    <row r="289" spans="1:26" s="64" customFormat="1" ht="15" customHeight="1" outlineLevel="1">
      <c r="A289" s="88"/>
      <c r="B289" s="89"/>
      <c r="C289" s="90"/>
      <c r="D289" s="91"/>
      <c r="E289" s="92"/>
      <c r="F289" s="113"/>
      <c r="G289" s="883"/>
      <c r="H289" s="130"/>
      <c r="I289" s="94"/>
      <c r="J289" s="94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94"/>
      <c r="Z289" s="133"/>
    </row>
    <row r="290" spans="1:26" s="64" customFormat="1" ht="23.25" outlineLevel="1">
      <c r="A290" s="88"/>
      <c r="B290" s="89"/>
      <c r="C290" s="90"/>
      <c r="D290" s="91"/>
      <c r="E290" s="92"/>
      <c r="F290" s="113"/>
      <c r="G290" s="883"/>
      <c r="H290" s="93" t="s">
        <v>892</v>
      </c>
      <c r="I290" s="94"/>
      <c r="J290" s="94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94"/>
      <c r="Z290" s="133"/>
    </row>
    <row r="291" spans="1:26" s="66" customFormat="1" ht="23.25" customHeight="1" outlineLevel="1">
      <c r="A291" s="147"/>
      <c r="B291" s="89"/>
      <c r="C291" s="90"/>
      <c r="D291" s="91"/>
      <c r="E291" s="92"/>
      <c r="F291" s="113"/>
      <c r="G291" s="883"/>
      <c r="H291" s="99" t="s">
        <v>127</v>
      </c>
      <c r="I291" s="94"/>
      <c r="J291" s="94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94"/>
      <c r="Z291" s="162"/>
    </row>
    <row r="292" spans="1:26" s="69" customFormat="1" ht="23.25" customHeight="1">
      <c r="A292" s="101">
        <v>33125</v>
      </c>
      <c r="B292" s="102" t="s">
        <v>128</v>
      </c>
      <c r="C292" s="151">
        <v>40012919</v>
      </c>
      <c r="D292" s="152" t="s">
        <v>34</v>
      </c>
      <c r="E292" s="176" t="s">
        <v>66</v>
      </c>
      <c r="F292" s="122" t="s">
        <v>1256</v>
      </c>
      <c r="G292" s="851">
        <v>2019</v>
      </c>
      <c r="H292" s="153" t="s">
        <v>1385</v>
      </c>
      <c r="I292" s="154">
        <v>90000000</v>
      </c>
      <c r="J292" s="106">
        <v>82359008</v>
      </c>
      <c r="K292" s="132">
        <v>0</v>
      </c>
      <c r="L292" s="132">
        <v>0</v>
      </c>
      <c r="M292" s="132">
        <v>0</v>
      </c>
      <c r="N292" s="132">
        <v>6504093</v>
      </c>
      <c r="O292" s="132">
        <v>0</v>
      </c>
      <c r="P292" s="132">
        <v>0</v>
      </c>
      <c r="Q292" s="132">
        <v>0</v>
      </c>
      <c r="R292" s="132">
        <v>0</v>
      </c>
      <c r="S292" s="132">
        <v>0</v>
      </c>
      <c r="T292" s="132">
        <v>0</v>
      </c>
      <c r="U292" s="132">
        <v>0</v>
      </c>
      <c r="V292" s="132">
        <v>0</v>
      </c>
      <c r="W292" s="132">
        <f t="shared" ref="W292:W295" si="259">SUBTOTAL(9,K292:V292)</f>
        <v>6504093</v>
      </c>
      <c r="X292" s="132">
        <f t="shared" ref="X292:X295" si="260">+V292+U292+T292+S292+R292+Q292+P292+O292+N292+M292+L292+K292</f>
        <v>6504093</v>
      </c>
      <c r="Y292" s="132">
        <f t="shared" ref="Y292:Y295" si="261">+I292-J292-X292</f>
        <v>1136899</v>
      </c>
      <c r="Z292" s="102" t="s">
        <v>1247</v>
      </c>
    </row>
    <row r="293" spans="1:26" s="69" customFormat="1" ht="23.25" customHeight="1">
      <c r="A293" s="101">
        <v>33125</v>
      </c>
      <c r="B293" s="102" t="s">
        <v>128</v>
      </c>
      <c r="C293" s="151">
        <v>40012671</v>
      </c>
      <c r="D293" s="152" t="s">
        <v>34</v>
      </c>
      <c r="E293" s="176" t="s">
        <v>66</v>
      </c>
      <c r="F293" s="122" t="s">
        <v>1256</v>
      </c>
      <c r="G293" s="851">
        <v>2019</v>
      </c>
      <c r="H293" s="153" t="s">
        <v>1386</v>
      </c>
      <c r="I293" s="154">
        <v>25000000</v>
      </c>
      <c r="J293" s="106">
        <v>23555300</v>
      </c>
      <c r="K293" s="132">
        <v>0</v>
      </c>
      <c r="L293" s="132">
        <v>0</v>
      </c>
      <c r="M293" s="132">
        <v>0</v>
      </c>
      <c r="N293" s="132">
        <v>0</v>
      </c>
      <c r="O293" s="132">
        <v>0</v>
      </c>
      <c r="P293" s="132">
        <v>0</v>
      </c>
      <c r="Q293" s="132">
        <v>0</v>
      </c>
      <c r="R293" s="132">
        <v>0</v>
      </c>
      <c r="S293" s="132">
        <v>0</v>
      </c>
      <c r="T293" s="132">
        <v>0</v>
      </c>
      <c r="U293" s="132">
        <v>0</v>
      </c>
      <c r="V293" s="132">
        <v>0</v>
      </c>
      <c r="W293" s="132">
        <f t="shared" si="259"/>
        <v>0</v>
      </c>
      <c r="X293" s="132">
        <f t="shared" si="260"/>
        <v>0</v>
      </c>
      <c r="Y293" s="132">
        <f t="shared" si="261"/>
        <v>1444700</v>
      </c>
      <c r="Z293" s="102" t="s">
        <v>1261</v>
      </c>
    </row>
    <row r="294" spans="1:26" s="69" customFormat="1" ht="23.25" customHeight="1">
      <c r="A294" s="101">
        <v>33125</v>
      </c>
      <c r="B294" s="102" t="s">
        <v>128</v>
      </c>
      <c r="C294" s="151">
        <v>40013645</v>
      </c>
      <c r="D294" s="152" t="s">
        <v>34</v>
      </c>
      <c r="E294" s="176" t="s">
        <v>66</v>
      </c>
      <c r="F294" s="104" t="s">
        <v>1245</v>
      </c>
      <c r="G294" s="851">
        <v>2019</v>
      </c>
      <c r="H294" s="153" t="s">
        <v>1387</v>
      </c>
      <c r="I294" s="154">
        <v>85000000</v>
      </c>
      <c r="J294" s="106">
        <v>77389786</v>
      </c>
      <c r="K294" s="132">
        <v>0</v>
      </c>
      <c r="L294" s="132">
        <v>0</v>
      </c>
      <c r="M294" s="132">
        <v>0</v>
      </c>
      <c r="N294" s="132">
        <v>6548810</v>
      </c>
      <c r="O294" s="132">
        <v>0</v>
      </c>
      <c r="P294" s="132">
        <v>0</v>
      </c>
      <c r="Q294" s="132">
        <v>0</v>
      </c>
      <c r="R294" s="132">
        <v>0</v>
      </c>
      <c r="S294" s="132">
        <v>0</v>
      </c>
      <c r="T294" s="132">
        <v>0</v>
      </c>
      <c r="U294" s="132">
        <v>0</v>
      </c>
      <c r="V294" s="132">
        <v>0</v>
      </c>
      <c r="W294" s="132">
        <f t="shared" si="259"/>
        <v>6548810</v>
      </c>
      <c r="X294" s="132">
        <f t="shared" si="260"/>
        <v>6548810</v>
      </c>
      <c r="Y294" s="132">
        <f t="shared" si="261"/>
        <v>1061404</v>
      </c>
      <c r="Z294" s="102" t="s">
        <v>1247</v>
      </c>
    </row>
    <row r="295" spans="1:26" s="69" customFormat="1" ht="23.25" customHeight="1">
      <c r="A295" s="101">
        <v>33125</v>
      </c>
      <c r="B295" s="102" t="s">
        <v>128</v>
      </c>
      <c r="C295" s="151">
        <v>40021561</v>
      </c>
      <c r="D295" s="152" t="s">
        <v>34</v>
      </c>
      <c r="E295" s="176" t="s">
        <v>66</v>
      </c>
      <c r="F295" s="104" t="s">
        <v>1683</v>
      </c>
      <c r="G295" s="851">
        <v>2020</v>
      </c>
      <c r="H295" s="153" t="s">
        <v>1689</v>
      </c>
      <c r="I295" s="154">
        <v>35000000</v>
      </c>
      <c r="J295" s="106">
        <v>0</v>
      </c>
      <c r="K295" s="132">
        <v>0</v>
      </c>
      <c r="L295" s="132">
        <v>0</v>
      </c>
      <c r="M295" s="132">
        <v>0</v>
      </c>
      <c r="N295" s="132">
        <v>0</v>
      </c>
      <c r="O295" s="132">
        <v>0</v>
      </c>
      <c r="P295" s="132">
        <v>0</v>
      </c>
      <c r="Q295" s="132">
        <v>0</v>
      </c>
      <c r="R295" s="132">
        <v>0</v>
      </c>
      <c r="S295" s="132">
        <v>0</v>
      </c>
      <c r="T295" s="132">
        <v>0</v>
      </c>
      <c r="U295" s="132">
        <v>0</v>
      </c>
      <c r="V295" s="132">
        <v>0</v>
      </c>
      <c r="W295" s="132">
        <f t="shared" si="259"/>
        <v>0</v>
      </c>
      <c r="X295" s="132">
        <f t="shared" si="260"/>
        <v>0</v>
      </c>
      <c r="Y295" s="132">
        <f t="shared" si="261"/>
        <v>35000000</v>
      </c>
      <c r="Z295" s="102" t="s">
        <v>1665</v>
      </c>
    </row>
    <row r="296" spans="1:26" s="69" customFormat="1" ht="23.25" customHeight="1">
      <c r="A296" s="101">
        <v>33125</v>
      </c>
      <c r="B296" s="102" t="s">
        <v>128</v>
      </c>
      <c r="C296" s="151">
        <v>40021566</v>
      </c>
      <c r="D296" s="152" t="s">
        <v>34</v>
      </c>
      <c r="E296" s="176" t="s">
        <v>66</v>
      </c>
      <c r="F296" s="104" t="s">
        <v>1683</v>
      </c>
      <c r="G296" s="851">
        <v>2020</v>
      </c>
      <c r="H296" s="153" t="s">
        <v>1691</v>
      </c>
      <c r="I296" s="154">
        <v>35000000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0</v>
      </c>
      <c r="P296" s="106">
        <v>0</v>
      </c>
      <c r="Q296" s="132">
        <v>0</v>
      </c>
      <c r="R296" s="106">
        <v>0</v>
      </c>
      <c r="S296" s="106">
        <v>0</v>
      </c>
      <c r="T296" s="106">
        <v>0</v>
      </c>
      <c r="U296" s="106">
        <v>0</v>
      </c>
      <c r="V296" s="106">
        <v>0</v>
      </c>
      <c r="W296" s="132">
        <f t="shared" ref="W296" si="262">SUBTOTAL(9,K296:V296)</f>
        <v>0</v>
      </c>
      <c r="X296" s="132">
        <f t="shared" ref="X296" si="263">+V296+U296+T296+S296+R296+Q296+P296+O296+N296+M296+L296+K296</f>
        <v>0</v>
      </c>
      <c r="Y296" s="132">
        <f t="shared" ref="Y296" si="264">+I296-J296-X296</f>
        <v>35000000</v>
      </c>
      <c r="Z296" s="102" t="s">
        <v>1665</v>
      </c>
    </row>
    <row r="297" spans="1:26" s="69" customFormat="1" ht="23.25" customHeight="1">
      <c r="A297" s="101">
        <v>33125</v>
      </c>
      <c r="B297" s="102" t="s">
        <v>128</v>
      </c>
      <c r="C297" s="151">
        <v>40021567</v>
      </c>
      <c r="D297" s="152" t="s">
        <v>34</v>
      </c>
      <c r="E297" s="176" t="s">
        <v>66</v>
      </c>
      <c r="F297" s="104" t="s">
        <v>1683</v>
      </c>
      <c r="G297" s="851">
        <v>2020</v>
      </c>
      <c r="H297" s="153" t="s">
        <v>1690</v>
      </c>
      <c r="I297" s="154">
        <v>90000000</v>
      </c>
      <c r="J297" s="106">
        <v>0</v>
      </c>
      <c r="K297" s="132">
        <v>0</v>
      </c>
      <c r="L297" s="132">
        <v>0</v>
      </c>
      <c r="M297" s="132">
        <v>0</v>
      </c>
      <c r="N297" s="132">
        <v>0</v>
      </c>
      <c r="O297" s="132">
        <v>0</v>
      </c>
      <c r="P297" s="132">
        <v>0</v>
      </c>
      <c r="Q297" s="132">
        <v>0</v>
      </c>
      <c r="R297" s="132">
        <v>0</v>
      </c>
      <c r="S297" s="132">
        <v>0</v>
      </c>
      <c r="T297" s="132">
        <v>0</v>
      </c>
      <c r="U297" s="132">
        <v>0</v>
      </c>
      <c r="V297" s="132">
        <v>0</v>
      </c>
      <c r="W297" s="132">
        <f t="shared" ref="W297" si="265">SUBTOTAL(9,K297:V297)</f>
        <v>0</v>
      </c>
      <c r="X297" s="132">
        <f t="shared" ref="X297" si="266">+V297+U297+T297+S297+R297+Q297+P297+O297+N297+M297+L297+K297</f>
        <v>0</v>
      </c>
      <c r="Y297" s="132">
        <f t="shared" ref="Y297" si="267">+I297-J297-X297</f>
        <v>90000000</v>
      </c>
      <c r="Z297" s="102" t="s">
        <v>1665</v>
      </c>
    </row>
    <row r="298" spans="1:26" s="62" customFormat="1" ht="23.25" customHeight="1" outlineLevel="2">
      <c r="A298" s="125"/>
      <c r="B298" s="126"/>
      <c r="C298" s="127"/>
      <c r="D298" s="128"/>
      <c r="E298" s="128"/>
      <c r="F298" s="897"/>
      <c r="G298" s="886"/>
      <c r="H298" s="109" t="s">
        <v>187</v>
      </c>
      <c r="I298" s="129">
        <f>SUM(I292:I297)</f>
        <v>360000000</v>
      </c>
      <c r="J298" s="129">
        <f>SUM(J292:J297)</f>
        <v>183304094</v>
      </c>
      <c r="K298" s="129">
        <f t="shared" ref="K298:X298" si="268">SUM(K292:K297)</f>
        <v>0</v>
      </c>
      <c r="L298" s="129">
        <f t="shared" si="268"/>
        <v>0</v>
      </c>
      <c r="M298" s="129">
        <f t="shared" si="268"/>
        <v>0</v>
      </c>
      <c r="N298" s="129">
        <f t="shared" si="268"/>
        <v>13052903</v>
      </c>
      <c r="O298" s="129">
        <f t="shared" ref="O298:Q298" si="269">SUM(O292:O297)</f>
        <v>0</v>
      </c>
      <c r="P298" s="129">
        <f t="shared" si="269"/>
        <v>0</v>
      </c>
      <c r="Q298" s="129">
        <f t="shared" si="269"/>
        <v>0</v>
      </c>
      <c r="R298" s="129">
        <f t="shared" si="268"/>
        <v>0</v>
      </c>
      <c r="S298" s="129">
        <f t="shared" si="268"/>
        <v>0</v>
      </c>
      <c r="T298" s="129">
        <f t="shared" si="268"/>
        <v>0</v>
      </c>
      <c r="U298" s="129">
        <f t="shared" si="268"/>
        <v>0</v>
      </c>
      <c r="V298" s="129">
        <f t="shared" si="268"/>
        <v>0</v>
      </c>
      <c r="W298" s="129">
        <f t="shared" si="268"/>
        <v>13052903</v>
      </c>
      <c r="X298" s="129">
        <f t="shared" si="268"/>
        <v>13052903</v>
      </c>
      <c r="Y298" s="129">
        <f>SUM(Y292:Y297)</f>
        <v>163643003</v>
      </c>
      <c r="Z298" s="137"/>
    </row>
    <row r="299" spans="1:26" s="59" customFormat="1" ht="15" outlineLevel="1">
      <c r="A299" s="111"/>
      <c r="B299" s="112"/>
      <c r="C299" s="90"/>
      <c r="D299" s="113"/>
      <c r="E299" s="114"/>
      <c r="F299" s="113"/>
      <c r="G299" s="885"/>
      <c r="H299" s="115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35"/>
    </row>
    <row r="300" spans="1:26" s="59" customFormat="1" ht="23.25" outlineLevel="1">
      <c r="A300" s="111"/>
      <c r="B300" s="112"/>
      <c r="C300" s="90"/>
      <c r="D300" s="113"/>
      <c r="E300" s="114"/>
      <c r="F300" s="113"/>
      <c r="G300" s="885"/>
      <c r="H300" s="117" t="s">
        <v>910</v>
      </c>
      <c r="I300" s="118">
        <f>+I298</f>
        <v>360000000</v>
      </c>
      <c r="J300" s="118">
        <f t="shared" ref="J300:Y300" si="270">+J298</f>
        <v>183304094</v>
      </c>
      <c r="K300" s="118">
        <f t="shared" si="270"/>
        <v>0</v>
      </c>
      <c r="L300" s="118">
        <f t="shared" ref="L300:M300" si="271">+L298</f>
        <v>0</v>
      </c>
      <c r="M300" s="118">
        <f t="shared" si="271"/>
        <v>0</v>
      </c>
      <c r="N300" s="118">
        <v>13052903</v>
      </c>
      <c r="O300" s="118">
        <f t="shared" ref="O300:Q300" si="272">+O298</f>
        <v>0</v>
      </c>
      <c r="P300" s="118">
        <f t="shared" si="272"/>
        <v>0</v>
      </c>
      <c r="Q300" s="118">
        <f t="shared" si="272"/>
        <v>0</v>
      </c>
      <c r="R300" s="118">
        <f t="shared" si="270"/>
        <v>0</v>
      </c>
      <c r="S300" s="118">
        <f t="shared" si="270"/>
        <v>0</v>
      </c>
      <c r="T300" s="118">
        <f t="shared" si="270"/>
        <v>0</v>
      </c>
      <c r="U300" s="118">
        <f t="shared" si="270"/>
        <v>0</v>
      </c>
      <c r="V300" s="118">
        <f t="shared" si="270"/>
        <v>0</v>
      </c>
      <c r="W300" s="118">
        <f t="shared" si="270"/>
        <v>13052903</v>
      </c>
      <c r="X300" s="118">
        <f t="shared" si="270"/>
        <v>13052903</v>
      </c>
      <c r="Y300" s="118">
        <f t="shared" si="270"/>
        <v>163643003</v>
      </c>
      <c r="Z300" s="135"/>
    </row>
    <row r="301" spans="1:26" s="64" customFormat="1" ht="15" customHeight="1" outlineLevel="1">
      <c r="A301" s="88"/>
      <c r="B301" s="89"/>
      <c r="C301" s="90"/>
      <c r="D301" s="91"/>
      <c r="E301" s="92"/>
      <c r="F301" s="113"/>
      <c r="G301" s="883"/>
      <c r="H301" s="130"/>
      <c r="I301" s="94"/>
      <c r="J301" s="94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94"/>
      <c r="Z301" s="133"/>
    </row>
    <row r="302" spans="1:26" s="60" customFormat="1" ht="24.75" customHeight="1" outlineLevel="1">
      <c r="A302" s="140"/>
      <c r="B302" s="141"/>
      <c r="C302" s="142"/>
      <c r="D302" s="143"/>
      <c r="E302" s="144"/>
      <c r="F302" s="898"/>
      <c r="G302" s="887"/>
      <c r="H302" s="145" t="s">
        <v>934</v>
      </c>
      <c r="I302" s="146">
        <f>+I199+I208+I221+I235+I246+I256+I266+I277+I288+I300</f>
        <v>3545524894</v>
      </c>
      <c r="J302" s="146">
        <f>+J199+J208+J221+J235+J246+J256+J266+J277+J288+J300</f>
        <v>796036577</v>
      </c>
      <c r="K302" s="146">
        <f>+K199+K208+K221+K235+K246+K256+K266+K277+K288+K300</f>
        <v>0</v>
      </c>
      <c r="L302" s="146">
        <f>+L199+L208+L221+L235+L246+L256+L266+L277+L288+L300</f>
        <v>177963771</v>
      </c>
      <c r="M302" s="146">
        <f>+M199+M208+M221+M235+M246+M256+M266+M277+M288+M300</f>
        <v>162779166</v>
      </c>
      <c r="N302" s="146">
        <v>222515242</v>
      </c>
      <c r="O302" s="146">
        <f t="shared" ref="O302:Q302" si="273">+O199+O208+O221+O235+O246+O256+O266+O277+O288+O300</f>
        <v>51902701</v>
      </c>
      <c r="P302" s="146">
        <f t="shared" si="273"/>
        <v>303126420</v>
      </c>
      <c r="Q302" s="146">
        <f t="shared" si="273"/>
        <v>33285582</v>
      </c>
      <c r="R302" s="146">
        <f t="shared" ref="R302:Y302" si="274">+R199+R208+R221+R235+R246+R256+R266+R277+R288+R300</f>
        <v>0</v>
      </c>
      <c r="S302" s="146">
        <f t="shared" si="274"/>
        <v>0</v>
      </c>
      <c r="T302" s="146">
        <f t="shared" si="274"/>
        <v>0</v>
      </c>
      <c r="U302" s="146">
        <f t="shared" si="274"/>
        <v>0</v>
      </c>
      <c r="V302" s="146">
        <f t="shared" si="274"/>
        <v>0</v>
      </c>
      <c r="W302" s="146">
        <f t="shared" si="274"/>
        <v>951572882</v>
      </c>
      <c r="X302" s="146">
        <f t="shared" si="274"/>
        <v>951572882</v>
      </c>
      <c r="Y302" s="146">
        <f t="shared" si="274"/>
        <v>1797915435</v>
      </c>
      <c r="Z302" s="159"/>
    </row>
    <row r="303" spans="1:26" s="64" customFormat="1" ht="15" customHeight="1" outlineLevel="1">
      <c r="A303" s="88"/>
      <c r="B303" s="89"/>
      <c r="C303" s="90"/>
      <c r="D303" s="91"/>
      <c r="E303" s="92"/>
      <c r="F303" s="113"/>
      <c r="G303" s="883"/>
      <c r="H303" s="130"/>
      <c r="I303" s="94"/>
      <c r="J303" s="94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94"/>
      <c r="Z303" s="133"/>
    </row>
    <row r="304" spans="1:26" s="59" customFormat="1" ht="23.25" outlineLevel="1">
      <c r="A304" s="88"/>
      <c r="B304" s="89"/>
      <c r="C304" s="90"/>
      <c r="D304" s="91"/>
      <c r="E304" s="92"/>
      <c r="F304" s="113"/>
      <c r="G304" s="883"/>
      <c r="H304" s="93" t="s">
        <v>935</v>
      </c>
      <c r="I304" s="94"/>
      <c r="J304" s="94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94"/>
      <c r="Z304" s="133"/>
    </row>
    <row r="305" spans="1:26" s="66" customFormat="1" ht="23.25" customHeight="1" outlineLevel="1">
      <c r="A305" s="147"/>
      <c r="B305" s="89"/>
      <c r="C305" s="90"/>
      <c r="D305" s="91"/>
      <c r="E305" s="92"/>
      <c r="F305" s="113"/>
      <c r="G305" s="883"/>
      <c r="H305" s="99" t="s">
        <v>127</v>
      </c>
      <c r="I305" s="94"/>
      <c r="J305" s="94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94"/>
      <c r="Z305" s="162"/>
    </row>
    <row r="306" spans="1:26" s="69" customFormat="1" ht="23.25" customHeight="1">
      <c r="A306" s="101">
        <v>33125</v>
      </c>
      <c r="B306" s="102" t="s">
        <v>128</v>
      </c>
      <c r="C306" s="151">
        <v>40014887</v>
      </c>
      <c r="D306" s="152" t="s">
        <v>35</v>
      </c>
      <c r="E306" s="176" t="s">
        <v>68</v>
      </c>
      <c r="F306" s="122" t="s">
        <v>1256</v>
      </c>
      <c r="G306" s="851">
        <v>2019</v>
      </c>
      <c r="H306" s="153" t="s">
        <v>1389</v>
      </c>
      <c r="I306" s="154">
        <v>96699549</v>
      </c>
      <c r="J306" s="106">
        <v>22736497</v>
      </c>
      <c r="K306" s="132">
        <v>0</v>
      </c>
      <c r="L306" s="132">
        <v>0</v>
      </c>
      <c r="M306" s="132">
        <v>58504051</v>
      </c>
      <c r="N306" s="132">
        <v>12610419</v>
      </c>
      <c r="O306" s="132">
        <v>0</v>
      </c>
      <c r="P306" s="132">
        <v>0</v>
      </c>
      <c r="Q306" s="132">
        <v>0</v>
      </c>
      <c r="R306" s="132">
        <v>0</v>
      </c>
      <c r="S306" s="132">
        <v>0</v>
      </c>
      <c r="T306" s="132">
        <v>0</v>
      </c>
      <c r="U306" s="132">
        <v>0</v>
      </c>
      <c r="V306" s="132">
        <v>0</v>
      </c>
      <c r="W306" s="132">
        <f t="shared" ref="W306:W311" si="275">SUBTOTAL(9,K306:V306)</f>
        <v>71114470</v>
      </c>
      <c r="X306" s="132">
        <f t="shared" ref="X306:X311" si="276">+V306+U306+T306+S306+R306+Q306+P306+O306+N306+M306+L306+K306</f>
        <v>71114470</v>
      </c>
      <c r="Y306" s="132">
        <f t="shared" ref="Y306:Y311" si="277">+I306-J306-X306</f>
        <v>2848582</v>
      </c>
      <c r="Z306" s="102" t="s">
        <v>1261</v>
      </c>
    </row>
    <row r="307" spans="1:26" s="69" customFormat="1" ht="23.25" customHeight="1">
      <c r="A307" s="101">
        <v>33125</v>
      </c>
      <c r="B307" s="102" t="s">
        <v>128</v>
      </c>
      <c r="C307" s="151">
        <v>40014794</v>
      </c>
      <c r="D307" s="152" t="s">
        <v>35</v>
      </c>
      <c r="E307" s="176" t="s">
        <v>68</v>
      </c>
      <c r="F307" s="122" t="s">
        <v>1256</v>
      </c>
      <c r="G307" s="851">
        <v>2019</v>
      </c>
      <c r="H307" s="153" t="s">
        <v>1390</v>
      </c>
      <c r="I307" s="154">
        <v>75000000</v>
      </c>
      <c r="J307" s="106">
        <v>9752002</v>
      </c>
      <c r="K307" s="132">
        <v>0</v>
      </c>
      <c r="L307" s="132">
        <v>36821843</v>
      </c>
      <c r="M307" s="132">
        <v>0</v>
      </c>
      <c r="N307" s="132">
        <v>0</v>
      </c>
      <c r="O307" s="132">
        <v>28198630</v>
      </c>
      <c r="P307" s="132">
        <v>0</v>
      </c>
      <c r="Q307" s="132">
        <v>0</v>
      </c>
      <c r="R307" s="132">
        <v>0</v>
      </c>
      <c r="S307" s="132">
        <v>0</v>
      </c>
      <c r="T307" s="132">
        <v>0</v>
      </c>
      <c r="U307" s="132">
        <v>0</v>
      </c>
      <c r="V307" s="132">
        <v>0</v>
      </c>
      <c r="W307" s="132">
        <f t="shared" si="275"/>
        <v>65020473</v>
      </c>
      <c r="X307" s="132">
        <f t="shared" si="276"/>
        <v>65020473</v>
      </c>
      <c r="Y307" s="132">
        <f t="shared" si="277"/>
        <v>227525</v>
      </c>
      <c r="Z307" s="102" t="s">
        <v>1247</v>
      </c>
    </row>
    <row r="308" spans="1:26" s="69" customFormat="1" ht="23.25" customHeight="1">
      <c r="A308" s="101">
        <v>33125</v>
      </c>
      <c r="B308" s="102" t="s">
        <v>128</v>
      </c>
      <c r="C308" s="151">
        <v>40015316</v>
      </c>
      <c r="D308" s="152" t="s">
        <v>35</v>
      </c>
      <c r="E308" s="152" t="s">
        <v>68</v>
      </c>
      <c r="F308" s="122" t="s">
        <v>1256</v>
      </c>
      <c r="G308" s="851">
        <v>2019</v>
      </c>
      <c r="H308" s="153" t="s">
        <v>1391</v>
      </c>
      <c r="I308" s="154">
        <v>28300451</v>
      </c>
      <c r="J308" s="106">
        <v>7108465</v>
      </c>
      <c r="K308" s="132">
        <v>0</v>
      </c>
      <c r="L308" s="132">
        <v>13980935</v>
      </c>
      <c r="M308" s="132">
        <v>0</v>
      </c>
      <c r="N308" s="132">
        <v>0</v>
      </c>
      <c r="O308" s="132">
        <v>6907433</v>
      </c>
      <c r="P308" s="132">
        <v>0</v>
      </c>
      <c r="Q308" s="132">
        <v>0</v>
      </c>
      <c r="R308" s="132">
        <v>0</v>
      </c>
      <c r="S308" s="132">
        <v>0</v>
      </c>
      <c r="T308" s="132">
        <v>0</v>
      </c>
      <c r="U308" s="132">
        <v>0</v>
      </c>
      <c r="V308" s="132">
        <v>0</v>
      </c>
      <c r="W308" s="132">
        <f t="shared" si="275"/>
        <v>20888368</v>
      </c>
      <c r="X308" s="132">
        <f t="shared" si="276"/>
        <v>20888368</v>
      </c>
      <c r="Y308" s="132">
        <f t="shared" si="277"/>
        <v>303618</v>
      </c>
      <c r="Z308" s="102" t="s">
        <v>1247</v>
      </c>
    </row>
    <row r="309" spans="1:26" s="69" customFormat="1" ht="23.25" customHeight="1">
      <c r="A309" s="101">
        <v>33125</v>
      </c>
      <c r="B309" s="102" t="s">
        <v>196</v>
      </c>
      <c r="C309" s="151">
        <v>40022582</v>
      </c>
      <c r="D309" s="152" t="s">
        <v>35</v>
      </c>
      <c r="E309" s="152" t="s">
        <v>68</v>
      </c>
      <c r="F309" s="122" t="s">
        <v>1582</v>
      </c>
      <c r="G309" s="851">
        <v>2020</v>
      </c>
      <c r="H309" s="871" t="s">
        <v>1583</v>
      </c>
      <c r="I309" s="872">
        <v>80000000</v>
      </c>
      <c r="J309" s="873">
        <v>0</v>
      </c>
      <c r="K309" s="874">
        <v>0</v>
      </c>
      <c r="L309" s="874">
        <v>0</v>
      </c>
      <c r="M309" s="874">
        <v>0</v>
      </c>
      <c r="N309" s="874">
        <v>0</v>
      </c>
      <c r="O309" s="874">
        <v>0</v>
      </c>
      <c r="P309" s="132">
        <v>0</v>
      </c>
      <c r="Q309" s="132">
        <v>0</v>
      </c>
      <c r="R309" s="874">
        <v>0</v>
      </c>
      <c r="S309" s="874">
        <v>0</v>
      </c>
      <c r="T309" s="874">
        <v>0</v>
      </c>
      <c r="U309" s="874">
        <v>0</v>
      </c>
      <c r="V309" s="874">
        <v>0</v>
      </c>
      <c r="W309" s="132">
        <f t="shared" si="275"/>
        <v>0</v>
      </c>
      <c r="X309" s="132">
        <f t="shared" si="276"/>
        <v>0</v>
      </c>
      <c r="Y309" s="132">
        <f t="shared" si="277"/>
        <v>80000000</v>
      </c>
      <c r="Z309" s="875" t="s">
        <v>1255</v>
      </c>
    </row>
    <row r="310" spans="1:26" s="69" customFormat="1" ht="23.25" customHeight="1">
      <c r="A310" s="101">
        <v>33125</v>
      </c>
      <c r="B310" s="102" t="s">
        <v>196</v>
      </c>
      <c r="C310" s="151">
        <v>40022619</v>
      </c>
      <c r="D310" s="152" t="s">
        <v>35</v>
      </c>
      <c r="E310" s="152" t="s">
        <v>68</v>
      </c>
      <c r="F310" s="122" t="s">
        <v>1658</v>
      </c>
      <c r="G310" s="851">
        <v>2020</v>
      </c>
      <c r="H310" s="871" t="s">
        <v>1675</v>
      </c>
      <c r="I310" s="872">
        <v>30000000</v>
      </c>
      <c r="J310" s="873">
        <v>0</v>
      </c>
      <c r="K310" s="873">
        <v>0</v>
      </c>
      <c r="L310" s="873">
        <v>0</v>
      </c>
      <c r="M310" s="873">
        <v>0</v>
      </c>
      <c r="N310" s="873">
        <v>0</v>
      </c>
      <c r="O310" s="873">
        <v>0</v>
      </c>
      <c r="P310" s="873">
        <v>0</v>
      </c>
      <c r="Q310" s="132">
        <v>0</v>
      </c>
      <c r="R310" s="873">
        <v>0</v>
      </c>
      <c r="S310" s="873">
        <v>0</v>
      </c>
      <c r="T310" s="873">
        <v>0</v>
      </c>
      <c r="U310" s="873">
        <v>0</v>
      </c>
      <c r="V310" s="873">
        <v>0</v>
      </c>
      <c r="W310" s="132">
        <f t="shared" ref="W310" si="278">SUBTOTAL(9,K310:V310)</f>
        <v>0</v>
      </c>
      <c r="X310" s="132">
        <f t="shared" ref="X310" si="279">+V310+U310+T310+S310+R310+Q310+P310+O310+N310+M310+L310+K310</f>
        <v>0</v>
      </c>
      <c r="Y310" s="132">
        <f t="shared" ref="Y310" si="280">+I310-J310-X310</f>
        <v>30000000</v>
      </c>
      <c r="Z310" s="875" t="s">
        <v>1255</v>
      </c>
    </row>
    <row r="311" spans="1:26" s="69" customFormat="1" ht="23.25" customHeight="1">
      <c r="A311" s="101">
        <v>33125</v>
      </c>
      <c r="B311" s="102" t="s">
        <v>196</v>
      </c>
      <c r="C311" s="151">
        <v>40022583</v>
      </c>
      <c r="D311" s="152" t="s">
        <v>35</v>
      </c>
      <c r="E311" s="152" t="s">
        <v>68</v>
      </c>
      <c r="F311" s="122" t="s">
        <v>1582</v>
      </c>
      <c r="G311" s="851">
        <v>2020</v>
      </c>
      <c r="H311" s="871" t="s">
        <v>1584</v>
      </c>
      <c r="I311" s="872">
        <v>90000000</v>
      </c>
      <c r="J311" s="873">
        <v>0</v>
      </c>
      <c r="K311" s="874">
        <v>0</v>
      </c>
      <c r="L311" s="874">
        <v>0</v>
      </c>
      <c r="M311" s="874">
        <v>0</v>
      </c>
      <c r="N311" s="874">
        <v>0</v>
      </c>
      <c r="O311" s="874">
        <v>0</v>
      </c>
      <c r="P311" s="132">
        <v>0</v>
      </c>
      <c r="Q311" s="132">
        <v>0</v>
      </c>
      <c r="R311" s="874">
        <v>0</v>
      </c>
      <c r="S311" s="874">
        <v>0</v>
      </c>
      <c r="T311" s="874">
        <v>0</v>
      </c>
      <c r="U311" s="874">
        <v>0</v>
      </c>
      <c r="V311" s="874">
        <v>0</v>
      </c>
      <c r="W311" s="132">
        <f t="shared" si="275"/>
        <v>0</v>
      </c>
      <c r="X311" s="132">
        <f t="shared" si="276"/>
        <v>0</v>
      </c>
      <c r="Y311" s="132">
        <f t="shared" si="277"/>
        <v>90000000</v>
      </c>
      <c r="Z311" s="875" t="s">
        <v>1255</v>
      </c>
    </row>
    <row r="312" spans="1:26" s="62" customFormat="1" ht="23.25" customHeight="1" outlineLevel="2">
      <c r="A312" s="125"/>
      <c r="B312" s="126"/>
      <c r="C312" s="127"/>
      <c r="D312" s="128"/>
      <c r="E312" s="128"/>
      <c r="F312" s="897"/>
      <c r="G312" s="886"/>
      <c r="H312" s="109" t="s">
        <v>187</v>
      </c>
      <c r="I312" s="129">
        <f>SUM(I306:I311)</f>
        <v>400000000</v>
      </c>
      <c r="J312" s="129">
        <f>SUM(J306:J311)</f>
        <v>39596964</v>
      </c>
      <c r="K312" s="129">
        <f t="shared" ref="K312:Y312" si="281">SUM(K306:K311)</f>
        <v>0</v>
      </c>
      <c r="L312" s="129">
        <f t="shared" si="281"/>
        <v>50802778</v>
      </c>
      <c r="M312" s="129">
        <f t="shared" si="281"/>
        <v>58504051</v>
      </c>
      <c r="N312" s="129">
        <f t="shared" si="281"/>
        <v>12610419</v>
      </c>
      <c r="O312" s="129">
        <f t="shared" ref="O312:Q312" si="282">SUM(O306:O311)</f>
        <v>35106063</v>
      </c>
      <c r="P312" s="129">
        <f t="shared" si="282"/>
        <v>0</v>
      </c>
      <c r="Q312" s="129">
        <f t="shared" si="282"/>
        <v>0</v>
      </c>
      <c r="R312" s="129">
        <f t="shared" si="281"/>
        <v>0</v>
      </c>
      <c r="S312" s="129">
        <f t="shared" si="281"/>
        <v>0</v>
      </c>
      <c r="T312" s="129">
        <f t="shared" si="281"/>
        <v>0</v>
      </c>
      <c r="U312" s="129">
        <f>SUM(U306:U311)</f>
        <v>0</v>
      </c>
      <c r="V312" s="129">
        <f t="shared" si="281"/>
        <v>0</v>
      </c>
      <c r="W312" s="129">
        <f t="shared" si="281"/>
        <v>157023311</v>
      </c>
      <c r="X312" s="129">
        <f>SUM(X306:X311)</f>
        <v>157023311</v>
      </c>
      <c r="Y312" s="129">
        <f t="shared" si="281"/>
        <v>203379725</v>
      </c>
      <c r="Z312" s="137"/>
    </row>
    <row r="313" spans="1:26" s="59" customFormat="1" ht="15" outlineLevel="1">
      <c r="A313" s="111"/>
      <c r="B313" s="112"/>
      <c r="C313" s="90"/>
      <c r="D313" s="113"/>
      <c r="E313" s="114"/>
      <c r="F313" s="113"/>
      <c r="G313" s="885"/>
      <c r="H313" s="115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35"/>
    </row>
    <row r="314" spans="1:26" s="59" customFormat="1" ht="23.25" outlineLevel="1">
      <c r="A314" s="111"/>
      <c r="B314" s="112"/>
      <c r="C314" s="90"/>
      <c r="D314" s="113"/>
      <c r="E314" s="114"/>
      <c r="F314" s="113"/>
      <c r="G314" s="885"/>
      <c r="H314" s="117" t="s">
        <v>951</v>
      </c>
      <c r="I314" s="118">
        <f>+I312</f>
        <v>400000000</v>
      </c>
      <c r="J314" s="118">
        <f t="shared" ref="J314:Y314" si="283">+J312</f>
        <v>39596964</v>
      </c>
      <c r="K314" s="118">
        <f t="shared" si="283"/>
        <v>0</v>
      </c>
      <c r="L314" s="118">
        <f t="shared" ref="L314:M314" si="284">+L312</f>
        <v>50802778</v>
      </c>
      <c r="M314" s="118">
        <f t="shared" si="284"/>
        <v>58504051</v>
      </c>
      <c r="N314" s="118">
        <v>12610419</v>
      </c>
      <c r="O314" s="118">
        <f t="shared" ref="O314:Q314" si="285">+O312</f>
        <v>35106063</v>
      </c>
      <c r="P314" s="118">
        <f t="shared" si="285"/>
        <v>0</v>
      </c>
      <c r="Q314" s="118">
        <f t="shared" si="285"/>
        <v>0</v>
      </c>
      <c r="R314" s="118">
        <f t="shared" si="283"/>
        <v>0</v>
      </c>
      <c r="S314" s="118">
        <f t="shared" si="283"/>
        <v>0</v>
      </c>
      <c r="T314" s="118">
        <f t="shared" si="283"/>
        <v>0</v>
      </c>
      <c r="U314" s="118">
        <f t="shared" si="283"/>
        <v>0</v>
      </c>
      <c r="V314" s="118">
        <f t="shared" si="283"/>
        <v>0</v>
      </c>
      <c r="W314" s="118">
        <f t="shared" si="283"/>
        <v>157023311</v>
      </c>
      <c r="X314" s="118">
        <f t="shared" si="283"/>
        <v>157023311</v>
      </c>
      <c r="Y314" s="118">
        <f t="shared" si="283"/>
        <v>203379725</v>
      </c>
      <c r="Z314" s="135"/>
    </row>
    <row r="315" spans="1:26" s="63" customFormat="1" ht="15" customHeight="1" outlineLevel="1">
      <c r="A315" s="88"/>
      <c r="B315" s="89"/>
      <c r="C315" s="90"/>
      <c r="D315" s="91"/>
      <c r="E315" s="92"/>
      <c r="F315" s="113"/>
      <c r="G315" s="883"/>
      <c r="H315" s="119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35"/>
    </row>
    <row r="316" spans="1:26" s="59" customFormat="1" ht="23.25" outlineLevel="1">
      <c r="A316" s="88"/>
      <c r="B316" s="89"/>
      <c r="C316" s="90"/>
      <c r="D316" s="91"/>
      <c r="E316" s="92"/>
      <c r="F316" s="113"/>
      <c r="G316" s="883"/>
      <c r="H316" s="93" t="s">
        <v>952</v>
      </c>
      <c r="I316" s="94"/>
      <c r="J316" s="94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94"/>
      <c r="Z316" s="133"/>
    </row>
    <row r="317" spans="1:26" s="66" customFormat="1" ht="23.25" customHeight="1" outlineLevel="1">
      <c r="A317" s="147"/>
      <c r="B317" s="89"/>
      <c r="C317" s="90"/>
      <c r="D317" s="91"/>
      <c r="E317" s="92"/>
      <c r="F317" s="113"/>
      <c r="G317" s="883"/>
      <c r="H317" s="99" t="s">
        <v>127</v>
      </c>
      <c r="I317" s="94"/>
      <c r="J317" s="94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94"/>
      <c r="Z317" s="162"/>
    </row>
    <row r="318" spans="1:26" s="69" customFormat="1" ht="23.25" customHeight="1">
      <c r="A318" s="101">
        <v>33125</v>
      </c>
      <c r="B318" s="102" t="s">
        <v>128</v>
      </c>
      <c r="C318" s="195">
        <v>40011491</v>
      </c>
      <c r="D318" s="152" t="s">
        <v>35</v>
      </c>
      <c r="E318" s="152" t="s">
        <v>69</v>
      </c>
      <c r="F318" s="122" t="s">
        <v>1256</v>
      </c>
      <c r="G318" s="851">
        <v>2019</v>
      </c>
      <c r="H318" s="156" t="s">
        <v>1393</v>
      </c>
      <c r="I318" s="154">
        <v>61000000</v>
      </c>
      <c r="J318" s="106">
        <v>0</v>
      </c>
      <c r="K318" s="132">
        <v>0</v>
      </c>
      <c r="L318" s="132">
        <v>0</v>
      </c>
      <c r="M318" s="132">
        <v>24465043</v>
      </c>
      <c r="N318" s="132">
        <v>29074441</v>
      </c>
      <c r="O318" s="132">
        <v>0</v>
      </c>
      <c r="P318" s="132">
        <v>7460516</v>
      </c>
      <c r="Q318" s="132">
        <v>0</v>
      </c>
      <c r="R318" s="132">
        <v>0</v>
      </c>
      <c r="S318" s="132">
        <v>0</v>
      </c>
      <c r="T318" s="132">
        <v>0</v>
      </c>
      <c r="U318" s="132">
        <v>0</v>
      </c>
      <c r="V318" s="132">
        <v>0</v>
      </c>
      <c r="W318" s="132">
        <f t="shared" ref="W318:W322" si="286">SUBTOTAL(9,K318:V318)</f>
        <v>61000000</v>
      </c>
      <c r="X318" s="132">
        <f t="shared" ref="X318:X322" si="287">+V318+U318+T318+S318+R318+Q318+P318+O318+N318+M318+L318+K318</f>
        <v>61000000</v>
      </c>
      <c r="Y318" s="132">
        <f t="shared" ref="Y318:Y322" si="288">+I318-J318-X318</f>
        <v>0</v>
      </c>
      <c r="Z318" s="102" t="s">
        <v>1247</v>
      </c>
    </row>
    <row r="319" spans="1:26" s="69" customFormat="1" ht="23.25" customHeight="1">
      <c r="A319" s="101">
        <v>33125</v>
      </c>
      <c r="B319" s="102" t="s">
        <v>128</v>
      </c>
      <c r="C319" s="195">
        <v>40007200</v>
      </c>
      <c r="D319" s="152" t="s">
        <v>35</v>
      </c>
      <c r="E319" s="152" t="s">
        <v>69</v>
      </c>
      <c r="F319" s="104" t="s">
        <v>1394</v>
      </c>
      <c r="G319" s="890">
        <v>2019</v>
      </c>
      <c r="H319" s="156" t="s">
        <v>1395</v>
      </c>
      <c r="I319" s="154">
        <v>94000000</v>
      </c>
      <c r="J319" s="106">
        <v>0</v>
      </c>
      <c r="K319" s="106">
        <v>0</v>
      </c>
      <c r="L319" s="132">
        <v>0</v>
      </c>
      <c r="M319" s="132">
        <v>0</v>
      </c>
      <c r="N319" s="132">
        <v>0</v>
      </c>
      <c r="O319" s="106">
        <v>0</v>
      </c>
      <c r="P319" s="132">
        <v>0</v>
      </c>
      <c r="Q319" s="132">
        <v>0</v>
      </c>
      <c r="R319" s="106">
        <v>0</v>
      </c>
      <c r="S319" s="106">
        <v>0</v>
      </c>
      <c r="T319" s="106">
        <v>0</v>
      </c>
      <c r="U319" s="106">
        <v>0</v>
      </c>
      <c r="V319" s="106">
        <v>0</v>
      </c>
      <c r="W319" s="132">
        <f t="shared" ref="W319" si="289">SUBTOTAL(9,K319:V319)</f>
        <v>0</v>
      </c>
      <c r="X319" s="132">
        <f t="shared" si="287"/>
        <v>0</v>
      </c>
      <c r="Y319" s="132">
        <f t="shared" ref="Y319" si="290">+I319-J319-X319</f>
        <v>94000000</v>
      </c>
      <c r="Z319" s="102" t="s">
        <v>1247</v>
      </c>
    </row>
    <row r="320" spans="1:26" s="69" customFormat="1" ht="23.25" customHeight="1">
      <c r="A320" s="101">
        <v>33125</v>
      </c>
      <c r="B320" s="102" t="s">
        <v>128</v>
      </c>
      <c r="C320" s="195">
        <v>40015386</v>
      </c>
      <c r="D320" s="152" t="s">
        <v>35</v>
      </c>
      <c r="E320" s="176" t="s">
        <v>69</v>
      </c>
      <c r="F320" s="104" t="s">
        <v>1245</v>
      </c>
      <c r="G320" s="851">
        <v>2019</v>
      </c>
      <c r="H320" s="156" t="s">
        <v>1396</v>
      </c>
      <c r="I320" s="154">
        <v>96000000</v>
      </c>
      <c r="J320" s="106">
        <v>68121346</v>
      </c>
      <c r="K320" s="132">
        <v>0</v>
      </c>
      <c r="L320" s="132">
        <v>0</v>
      </c>
      <c r="M320" s="132">
        <v>27878654</v>
      </c>
      <c r="N320" s="132">
        <v>0</v>
      </c>
      <c r="O320" s="132">
        <v>0</v>
      </c>
      <c r="P320" s="132">
        <v>0</v>
      </c>
      <c r="Q320" s="132">
        <v>0</v>
      </c>
      <c r="R320" s="132">
        <v>0</v>
      </c>
      <c r="S320" s="132">
        <v>0</v>
      </c>
      <c r="T320" s="132">
        <v>0</v>
      </c>
      <c r="U320" s="132">
        <v>0</v>
      </c>
      <c r="V320" s="132">
        <v>0</v>
      </c>
      <c r="W320" s="132">
        <f t="shared" si="286"/>
        <v>27878654</v>
      </c>
      <c r="X320" s="132">
        <f t="shared" si="287"/>
        <v>27878654</v>
      </c>
      <c r="Y320" s="132">
        <f t="shared" si="288"/>
        <v>0</v>
      </c>
      <c r="Z320" s="102" t="s">
        <v>1247</v>
      </c>
    </row>
    <row r="321" spans="1:26" s="69" customFormat="1" ht="23.25" customHeight="1">
      <c r="A321" s="101">
        <v>33125</v>
      </c>
      <c r="B321" s="102" t="s">
        <v>128</v>
      </c>
      <c r="C321" s="195">
        <v>40015648</v>
      </c>
      <c r="D321" s="152" t="s">
        <v>35</v>
      </c>
      <c r="E321" s="152" t="s">
        <v>69</v>
      </c>
      <c r="F321" s="104" t="s">
        <v>1271</v>
      </c>
      <c r="G321" s="851">
        <v>2019</v>
      </c>
      <c r="H321" s="156" t="s">
        <v>1397</v>
      </c>
      <c r="I321" s="154">
        <v>43000000</v>
      </c>
      <c r="J321" s="106">
        <v>0</v>
      </c>
      <c r="K321" s="132">
        <v>0</v>
      </c>
      <c r="L321" s="132">
        <v>0</v>
      </c>
      <c r="M321" s="132">
        <v>0</v>
      </c>
      <c r="N321" s="132">
        <v>0</v>
      </c>
      <c r="O321" s="132">
        <v>0</v>
      </c>
      <c r="P321" s="132">
        <v>0</v>
      </c>
      <c r="Q321" s="132">
        <v>0</v>
      </c>
      <c r="R321" s="132">
        <v>0</v>
      </c>
      <c r="S321" s="132">
        <v>0</v>
      </c>
      <c r="T321" s="132">
        <v>0</v>
      </c>
      <c r="U321" s="132">
        <v>0</v>
      </c>
      <c r="V321" s="132">
        <v>0</v>
      </c>
      <c r="W321" s="132">
        <f t="shared" si="286"/>
        <v>0</v>
      </c>
      <c r="X321" s="132">
        <f t="shared" si="287"/>
        <v>0</v>
      </c>
      <c r="Y321" s="132">
        <f t="shared" si="288"/>
        <v>43000000</v>
      </c>
      <c r="Z321" s="102" t="s">
        <v>1247</v>
      </c>
    </row>
    <row r="322" spans="1:26" s="69" customFormat="1" ht="23.25" customHeight="1">
      <c r="A322" s="101">
        <v>33125</v>
      </c>
      <c r="B322" s="102" t="s">
        <v>128</v>
      </c>
      <c r="C322" s="120">
        <v>40007200</v>
      </c>
      <c r="D322" s="152" t="s">
        <v>35</v>
      </c>
      <c r="E322" s="152" t="s">
        <v>69</v>
      </c>
      <c r="F322" s="104" t="s">
        <v>1286</v>
      </c>
      <c r="G322" s="890"/>
      <c r="H322" s="153" t="s">
        <v>1398</v>
      </c>
      <c r="I322" s="154">
        <v>94000000</v>
      </c>
      <c r="J322" s="106">
        <v>0</v>
      </c>
      <c r="K322" s="132">
        <v>0</v>
      </c>
      <c r="L322" s="132">
        <v>0</v>
      </c>
      <c r="M322" s="132">
        <v>0</v>
      </c>
      <c r="N322" s="132">
        <v>0</v>
      </c>
      <c r="O322" s="132">
        <v>0</v>
      </c>
      <c r="P322" s="132">
        <v>0</v>
      </c>
      <c r="Q322" s="132">
        <v>0</v>
      </c>
      <c r="R322" s="132">
        <v>0</v>
      </c>
      <c r="S322" s="132">
        <v>0</v>
      </c>
      <c r="T322" s="132">
        <v>0</v>
      </c>
      <c r="U322" s="132">
        <v>0</v>
      </c>
      <c r="V322" s="132">
        <v>0</v>
      </c>
      <c r="W322" s="132">
        <f t="shared" si="286"/>
        <v>0</v>
      </c>
      <c r="X322" s="132">
        <f t="shared" si="287"/>
        <v>0</v>
      </c>
      <c r="Y322" s="132">
        <f t="shared" si="288"/>
        <v>94000000</v>
      </c>
      <c r="Z322" s="198" t="s">
        <v>1399</v>
      </c>
    </row>
    <row r="323" spans="1:26" s="69" customFormat="1" ht="23.25" customHeight="1">
      <c r="A323" s="101">
        <v>33125</v>
      </c>
      <c r="B323" s="102" t="s">
        <v>128</v>
      </c>
      <c r="C323" s="195">
        <v>40021331</v>
      </c>
      <c r="D323" s="152" t="s">
        <v>35</v>
      </c>
      <c r="E323" s="152" t="s">
        <v>69</v>
      </c>
      <c r="F323" s="104" t="s">
        <v>1658</v>
      </c>
      <c r="G323" s="851">
        <v>2020</v>
      </c>
      <c r="H323" s="156" t="s">
        <v>1681</v>
      </c>
      <c r="I323" s="154">
        <v>74999988</v>
      </c>
      <c r="J323" s="106">
        <v>0</v>
      </c>
      <c r="K323" s="132">
        <v>0</v>
      </c>
      <c r="L323" s="132">
        <v>0</v>
      </c>
      <c r="M323" s="132">
        <v>0</v>
      </c>
      <c r="N323" s="132">
        <v>0</v>
      </c>
      <c r="O323" s="132">
        <v>0</v>
      </c>
      <c r="P323" s="132">
        <v>0</v>
      </c>
      <c r="Q323" s="132">
        <v>0</v>
      </c>
      <c r="R323" s="132">
        <v>0</v>
      </c>
      <c r="S323" s="132">
        <v>0</v>
      </c>
      <c r="T323" s="132">
        <v>0</v>
      </c>
      <c r="U323" s="132">
        <v>0</v>
      </c>
      <c r="V323" s="132">
        <v>0</v>
      </c>
      <c r="W323" s="132">
        <f t="shared" ref="W323" si="291">SUBTOTAL(9,K323:V323)</f>
        <v>0</v>
      </c>
      <c r="X323" s="132">
        <f t="shared" ref="X323" si="292">+V323+U323+T323+S323+R323+Q323+P323+O323+N323+M323+L323+K323</f>
        <v>0</v>
      </c>
      <c r="Y323" s="132">
        <f t="shared" ref="Y323" si="293">+I323-J323-X323</f>
        <v>74999988</v>
      </c>
      <c r="Z323" s="102" t="s">
        <v>1255</v>
      </c>
    </row>
    <row r="324" spans="1:26" s="62" customFormat="1" ht="23.25" customHeight="1" outlineLevel="2">
      <c r="A324" s="125"/>
      <c r="B324" s="126"/>
      <c r="C324" s="127"/>
      <c r="D324" s="128"/>
      <c r="E324" s="128"/>
      <c r="F324" s="897"/>
      <c r="G324" s="886"/>
      <c r="H324" s="109" t="s">
        <v>187</v>
      </c>
      <c r="I324" s="129">
        <f>SUM(I318:I323)</f>
        <v>462999988</v>
      </c>
      <c r="J324" s="129">
        <f t="shared" ref="J324:Y324" si="294">SUM(J318:J323)</f>
        <v>68121346</v>
      </c>
      <c r="K324" s="129">
        <f t="shared" si="294"/>
        <v>0</v>
      </c>
      <c r="L324" s="129">
        <f t="shared" si="294"/>
        <v>0</v>
      </c>
      <c r="M324" s="129">
        <f t="shared" si="294"/>
        <v>52343697</v>
      </c>
      <c r="N324" s="129">
        <f t="shared" si="294"/>
        <v>29074441</v>
      </c>
      <c r="O324" s="129">
        <f t="shared" ref="O324:Q324" si="295">SUM(O318:O323)</f>
        <v>0</v>
      </c>
      <c r="P324" s="129">
        <f t="shared" si="295"/>
        <v>7460516</v>
      </c>
      <c r="Q324" s="129">
        <f t="shared" si="295"/>
        <v>0</v>
      </c>
      <c r="R324" s="129">
        <f t="shared" si="294"/>
        <v>0</v>
      </c>
      <c r="S324" s="129">
        <f t="shared" si="294"/>
        <v>0</v>
      </c>
      <c r="T324" s="129">
        <f t="shared" si="294"/>
        <v>0</v>
      </c>
      <c r="U324" s="129">
        <f t="shared" si="294"/>
        <v>0</v>
      </c>
      <c r="V324" s="129">
        <f t="shared" si="294"/>
        <v>0</v>
      </c>
      <c r="W324" s="129">
        <f t="shared" si="294"/>
        <v>88878654</v>
      </c>
      <c r="X324" s="129">
        <f t="shared" si="294"/>
        <v>88878654</v>
      </c>
      <c r="Y324" s="129">
        <f t="shared" si="294"/>
        <v>305999988</v>
      </c>
      <c r="Z324" s="137"/>
    </row>
    <row r="325" spans="1:26" s="59" customFormat="1" ht="15" outlineLevel="1">
      <c r="A325" s="111"/>
      <c r="B325" s="112"/>
      <c r="C325" s="90"/>
      <c r="D325" s="113"/>
      <c r="E325" s="114"/>
      <c r="F325" s="113"/>
      <c r="G325" s="885"/>
      <c r="H325" s="115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35"/>
    </row>
    <row r="326" spans="1:26" s="59" customFormat="1" ht="23.25" outlineLevel="1">
      <c r="A326" s="111"/>
      <c r="B326" s="112"/>
      <c r="C326" s="90"/>
      <c r="D326" s="113"/>
      <c r="E326" s="114"/>
      <c r="F326" s="113"/>
      <c r="G326" s="885"/>
      <c r="H326" s="117" t="s">
        <v>970</v>
      </c>
      <c r="I326" s="118">
        <f>+I324</f>
        <v>462999988</v>
      </c>
      <c r="J326" s="118">
        <f t="shared" ref="J326:Y326" si="296">+J324</f>
        <v>68121346</v>
      </c>
      <c r="K326" s="118">
        <f t="shared" si="296"/>
        <v>0</v>
      </c>
      <c r="L326" s="118">
        <f t="shared" ref="L326:M326" si="297">+L324</f>
        <v>0</v>
      </c>
      <c r="M326" s="118">
        <f t="shared" si="297"/>
        <v>52343697</v>
      </c>
      <c r="N326" s="118">
        <v>29074441</v>
      </c>
      <c r="O326" s="118">
        <f t="shared" ref="O326:Q326" si="298">+O324</f>
        <v>0</v>
      </c>
      <c r="P326" s="118">
        <f t="shared" si="298"/>
        <v>7460516</v>
      </c>
      <c r="Q326" s="118">
        <f t="shared" si="298"/>
        <v>0</v>
      </c>
      <c r="R326" s="118">
        <f t="shared" si="296"/>
        <v>0</v>
      </c>
      <c r="S326" s="118">
        <f t="shared" si="296"/>
        <v>0</v>
      </c>
      <c r="T326" s="118">
        <f t="shared" si="296"/>
        <v>0</v>
      </c>
      <c r="U326" s="118">
        <f t="shared" si="296"/>
        <v>0</v>
      </c>
      <c r="V326" s="118">
        <f t="shared" si="296"/>
        <v>0</v>
      </c>
      <c r="W326" s="118">
        <f t="shared" si="296"/>
        <v>88878654</v>
      </c>
      <c r="X326" s="118">
        <f t="shared" si="296"/>
        <v>88878654</v>
      </c>
      <c r="Y326" s="118">
        <f t="shared" si="296"/>
        <v>305999988</v>
      </c>
      <c r="Z326" s="135"/>
    </row>
    <row r="327" spans="1:26" s="64" customFormat="1" ht="15" customHeight="1" outlineLevel="1">
      <c r="A327" s="88"/>
      <c r="B327" s="89"/>
      <c r="C327" s="90"/>
      <c r="D327" s="91"/>
      <c r="E327" s="92"/>
      <c r="F327" s="113"/>
      <c r="G327" s="883"/>
      <c r="H327" s="130"/>
      <c r="I327" s="94"/>
      <c r="J327" s="94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94"/>
      <c r="Z327" s="133"/>
    </row>
    <row r="328" spans="1:26" s="59" customFormat="1" ht="23.25" outlineLevel="1">
      <c r="A328" s="88"/>
      <c r="B328" s="89"/>
      <c r="C328" s="90"/>
      <c r="D328" s="91"/>
      <c r="E328" s="92"/>
      <c r="F328" s="113"/>
      <c r="G328" s="883"/>
      <c r="H328" s="93" t="s">
        <v>971</v>
      </c>
      <c r="I328" s="94"/>
      <c r="J328" s="94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78"/>
      <c r="Y328" s="94"/>
      <c r="Z328" s="133"/>
    </row>
    <row r="329" spans="1:26" s="66" customFormat="1" ht="23.25" customHeight="1" outlineLevel="1">
      <c r="A329" s="147"/>
      <c r="B329" s="89"/>
      <c r="C329" s="90"/>
      <c r="D329" s="91"/>
      <c r="E329" s="92"/>
      <c r="F329" s="113"/>
      <c r="G329" s="883"/>
      <c r="H329" s="99" t="s">
        <v>127</v>
      </c>
      <c r="I329" s="94"/>
      <c r="J329" s="94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94"/>
      <c r="Z329" s="162"/>
    </row>
    <row r="330" spans="1:26" s="69" customFormat="1" ht="23.25" customHeight="1">
      <c r="A330" s="101">
        <v>33125</v>
      </c>
      <c r="B330" s="102" t="s">
        <v>128</v>
      </c>
      <c r="C330" s="151">
        <v>40014440</v>
      </c>
      <c r="D330" s="152" t="s">
        <v>35</v>
      </c>
      <c r="E330" s="104" t="s">
        <v>70</v>
      </c>
      <c r="F330" s="104" t="s">
        <v>1245</v>
      </c>
      <c r="G330" s="851">
        <v>2019</v>
      </c>
      <c r="H330" s="153" t="s">
        <v>1401</v>
      </c>
      <c r="I330" s="154">
        <v>96706000</v>
      </c>
      <c r="J330" s="106">
        <v>0</v>
      </c>
      <c r="K330" s="132">
        <v>0</v>
      </c>
      <c r="L330" s="132">
        <v>39240959</v>
      </c>
      <c r="M330" s="132">
        <v>0</v>
      </c>
      <c r="N330" s="132">
        <v>27816594</v>
      </c>
      <c r="O330" s="132">
        <v>0</v>
      </c>
      <c r="P330" s="132">
        <v>16044424</v>
      </c>
      <c r="Q330" s="132">
        <v>4685187</v>
      </c>
      <c r="R330" s="132">
        <v>0</v>
      </c>
      <c r="S330" s="132">
        <v>0</v>
      </c>
      <c r="T330" s="132">
        <v>0</v>
      </c>
      <c r="U330" s="132">
        <v>0</v>
      </c>
      <c r="V330" s="132">
        <v>0</v>
      </c>
      <c r="W330" s="132">
        <f t="shared" ref="W330:W331" si="299">SUBTOTAL(9,K330:V330)</f>
        <v>87787164</v>
      </c>
      <c r="X330" s="132">
        <f t="shared" ref="X330:X331" si="300">+V330+U330+T330+S330+R330+Q330+P330+O330+N330+M330+L330+K330</f>
        <v>87787164</v>
      </c>
      <c r="Y330" s="132">
        <f t="shared" ref="Y330:Y331" si="301">+I330-J330-X330</f>
        <v>8918836</v>
      </c>
      <c r="Z330" s="102" t="s">
        <v>1247</v>
      </c>
    </row>
    <row r="331" spans="1:26" s="69" customFormat="1" ht="23.25" customHeight="1">
      <c r="A331" s="101">
        <v>33125</v>
      </c>
      <c r="B331" s="102" t="s">
        <v>128</v>
      </c>
      <c r="C331" s="151">
        <v>40014441</v>
      </c>
      <c r="D331" s="152" t="s">
        <v>35</v>
      </c>
      <c r="E331" s="104" t="s">
        <v>70</v>
      </c>
      <c r="F331" s="104" t="s">
        <v>1245</v>
      </c>
      <c r="G331" s="851">
        <v>2019</v>
      </c>
      <c r="H331" s="153" t="s">
        <v>1402</v>
      </c>
      <c r="I331" s="154">
        <v>96706000</v>
      </c>
      <c r="J331" s="106">
        <v>0</v>
      </c>
      <c r="K331" s="132">
        <v>0</v>
      </c>
      <c r="L331" s="132">
        <v>14592483</v>
      </c>
      <c r="M331" s="132">
        <v>0</v>
      </c>
      <c r="N331" s="132">
        <v>41295508</v>
      </c>
      <c r="O331" s="132">
        <v>0</v>
      </c>
      <c r="P331" s="132">
        <v>17231784</v>
      </c>
      <c r="Q331" s="132">
        <v>0</v>
      </c>
      <c r="R331" s="132">
        <v>0</v>
      </c>
      <c r="S331" s="132">
        <v>0</v>
      </c>
      <c r="T331" s="132">
        <v>0</v>
      </c>
      <c r="U331" s="132">
        <v>0</v>
      </c>
      <c r="V331" s="132">
        <v>0</v>
      </c>
      <c r="W331" s="132">
        <f t="shared" si="299"/>
        <v>73119775</v>
      </c>
      <c r="X331" s="132">
        <f t="shared" si="300"/>
        <v>73119775</v>
      </c>
      <c r="Y331" s="132">
        <f t="shared" si="301"/>
        <v>23586225</v>
      </c>
      <c r="Z331" s="102" t="s">
        <v>1247</v>
      </c>
    </row>
    <row r="332" spans="1:26" s="69" customFormat="1" ht="23.25" customHeight="1">
      <c r="A332" s="101">
        <v>33125</v>
      </c>
      <c r="B332" s="102" t="s">
        <v>128</v>
      </c>
      <c r="C332" s="151">
        <v>40022735</v>
      </c>
      <c r="D332" s="152" t="s">
        <v>35</v>
      </c>
      <c r="E332" s="104" t="s">
        <v>70</v>
      </c>
      <c r="F332" s="104" t="s">
        <v>1683</v>
      </c>
      <c r="G332" s="851">
        <v>2020</v>
      </c>
      <c r="H332" s="153" t="s">
        <v>1694</v>
      </c>
      <c r="I332" s="154">
        <v>99346000</v>
      </c>
      <c r="J332" s="106">
        <v>0</v>
      </c>
      <c r="K332" s="132">
        <v>0</v>
      </c>
      <c r="L332" s="132">
        <v>0</v>
      </c>
      <c r="M332" s="132">
        <v>0</v>
      </c>
      <c r="N332" s="132">
        <v>0</v>
      </c>
      <c r="O332" s="132">
        <v>0</v>
      </c>
      <c r="P332" s="132">
        <v>0</v>
      </c>
      <c r="Q332" s="132">
        <v>0</v>
      </c>
      <c r="R332" s="132">
        <v>0</v>
      </c>
      <c r="S332" s="132">
        <v>0</v>
      </c>
      <c r="T332" s="132">
        <v>0</v>
      </c>
      <c r="U332" s="132">
        <v>0</v>
      </c>
      <c r="V332" s="132">
        <v>0</v>
      </c>
      <c r="W332" s="132">
        <f t="shared" ref="W332" si="302">SUBTOTAL(9,K332:V332)</f>
        <v>0</v>
      </c>
      <c r="X332" s="132">
        <f t="shared" ref="X332" si="303">+V332+U332+T332+S332+R332+Q332+P332+O332+N332+M332+L332+K332</f>
        <v>0</v>
      </c>
      <c r="Y332" s="132">
        <f t="shared" ref="Y332" si="304">+I332-J332-X332</f>
        <v>99346000</v>
      </c>
      <c r="Z332" s="102" t="s">
        <v>1665</v>
      </c>
    </row>
    <row r="333" spans="1:26" s="62" customFormat="1" ht="23.25" customHeight="1" outlineLevel="2">
      <c r="A333" s="125"/>
      <c r="B333" s="126"/>
      <c r="C333" s="127"/>
      <c r="D333" s="128"/>
      <c r="E333" s="128"/>
      <c r="F333" s="897"/>
      <c r="G333" s="886"/>
      <c r="H333" s="109" t="s">
        <v>187</v>
      </c>
      <c r="I333" s="129">
        <f>SUM(I330:I332)</f>
        <v>292758000</v>
      </c>
      <c r="J333" s="129">
        <f t="shared" ref="J333:Y333" si="305">SUM(J330:J332)</f>
        <v>0</v>
      </c>
      <c r="K333" s="129">
        <f t="shared" si="305"/>
        <v>0</v>
      </c>
      <c r="L333" s="129">
        <f t="shared" si="305"/>
        <v>53833442</v>
      </c>
      <c r="M333" s="129">
        <f t="shared" si="305"/>
        <v>0</v>
      </c>
      <c r="N333" s="129">
        <f t="shared" si="305"/>
        <v>69112102</v>
      </c>
      <c r="O333" s="129">
        <f t="shared" ref="O333:Q333" si="306">SUM(O330:O332)</f>
        <v>0</v>
      </c>
      <c r="P333" s="129">
        <f t="shared" si="306"/>
        <v>33276208</v>
      </c>
      <c r="Q333" s="129">
        <f t="shared" si="306"/>
        <v>4685187</v>
      </c>
      <c r="R333" s="129">
        <f t="shared" si="305"/>
        <v>0</v>
      </c>
      <c r="S333" s="129">
        <f t="shared" si="305"/>
        <v>0</v>
      </c>
      <c r="T333" s="129">
        <f t="shared" si="305"/>
        <v>0</v>
      </c>
      <c r="U333" s="129">
        <f t="shared" si="305"/>
        <v>0</v>
      </c>
      <c r="V333" s="129">
        <f t="shared" si="305"/>
        <v>0</v>
      </c>
      <c r="W333" s="129">
        <f t="shared" si="305"/>
        <v>160906939</v>
      </c>
      <c r="X333" s="129">
        <f t="shared" si="305"/>
        <v>160906939</v>
      </c>
      <c r="Y333" s="129">
        <f t="shared" si="305"/>
        <v>131851061</v>
      </c>
      <c r="Z333" s="137"/>
    </row>
    <row r="334" spans="1:26" s="59" customFormat="1" ht="15" outlineLevel="1">
      <c r="A334" s="111"/>
      <c r="B334" s="112"/>
      <c r="C334" s="90"/>
      <c r="D334" s="113"/>
      <c r="E334" s="114"/>
      <c r="F334" s="113"/>
      <c r="G334" s="885"/>
      <c r="H334" s="115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35"/>
    </row>
    <row r="335" spans="1:26" s="59" customFormat="1" ht="23.25" outlineLevel="1">
      <c r="A335" s="111"/>
      <c r="B335" s="112"/>
      <c r="C335" s="90"/>
      <c r="D335" s="113"/>
      <c r="E335" s="114"/>
      <c r="F335" s="113"/>
      <c r="G335" s="885"/>
      <c r="H335" s="117" t="s">
        <v>998</v>
      </c>
      <c r="I335" s="118">
        <f>+I333</f>
        <v>292758000</v>
      </c>
      <c r="J335" s="118">
        <f t="shared" ref="J335:Y335" si="307">+J333</f>
        <v>0</v>
      </c>
      <c r="K335" s="118">
        <f t="shared" si="307"/>
        <v>0</v>
      </c>
      <c r="L335" s="118">
        <f t="shared" ref="L335:M335" si="308">+L333</f>
        <v>53833442</v>
      </c>
      <c r="M335" s="118">
        <f t="shared" si="308"/>
        <v>0</v>
      </c>
      <c r="N335" s="118">
        <v>69112102</v>
      </c>
      <c r="O335" s="118">
        <f t="shared" ref="O335:Q335" si="309">+O333</f>
        <v>0</v>
      </c>
      <c r="P335" s="118">
        <f t="shared" si="309"/>
        <v>33276208</v>
      </c>
      <c r="Q335" s="118">
        <f t="shared" si="309"/>
        <v>4685187</v>
      </c>
      <c r="R335" s="118">
        <f t="shared" si="307"/>
        <v>0</v>
      </c>
      <c r="S335" s="118">
        <f t="shared" si="307"/>
        <v>0</v>
      </c>
      <c r="T335" s="118">
        <f t="shared" si="307"/>
        <v>0</v>
      </c>
      <c r="U335" s="118">
        <f t="shared" si="307"/>
        <v>0</v>
      </c>
      <c r="V335" s="118">
        <f t="shared" si="307"/>
        <v>0</v>
      </c>
      <c r="W335" s="118">
        <f t="shared" si="307"/>
        <v>160906939</v>
      </c>
      <c r="X335" s="118">
        <f t="shared" si="307"/>
        <v>160906939</v>
      </c>
      <c r="Y335" s="118">
        <f t="shared" si="307"/>
        <v>131851061</v>
      </c>
      <c r="Z335" s="135"/>
    </row>
    <row r="336" spans="1:26" s="64" customFormat="1" ht="15" customHeight="1" outlineLevel="1">
      <c r="A336" s="88"/>
      <c r="B336" s="89"/>
      <c r="C336" s="90"/>
      <c r="D336" s="91"/>
      <c r="E336" s="92"/>
      <c r="F336" s="113"/>
      <c r="G336" s="883"/>
      <c r="H336" s="130"/>
      <c r="I336" s="94"/>
      <c r="J336" s="94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94"/>
      <c r="Z336" s="133"/>
    </row>
    <row r="337" spans="1:26" s="59" customFormat="1" ht="23.25" outlineLevel="1">
      <c r="A337" s="88"/>
      <c r="B337" s="89"/>
      <c r="C337" s="90"/>
      <c r="D337" s="91"/>
      <c r="E337" s="92"/>
      <c r="F337" s="113"/>
      <c r="G337" s="883"/>
      <c r="H337" s="93" t="s">
        <v>999</v>
      </c>
      <c r="I337" s="94"/>
      <c r="J337" s="94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94"/>
      <c r="Z337" s="133"/>
    </row>
    <row r="338" spans="1:26" s="66" customFormat="1" ht="23.25" customHeight="1" outlineLevel="1">
      <c r="A338" s="147"/>
      <c r="B338" s="89"/>
      <c r="C338" s="90"/>
      <c r="D338" s="91"/>
      <c r="E338" s="92"/>
      <c r="F338" s="113"/>
      <c r="G338" s="883"/>
      <c r="H338" s="99" t="s">
        <v>127</v>
      </c>
      <c r="I338" s="94"/>
      <c r="J338" s="94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94"/>
      <c r="Z338" s="162"/>
    </row>
    <row r="339" spans="1:26" s="60" customFormat="1" ht="23.25" customHeight="1" outlineLevel="2">
      <c r="A339" s="101">
        <v>33125</v>
      </c>
      <c r="B339" s="102" t="s">
        <v>128</v>
      </c>
      <c r="C339" s="195">
        <v>40011524</v>
      </c>
      <c r="D339" s="104" t="s">
        <v>35</v>
      </c>
      <c r="E339" s="104" t="s">
        <v>35</v>
      </c>
      <c r="F339" s="122" t="s">
        <v>1256</v>
      </c>
      <c r="G339" s="851">
        <v>2019</v>
      </c>
      <c r="H339" s="156" t="s">
        <v>1404</v>
      </c>
      <c r="I339" s="106">
        <v>96706000</v>
      </c>
      <c r="J339" s="106">
        <v>45116613</v>
      </c>
      <c r="K339" s="132">
        <v>0</v>
      </c>
      <c r="L339" s="132">
        <v>0</v>
      </c>
      <c r="M339" s="132">
        <v>51589387</v>
      </c>
      <c r="N339" s="132">
        <v>0</v>
      </c>
      <c r="O339" s="132">
        <v>0</v>
      </c>
      <c r="P339" s="132">
        <v>0</v>
      </c>
      <c r="Q339" s="132">
        <v>0</v>
      </c>
      <c r="R339" s="132">
        <v>0</v>
      </c>
      <c r="S339" s="132">
        <v>0</v>
      </c>
      <c r="T339" s="132">
        <v>0</v>
      </c>
      <c r="U339" s="132">
        <v>0</v>
      </c>
      <c r="V339" s="132">
        <v>0</v>
      </c>
      <c r="W339" s="132">
        <f t="shared" ref="W339:W341" si="310">SUBTOTAL(9,K339:V339)</f>
        <v>51589387</v>
      </c>
      <c r="X339" s="132">
        <f t="shared" ref="X339:X341" si="311">+V339+U339+T339+S339+R339+Q339+P339+O339+N339+M339+L339+K339</f>
        <v>51589387</v>
      </c>
      <c r="Y339" s="132">
        <f t="shared" ref="Y339:Y341" si="312">+I339-J339-X339</f>
        <v>0</v>
      </c>
      <c r="Z339" s="102" t="s">
        <v>1247</v>
      </c>
    </row>
    <row r="340" spans="1:26" s="60" customFormat="1" ht="23.25" customHeight="1" outlineLevel="2">
      <c r="A340" s="101">
        <v>33125</v>
      </c>
      <c r="B340" s="102" t="s">
        <v>128</v>
      </c>
      <c r="C340" s="120">
        <v>40014266</v>
      </c>
      <c r="D340" s="104" t="s">
        <v>35</v>
      </c>
      <c r="E340" s="104" t="s">
        <v>35</v>
      </c>
      <c r="F340" s="104" t="s">
        <v>1245</v>
      </c>
      <c r="G340" s="851">
        <v>2019</v>
      </c>
      <c r="H340" s="105" t="s">
        <v>1405</v>
      </c>
      <c r="I340" s="106">
        <v>25198950</v>
      </c>
      <c r="J340" s="106">
        <v>20203779</v>
      </c>
      <c r="K340" s="132">
        <v>0</v>
      </c>
      <c r="L340" s="132">
        <v>0</v>
      </c>
      <c r="M340" s="132">
        <v>2665603</v>
      </c>
      <c r="N340" s="132">
        <v>0</v>
      </c>
      <c r="O340" s="132">
        <v>0</v>
      </c>
      <c r="P340" s="132">
        <v>0</v>
      </c>
      <c r="Q340" s="132">
        <v>0</v>
      </c>
      <c r="R340" s="132">
        <v>0</v>
      </c>
      <c r="S340" s="132">
        <v>0</v>
      </c>
      <c r="T340" s="132">
        <v>0</v>
      </c>
      <c r="U340" s="132">
        <v>0</v>
      </c>
      <c r="V340" s="132">
        <v>0</v>
      </c>
      <c r="W340" s="132">
        <f t="shared" si="310"/>
        <v>2665603</v>
      </c>
      <c r="X340" s="132">
        <f t="shared" si="311"/>
        <v>2665603</v>
      </c>
      <c r="Y340" s="132">
        <f t="shared" si="312"/>
        <v>2329568</v>
      </c>
      <c r="Z340" s="102" t="s">
        <v>1247</v>
      </c>
    </row>
    <row r="341" spans="1:26" s="60" customFormat="1" ht="23.25" customHeight="1" outlineLevel="2">
      <c r="A341" s="101">
        <v>33125</v>
      </c>
      <c r="B341" s="102" t="s">
        <v>128</v>
      </c>
      <c r="C341" s="120">
        <v>40014624</v>
      </c>
      <c r="D341" s="104" t="s">
        <v>35</v>
      </c>
      <c r="E341" s="104" t="s">
        <v>35</v>
      </c>
      <c r="F341" s="104" t="s">
        <v>1245</v>
      </c>
      <c r="G341" s="851">
        <v>2019</v>
      </c>
      <c r="H341" s="105" t="s">
        <v>1406</v>
      </c>
      <c r="I341" s="106">
        <v>78095050</v>
      </c>
      <c r="J341" s="106">
        <v>67658545</v>
      </c>
      <c r="K341" s="132">
        <v>0</v>
      </c>
      <c r="L341" s="132">
        <v>0</v>
      </c>
      <c r="M341" s="132">
        <v>0</v>
      </c>
      <c r="N341" s="132">
        <v>3380268</v>
      </c>
      <c r="O341" s="132">
        <v>0</v>
      </c>
      <c r="P341" s="132">
        <v>5357276</v>
      </c>
      <c r="Q341" s="132">
        <v>0</v>
      </c>
      <c r="R341" s="132">
        <v>0</v>
      </c>
      <c r="S341" s="132">
        <v>0</v>
      </c>
      <c r="T341" s="132">
        <v>0</v>
      </c>
      <c r="U341" s="132">
        <v>0</v>
      </c>
      <c r="V341" s="132">
        <v>0</v>
      </c>
      <c r="W341" s="132">
        <f t="shared" si="310"/>
        <v>8737544</v>
      </c>
      <c r="X341" s="132">
        <f t="shared" si="311"/>
        <v>8737544</v>
      </c>
      <c r="Y341" s="132">
        <f t="shared" si="312"/>
        <v>1698961</v>
      </c>
      <c r="Z341" s="102" t="s">
        <v>1247</v>
      </c>
    </row>
    <row r="342" spans="1:26" s="60" customFormat="1" ht="23.25" customHeight="1" outlineLevel="2">
      <c r="A342" s="101">
        <v>33125</v>
      </c>
      <c r="B342" s="102" t="s">
        <v>128</v>
      </c>
      <c r="C342" s="120">
        <v>40022540</v>
      </c>
      <c r="D342" s="104" t="s">
        <v>35</v>
      </c>
      <c r="E342" s="104" t="s">
        <v>35</v>
      </c>
      <c r="F342" s="104" t="s">
        <v>1658</v>
      </c>
      <c r="G342" s="851">
        <v>2020</v>
      </c>
      <c r="H342" s="105" t="s">
        <v>1678</v>
      </c>
      <c r="I342" s="106">
        <v>99346000</v>
      </c>
      <c r="J342" s="106">
        <v>0</v>
      </c>
      <c r="K342" s="132">
        <v>0</v>
      </c>
      <c r="L342" s="132">
        <v>0</v>
      </c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32">
        <v>0</v>
      </c>
      <c r="S342" s="132">
        <v>0</v>
      </c>
      <c r="T342" s="132">
        <v>0</v>
      </c>
      <c r="U342" s="132">
        <v>0</v>
      </c>
      <c r="V342" s="132">
        <v>0</v>
      </c>
      <c r="W342" s="132">
        <f t="shared" ref="W342" si="313">SUBTOTAL(9,K342:V342)</f>
        <v>0</v>
      </c>
      <c r="X342" s="132">
        <f t="shared" ref="X342" si="314">+V342+U342+T342+S342+R342+Q342+P342+O342+N342+M342+L342+K342</f>
        <v>0</v>
      </c>
      <c r="Y342" s="132">
        <f t="shared" ref="Y342" si="315">+I342-J342-X342</f>
        <v>99346000</v>
      </c>
      <c r="Z342" s="102" t="s">
        <v>1255</v>
      </c>
    </row>
    <row r="343" spans="1:26" s="62" customFormat="1" ht="23.25" customHeight="1" outlineLevel="2">
      <c r="A343" s="125"/>
      <c r="B343" s="126"/>
      <c r="C343" s="127"/>
      <c r="D343" s="128"/>
      <c r="E343" s="128"/>
      <c r="F343" s="897"/>
      <c r="G343" s="886"/>
      <c r="H343" s="109" t="s">
        <v>187</v>
      </c>
      <c r="I343" s="129">
        <f>SUM(I339:I342)</f>
        <v>299346000</v>
      </c>
      <c r="J343" s="129">
        <f t="shared" ref="J343:Y343" si="316">SUM(J339:J342)</f>
        <v>132978937</v>
      </c>
      <c r="K343" s="129">
        <f t="shared" si="316"/>
        <v>0</v>
      </c>
      <c r="L343" s="129">
        <f t="shared" si="316"/>
        <v>0</v>
      </c>
      <c r="M343" s="129">
        <f t="shared" si="316"/>
        <v>54254990</v>
      </c>
      <c r="N343" s="129">
        <f t="shared" si="316"/>
        <v>3380268</v>
      </c>
      <c r="O343" s="129">
        <f t="shared" ref="O343:Q343" si="317">SUM(O339:O342)</f>
        <v>0</v>
      </c>
      <c r="P343" s="129">
        <f t="shared" si="317"/>
        <v>5357276</v>
      </c>
      <c r="Q343" s="129">
        <f t="shared" si="317"/>
        <v>0</v>
      </c>
      <c r="R343" s="129">
        <f t="shared" si="316"/>
        <v>0</v>
      </c>
      <c r="S343" s="129">
        <f t="shared" si="316"/>
        <v>0</v>
      </c>
      <c r="T343" s="129">
        <f t="shared" si="316"/>
        <v>0</v>
      </c>
      <c r="U343" s="129">
        <f t="shared" si="316"/>
        <v>0</v>
      </c>
      <c r="V343" s="129">
        <f t="shared" si="316"/>
        <v>0</v>
      </c>
      <c r="W343" s="129">
        <f t="shared" si="316"/>
        <v>62992534</v>
      </c>
      <c r="X343" s="129">
        <f t="shared" si="316"/>
        <v>62992534</v>
      </c>
      <c r="Y343" s="129">
        <f t="shared" si="316"/>
        <v>103374529</v>
      </c>
      <c r="Z343" s="137"/>
    </row>
    <row r="344" spans="1:26" s="59" customFormat="1" ht="15" outlineLevel="1">
      <c r="A344" s="111"/>
      <c r="B344" s="112"/>
      <c r="C344" s="90"/>
      <c r="D344" s="113"/>
      <c r="E344" s="114"/>
      <c r="F344" s="113"/>
      <c r="G344" s="885"/>
      <c r="H344" s="115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35"/>
    </row>
    <row r="345" spans="1:26" s="59" customFormat="1" ht="23.25" outlineLevel="1">
      <c r="A345" s="111"/>
      <c r="B345" s="112"/>
      <c r="C345" s="90"/>
      <c r="D345" s="113"/>
      <c r="E345" s="114"/>
      <c r="F345" s="113"/>
      <c r="G345" s="885"/>
      <c r="H345" s="117" t="s">
        <v>1024</v>
      </c>
      <c r="I345" s="118">
        <f>+I343</f>
        <v>299346000</v>
      </c>
      <c r="J345" s="118">
        <f t="shared" ref="J345:Y345" si="318">+J343</f>
        <v>132978937</v>
      </c>
      <c r="K345" s="118">
        <f t="shared" si="318"/>
        <v>0</v>
      </c>
      <c r="L345" s="118">
        <f t="shared" ref="L345:M345" si="319">+L343</f>
        <v>0</v>
      </c>
      <c r="M345" s="118">
        <f t="shared" si="319"/>
        <v>54254990</v>
      </c>
      <c r="N345" s="118">
        <v>3380268</v>
      </c>
      <c r="O345" s="118">
        <f t="shared" ref="O345:Q345" si="320">+O343</f>
        <v>0</v>
      </c>
      <c r="P345" s="118">
        <f t="shared" si="320"/>
        <v>5357276</v>
      </c>
      <c r="Q345" s="118">
        <f t="shared" si="320"/>
        <v>0</v>
      </c>
      <c r="R345" s="118">
        <f t="shared" si="318"/>
        <v>0</v>
      </c>
      <c r="S345" s="118">
        <f t="shared" si="318"/>
        <v>0</v>
      </c>
      <c r="T345" s="118">
        <f t="shared" si="318"/>
        <v>0</v>
      </c>
      <c r="U345" s="118">
        <f t="shared" si="318"/>
        <v>0</v>
      </c>
      <c r="V345" s="118">
        <f t="shared" si="318"/>
        <v>0</v>
      </c>
      <c r="W345" s="118">
        <f t="shared" si="318"/>
        <v>62992534</v>
      </c>
      <c r="X345" s="118">
        <f t="shared" si="318"/>
        <v>62992534</v>
      </c>
      <c r="Y345" s="118">
        <f t="shared" si="318"/>
        <v>103374529</v>
      </c>
      <c r="Z345" s="135"/>
    </row>
    <row r="346" spans="1:26" s="63" customFormat="1" ht="15" customHeight="1">
      <c r="A346" s="111"/>
      <c r="B346" s="112"/>
      <c r="C346" s="90"/>
      <c r="D346" s="113"/>
      <c r="E346" s="114"/>
      <c r="F346" s="113"/>
      <c r="G346" s="885"/>
      <c r="H346" s="199"/>
      <c r="I346" s="200"/>
      <c r="J346" s="200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78"/>
      <c r="Z346" s="112"/>
    </row>
    <row r="347" spans="1:26" s="74" customFormat="1" ht="24.95" customHeight="1">
      <c r="A347" s="201"/>
      <c r="B347" s="202"/>
      <c r="C347" s="203"/>
      <c r="D347" s="201"/>
      <c r="E347" s="204"/>
      <c r="F347" s="204"/>
      <c r="G347" s="891"/>
      <c r="H347" s="205" t="s">
        <v>1043</v>
      </c>
      <c r="I347" s="146">
        <f>+I314+I326+I335+I345</f>
        <v>1455103988</v>
      </c>
      <c r="J347" s="146">
        <f>+J314+J326+J335+J345</f>
        <v>240697247</v>
      </c>
      <c r="K347" s="146">
        <f>+K314+K326+K335+K345</f>
        <v>0</v>
      </c>
      <c r="L347" s="146">
        <f>+L314+L326+L335+L345</f>
        <v>104636220</v>
      </c>
      <c r="M347" s="146">
        <f>+M314+M326+M335+M345</f>
        <v>165102738</v>
      </c>
      <c r="N347" s="146">
        <v>114177230</v>
      </c>
      <c r="O347" s="146">
        <f t="shared" ref="O347:Q347" si="321">+O314+O326+O335+O345</f>
        <v>35106063</v>
      </c>
      <c r="P347" s="146">
        <f t="shared" si="321"/>
        <v>46094000</v>
      </c>
      <c r="Q347" s="146">
        <f t="shared" si="321"/>
        <v>4685187</v>
      </c>
      <c r="R347" s="146">
        <f t="shared" ref="R347:Y347" si="322">+R314+R326+R335+R345</f>
        <v>0</v>
      </c>
      <c r="S347" s="146">
        <f t="shared" si="322"/>
        <v>0</v>
      </c>
      <c r="T347" s="146">
        <f t="shared" si="322"/>
        <v>0</v>
      </c>
      <c r="U347" s="146">
        <f t="shared" si="322"/>
        <v>0</v>
      </c>
      <c r="V347" s="146">
        <f t="shared" si="322"/>
        <v>0</v>
      </c>
      <c r="W347" s="146">
        <f t="shared" si="322"/>
        <v>469801438</v>
      </c>
      <c r="X347" s="146">
        <f t="shared" si="322"/>
        <v>469801438</v>
      </c>
      <c r="Y347" s="146">
        <f t="shared" si="322"/>
        <v>744605303</v>
      </c>
      <c r="Z347" s="212"/>
    </row>
    <row r="348" spans="1:26">
      <c r="A348" s="206"/>
      <c r="B348" s="207"/>
      <c r="C348" s="208"/>
      <c r="D348" s="206"/>
      <c r="E348" s="209"/>
      <c r="F348" s="209"/>
      <c r="G348" s="892"/>
      <c r="H348" s="210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76"/>
    </row>
    <row r="349" spans="1:26" s="74" customFormat="1" ht="24.95" customHeight="1">
      <c r="A349" s="201"/>
      <c r="B349" s="202"/>
      <c r="C349" s="203"/>
      <c r="D349" s="201"/>
      <c r="E349" s="204"/>
      <c r="F349" s="204"/>
      <c r="G349" s="891"/>
      <c r="H349" s="205" t="s">
        <v>1408</v>
      </c>
      <c r="I349" s="146">
        <f>+I347+I302+I186+I81</f>
        <v>10865443896</v>
      </c>
      <c r="J349" s="146">
        <f>+J347+J302+J186+J81</f>
        <v>2020819248</v>
      </c>
      <c r="K349" s="146">
        <f>+K347+K302+K186+K81</f>
        <v>0</v>
      </c>
      <c r="L349" s="146">
        <f>+L347+L302+L186+L81</f>
        <v>606070962</v>
      </c>
      <c r="M349" s="146">
        <f>+M347+M302+M186+M81</f>
        <v>489081314</v>
      </c>
      <c r="N349" s="146">
        <v>967835040</v>
      </c>
      <c r="O349" s="146">
        <f t="shared" ref="O349:Q349" si="323">+O347+O302+O186+O81</f>
        <v>174286288</v>
      </c>
      <c r="P349" s="146">
        <f t="shared" si="323"/>
        <v>598429277</v>
      </c>
      <c r="Q349" s="146">
        <f t="shared" si="323"/>
        <v>121181959</v>
      </c>
      <c r="R349" s="146">
        <f t="shared" ref="R349:Y349" si="324">+R347+R302+R186+R81</f>
        <v>0</v>
      </c>
      <c r="S349" s="146">
        <f t="shared" si="324"/>
        <v>0</v>
      </c>
      <c r="T349" s="146">
        <f t="shared" si="324"/>
        <v>0</v>
      </c>
      <c r="U349" s="146">
        <f t="shared" si="324"/>
        <v>0</v>
      </c>
      <c r="V349" s="146">
        <f t="shared" si="324"/>
        <v>0</v>
      </c>
      <c r="W349" s="146">
        <f t="shared" si="324"/>
        <v>2956884840</v>
      </c>
      <c r="X349" s="146">
        <f t="shared" si="324"/>
        <v>2956884840</v>
      </c>
      <c r="Y349" s="146">
        <f t="shared" si="324"/>
        <v>5887739808</v>
      </c>
      <c r="Z349" s="213"/>
    </row>
  </sheetData>
  <autoFilter ref="A1:Z349"/>
  <conditionalFormatting sqref="C18">
    <cfRule type="duplicateValues" dxfId="170" priority="385"/>
  </conditionalFormatting>
  <conditionalFormatting sqref="C29">
    <cfRule type="duplicateValues" dxfId="169" priority="58"/>
  </conditionalFormatting>
  <conditionalFormatting sqref="C30">
    <cfRule type="duplicateValues" dxfId="168" priority="59"/>
  </conditionalFormatting>
  <conditionalFormatting sqref="C31">
    <cfRule type="duplicateValues" dxfId="167" priority="53"/>
  </conditionalFormatting>
  <conditionalFormatting sqref="C119">
    <cfRule type="duplicateValues" dxfId="166" priority="361"/>
  </conditionalFormatting>
  <conditionalFormatting sqref="C122">
    <cfRule type="duplicateValues" dxfId="165" priority="378"/>
  </conditionalFormatting>
  <conditionalFormatting sqref="C134">
    <cfRule type="duplicateValues" dxfId="164" priority="238"/>
  </conditionalFormatting>
  <conditionalFormatting sqref="C144">
    <cfRule type="duplicateValues" dxfId="163" priority="105"/>
  </conditionalFormatting>
  <conditionalFormatting sqref="C159">
    <cfRule type="duplicateValues" dxfId="162" priority="57"/>
  </conditionalFormatting>
  <conditionalFormatting sqref="C156">
    <cfRule type="duplicateValues" dxfId="161" priority="360"/>
  </conditionalFormatting>
  <conditionalFormatting sqref="C179">
    <cfRule type="duplicateValues" dxfId="160" priority="107"/>
  </conditionalFormatting>
  <conditionalFormatting sqref="C194">
    <cfRule type="duplicateValues" dxfId="159" priority="54"/>
  </conditionalFormatting>
  <conditionalFormatting sqref="C195">
    <cfRule type="duplicateValues" dxfId="158" priority="55"/>
  </conditionalFormatting>
  <conditionalFormatting sqref="C232">
    <cfRule type="duplicateValues" dxfId="157" priority="56"/>
  </conditionalFormatting>
  <conditionalFormatting sqref="C239">
    <cfRule type="duplicateValues" dxfId="156" priority="390"/>
  </conditionalFormatting>
  <conditionalFormatting sqref="C241">
    <cfRule type="duplicateValues" dxfId="155" priority="61"/>
  </conditionalFormatting>
  <conditionalFormatting sqref="C240">
    <cfRule type="duplicateValues" dxfId="154" priority="371"/>
  </conditionalFormatting>
  <conditionalFormatting sqref="C250">
    <cfRule type="duplicateValues" dxfId="153" priority="389"/>
  </conditionalFormatting>
  <conditionalFormatting sqref="C251">
    <cfRule type="duplicateValues" dxfId="152" priority="370"/>
  </conditionalFormatting>
  <conditionalFormatting sqref="C261">
    <cfRule type="duplicateValues" dxfId="151" priority="358"/>
  </conditionalFormatting>
  <conditionalFormatting sqref="C282">
    <cfRule type="duplicateValues" dxfId="150" priority="103"/>
  </conditionalFormatting>
  <conditionalFormatting sqref="C294">
    <cfRule type="duplicateValues" dxfId="149" priority="357"/>
  </conditionalFormatting>
  <conditionalFormatting sqref="C322">
    <cfRule type="duplicateValues" dxfId="148" priority="393"/>
  </conditionalFormatting>
  <conditionalFormatting sqref="C339">
    <cfRule type="duplicateValues" dxfId="147" priority="387"/>
  </conditionalFormatting>
  <conditionalFormatting sqref="C39:C40">
    <cfRule type="duplicateValues" dxfId="146" priority="364"/>
  </conditionalFormatting>
  <conditionalFormatting sqref="C48:C51">
    <cfRule type="duplicateValues" dxfId="145" priority="363"/>
  </conditionalFormatting>
  <conditionalFormatting sqref="C59:C61">
    <cfRule type="duplicateValues" dxfId="144" priority="362"/>
  </conditionalFormatting>
  <conditionalFormatting sqref="C71:C73">
    <cfRule type="duplicateValues" dxfId="143" priority="386"/>
  </conditionalFormatting>
  <conditionalFormatting sqref="C85:C88">
    <cfRule type="duplicateValues" dxfId="142" priority="359"/>
  </conditionalFormatting>
  <conditionalFormatting sqref="C95:C97 C100">
    <cfRule type="duplicateValues" dxfId="141" priority="381"/>
  </conditionalFormatting>
  <conditionalFormatting sqref="C107:C109">
    <cfRule type="duplicateValues" dxfId="140" priority="382"/>
  </conditionalFormatting>
  <conditionalFormatting sqref="C132:C133">
    <cfRule type="duplicateValues" dxfId="139" priority="6783"/>
  </conditionalFormatting>
  <conditionalFormatting sqref="C146:C147">
    <cfRule type="duplicateValues" dxfId="138" priority="392"/>
  </conditionalFormatting>
  <conditionalFormatting sqref="C154:C155">
    <cfRule type="duplicateValues" dxfId="137" priority="379"/>
  </conditionalFormatting>
  <conditionalFormatting sqref="C167:C169">
    <cfRule type="duplicateValues" dxfId="136" priority="380"/>
  </conditionalFormatting>
  <conditionalFormatting sqref="C180:C181">
    <cfRule type="duplicateValues" dxfId="135" priority="383"/>
  </conditionalFormatting>
  <conditionalFormatting sqref="C192:C193">
    <cfRule type="duplicateValues" dxfId="134" priority="60"/>
  </conditionalFormatting>
  <conditionalFormatting sqref="C203:C204">
    <cfRule type="duplicateValues" dxfId="133" priority="375"/>
  </conditionalFormatting>
  <conditionalFormatting sqref="C212:C214">
    <cfRule type="duplicateValues" dxfId="132" priority="373"/>
  </conditionalFormatting>
  <conditionalFormatting sqref="C225:C228">
    <cfRule type="duplicateValues" dxfId="131" priority="372"/>
  </conditionalFormatting>
  <conditionalFormatting sqref="C270:C272">
    <cfRule type="duplicateValues" dxfId="130" priority="369"/>
  </conditionalFormatting>
  <conditionalFormatting sqref="C292:C293">
    <cfRule type="duplicateValues" dxfId="129" priority="367"/>
  </conditionalFormatting>
  <conditionalFormatting sqref="C306:C308">
    <cfRule type="duplicateValues" dxfId="128" priority="366"/>
  </conditionalFormatting>
  <conditionalFormatting sqref="C318:C319">
    <cfRule type="duplicateValues" dxfId="127" priority="388"/>
  </conditionalFormatting>
  <conditionalFormatting sqref="C320:C321">
    <cfRule type="duplicateValues" dxfId="126" priority="356"/>
  </conditionalFormatting>
  <conditionalFormatting sqref="C330:C331">
    <cfRule type="duplicateValues" dxfId="125" priority="355"/>
  </conditionalFormatting>
  <conditionalFormatting sqref="C340:C341">
    <cfRule type="duplicateValues" dxfId="124" priority="354"/>
  </conditionalFormatting>
  <conditionalFormatting sqref="C309 C311">
    <cfRule type="duplicateValues" dxfId="123" priority="39"/>
  </conditionalFormatting>
  <conditionalFormatting sqref="C253">
    <cfRule type="duplicateValues" dxfId="122" priority="38"/>
  </conditionalFormatting>
  <conditionalFormatting sqref="C230">
    <cfRule type="duplicateValues" dxfId="121" priority="37"/>
  </conditionalFormatting>
  <conditionalFormatting sqref="C229">
    <cfRule type="duplicateValues" dxfId="120" priority="36"/>
  </conditionalFormatting>
  <conditionalFormatting sqref="C215:C218">
    <cfRule type="duplicateValues" dxfId="119" priority="35"/>
  </conditionalFormatting>
  <conditionalFormatting sqref="C171">
    <cfRule type="duplicateValues" dxfId="118" priority="34"/>
  </conditionalFormatting>
  <conditionalFormatting sqref="C157">
    <cfRule type="duplicateValues" dxfId="117" priority="33"/>
  </conditionalFormatting>
  <conditionalFormatting sqref="C136">
    <cfRule type="duplicateValues" dxfId="116" priority="32"/>
  </conditionalFormatting>
  <conditionalFormatting sqref="C125">
    <cfRule type="duplicateValues" dxfId="115" priority="31"/>
  </conditionalFormatting>
  <conditionalFormatting sqref="C110">
    <cfRule type="duplicateValues" dxfId="114" priority="30"/>
  </conditionalFormatting>
  <conditionalFormatting sqref="C123:C124">
    <cfRule type="duplicateValues" dxfId="113" priority="29"/>
  </conditionalFormatting>
  <conditionalFormatting sqref="C98">
    <cfRule type="duplicateValues" dxfId="112" priority="28"/>
  </conditionalFormatting>
  <conditionalFormatting sqref="C158">
    <cfRule type="duplicateValues" dxfId="111" priority="27"/>
  </conditionalFormatting>
  <conditionalFormatting sqref="C20">
    <cfRule type="duplicateValues" dxfId="110" priority="26"/>
  </conditionalFormatting>
  <conditionalFormatting sqref="C64">
    <cfRule type="duplicateValues" dxfId="109" priority="25"/>
  </conditionalFormatting>
  <conditionalFormatting sqref="C63">
    <cfRule type="duplicateValues" dxfId="108" priority="24"/>
  </conditionalFormatting>
  <conditionalFormatting sqref="C62">
    <cfRule type="duplicateValues" dxfId="107" priority="23"/>
  </conditionalFormatting>
  <conditionalFormatting sqref="C99">
    <cfRule type="duplicateValues" dxfId="106" priority="22"/>
  </conditionalFormatting>
  <conditionalFormatting sqref="C52">
    <cfRule type="duplicateValues" dxfId="105" priority="21"/>
  </conditionalFormatting>
  <conditionalFormatting sqref="C274">
    <cfRule type="duplicateValues" dxfId="104" priority="20"/>
  </conditionalFormatting>
  <conditionalFormatting sqref="C243">
    <cfRule type="duplicateValues" dxfId="103" priority="19"/>
  </conditionalFormatting>
  <conditionalFormatting sqref="C310">
    <cfRule type="duplicateValues" dxfId="102" priority="18"/>
  </conditionalFormatting>
  <conditionalFormatting sqref="C231">
    <cfRule type="duplicateValues" dxfId="101" priority="17"/>
  </conditionalFormatting>
  <conditionalFormatting sqref="C242">
    <cfRule type="duplicateValues" dxfId="100" priority="16"/>
  </conditionalFormatting>
  <conditionalFormatting sqref="C342">
    <cfRule type="duplicateValues" dxfId="99" priority="15"/>
  </conditionalFormatting>
  <conditionalFormatting sqref="C263">
    <cfRule type="duplicateValues" dxfId="98" priority="14"/>
  </conditionalFormatting>
  <conditionalFormatting sqref="C135">
    <cfRule type="duplicateValues" dxfId="97" priority="13"/>
  </conditionalFormatting>
  <conditionalFormatting sqref="C323">
    <cfRule type="duplicateValues" dxfId="96" priority="12"/>
  </conditionalFormatting>
  <conditionalFormatting sqref="C112">
    <cfRule type="duplicateValues" dxfId="95" priority="11"/>
  </conditionalFormatting>
  <conditionalFormatting sqref="C252">
    <cfRule type="duplicateValues" dxfId="94" priority="10"/>
  </conditionalFormatting>
  <conditionalFormatting sqref="C273">
    <cfRule type="duplicateValues" dxfId="93" priority="9"/>
  </conditionalFormatting>
  <conditionalFormatting sqref="C111">
    <cfRule type="duplicateValues" dxfId="92" priority="8"/>
  </conditionalFormatting>
  <conditionalFormatting sqref="C19">
    <cfRule type="duplicateValues" dxfId="91" priority="7"/>
  </conditionalFormatting>
  <conditionalFormatting sqref="C170">
    <cfRule type="duplicateValues" dxfId="90" priority="6"/>
  </conditionalFormatting>
  <conditionalFormatting sqref="C297">
    <cfRule type="duplicateValues" dxfId="89" priority="5"/>
  </conditionalFormatting>
  <conditionalFormatting sqref="C295">
    <cfRule type="duplicateValues" dxfId="88" priority="4"/>
  </conditionalFormatting>
  <conditionalFormatting sqref="C296">
    <cfRule type="duplicateValues" dxfId="87" priority="3"/>
  </conditionalFormatting>
  <conditionalFormatting sqref="C41">
    <cfRule type="duplicateValues" dxfId="86" priority="2"/>
  </conditionalFormatting>
  <conditionalFormatting sqref="C332">
    <cfRule type="duplicateValues" dxfId="85" priority="1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5" scale="53" orientation="landscape" r:id="rId1"/>
  <headerFooter>
    <oddHeader>&amp;L&amp;10              GOBIERNO REGIONAL DE LOS LAGOS
DIVISIÓN DE PRESUPUESTO E INVERSIÓN REGIONAL&amp;C&amp;"-,Negrita"&amp;20 
FRIL FNDR ANEXO 
MES DE JULIO 2020</oddHeader>
    <oddFooter>&amp;CESTADO SITUACION FRIL - ANEXO
Página &amp;P</oddFooter>
  </headerFooter>
  <rowBreaks count="10" manualBreakCount="10">
    <brk id="44" max="23" man="1"/>
    <brk id="81" max="20" man="1"/>
    <brk id="115" max="23" man="1"/>
    <brk id="150" max="23" man="1"/>
    <brk id="186" max="20" man="1"/>
    <brk id="221" max="21" man="1"/>
    <brk id="256" max="23" man="1"/>
    <brk id="277" max="23" man="1"/>
    <brk id="302" max="20" man="1"/>
    <brk id="335" max="2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5"/>
  <sheetViews>
    <sheetView topLeftCell="A25" workbookViewId="0">
      <selection activeCell="B30" sqref="B30"/>
    </sheetView>
  </sheetViews>
  <sheetFormatPr baseColWidth="10" defaultColWidth="11" defaultRowHeight="15"/>
  <cols>
    <col min="1" max="1" width="13.28515625" customWidth="1"/>
    <col min="2" max="2" width="14.7109375" customWidth="1"/>
    <col min="3" max="3" width="25" customWidth="1"/>
    <col min="4" max="4" width="19" customWidth="1"/>
    <col min="5" max="5" width="36.85546875" customWidth="1"/>
    <col min="6" max="6" width="20.85546875" customWidth="1"/>
    <col min="7" max="7" width="14.7109375" customWidth="1"/>
    <col min="8" max="8" width="20.85546875" customWidth="1"/>
    <col min="9" max="9" width="14.7109375" customWidth="1"/>
  </cols>
  <sheetData>
    <row r="3" spans="1:7">
      <c r="A3" s="15"/>
      <c r="B3" s="802" t="s">
        <v>1423</v>
      </c>
      <c r="C3" s="16"/>
      <c r="D3" s="16"/>
      <c r="E3" s="16"/>
      <c r="F3" s="16"/>
      <c r="G3" s="17"/>
    </row>
    <row r="4" spans="1:7">
      <c r="A4" s="803" t="s">
        <v>21</v>
      </c>
      <c r="B4" s="19" t="s">
        <v>1424</v>
      </c>
      <c r="C4" s="20" t="s">
        <v>1425</v>
      </c>
      <c r="D4" s="20" t="s">
        <v>25</v>
      </c>
      <c r="E4" s="20" t="s">
        <v>1618</v>
      </c>
      <c r="F4" s="20" t="s">
        <v>1427</v>
      </c>
      <c r="G4" s="21" t="s">
        <v>1469</v>
      </c>
    </row>
    <row r="5" spans="1:7">
      <c r="A5" s="22" t="s">
        <v>32</v>
      </c>
      <c r="B5" s="19">
        <v>93186605861</v>
      </c>
      <c r="C5" s="19">
        <v>31468023844</v>
      </c>
      <c r="D5" s="19">
        <v>17685010467.999992</v>
      </c>
      <c r="E5" s="19">
        <v>9349256892</v>
      </c>
      <c r="F5" s="19">
        <v>8335753575.9999933</v>
      </c>
      <c r="G5" s="23">
        <v>44033571549.000015</v>
      </c>
    </row>
    <row r="6" spans="1:7">
      <c r="A6" s="22" t="s">
        <v>33</v>
      </c>
      <c r="B6" s="19">
        <v>113404416519</v>
      </c>
      <c r="C6" s="19">
        <v>28678511839</v>
      </c>
      <c r="D6" s="19">
        <v>25307496695</v>
      </c>
      <c r="E6" s="19">
        <v>11161729473</v>
      </c>
      <c r="F6" s="19">
        <v>14145767222</v>
      </c>
      <c r="G6" s="23">
        <v>59418407985</v>
      </c>
    </row>
    <row r="7" spans="1:7">
      <c r="A7" s="22" t="s">
        <v>34</v>
      </c>
      <c r="B7" s="19">
        <v>64335175440</v>
      </c>
      <c r="C7" s="19">
        <v>20510004027</v>
      </c>
      <c r="D7" s="19">
        <v>19920486762.333336</v>
      </c>
      <c r="E7" s="19">
        <v>9483088978</v>
      </c>
      <c r="F7" s="19">
        <v>10437397784.333336</v>
      </c>
      <c r="G7" s="23">
        <v>23904684650.666664</v>
      </c>
    </row>
    <row r="8" spans="1:7">
      <c r="A8" s="22" t="s">
        <v>35</v>
      </c>
      <c r="B8" s="19">
        <v>78850978922</v>
      </c>
      <c r="C8" s="19">
        <v>10487580278</v>
      </c>
      <c r="D8" s="19">
        <v>14415978013</v>
      </c>
      <c r="E8" s="19">
        <v>6065476811</v>
      </c>
      <c r="F8" s="19">
        <v>8350501202</v>
      </c>
      <c r="G8" s="23">
        <v>53947420631</v>
      </c>
    </row>
    <row r="9" spans="1:7">
      <c r="A9" s="22" t="s">
        <v>36</v>
      </c>
      <c r="B9" s="19">
        <v>43016339998</v>
      </c>
      <c r="C9" s="19">
        <v>5914276781</v>
      </c>
      <c r="D9" s="19">
        <v>19283988305</v>
      </c>
      <c r="E9" s="19">
        <v>2683181697</v>
      </c>
      <c r="F9" s="19">
        <v>16600806608</v>
      </c>
      <c r="G9" s="23">
        <v>17818074912</v>
      </c>
    </row>
    <row r="10" spans="1:7">
      <c r="A10" s="22" t="s">
        <v>37</v>
      </c>
      <c r="B10" s="19">
        <v>40599639090</v>
      </c>
      <c r="C10" s="19">
        <v>12223592199</v>
      </c>
      <c r="D10" s="19">
        <v>13682598146</v>
      </c>
      <c r="E10" s="19">
        <v>1347452418</v>
      </c>
      <c r="F10" s="19">
        <v>12335145728</v>
      </c>
      <c r="G10" s="23">
        <v>14693448745</v>
      </c>
    </row>
    <row r="11" spans="1:7">
      <c r="A11" s="24" t="s">
        <v>38</v>
      </c>
      <c r="B11" s="25">
        <v>433393155830</v>
      </c>
      <c r="C11" s="25">
        <v>109281988968</v>
      </c>
      <c r="D11" s="25">
        <v>110295558389.33333</v>
      </c>
      <c r="E11" s="25">
        <v>40090186269</v>
      </c>
      <c r="F11" s="25">
        <v>70205372120.333328</v>
      </c>
      <c r="G11" s="26">
        <v>213815608472.66669</v>
      </c>
    </row>
    <row r="13" spans="1:7">
      <c r="A13" s="27"/>
      <c r="B13" s="19"/>
      <c r="C13" s="19"/>
      <c r="D13" s="19"/>
      <c r="E13" s="19"/>
      <c r="F13" s="19"/>
      <c r="G13" s="19"/>
    </row>
    <row r="14" spans="1:7">
      <c r="A14" s="27"/>
      <c r="B14" s="19"/>
      <c r="C14" s="19"/>
      <c r="D14" s="19"/>
      <c r="E14" s="19"/>
      <c r="F14" s="19"/>
      <c r="G14" s="19"/>
    </row>
    <row r="15" spans="1:7" ht="14.25" customHeight="1"/>
    <row r="16" spans="1:7">
      <c r="A16" s="15"/>
      <c r="B16" s="802" t="s">
        <v>1423</v>
      </c>
      <c r="C16" s="16"/>
      <c r="D16" s="16"/>
      <c r="E16" s="16"/>
      <c r="F16" s="16"/>
      <c r="G16" s="17"/>
    </row>
    <row r="17" spans="1:7">
      <c r="A17" s="803" t="s">
        <v>1429</v>
      </c>
      <c r="B17" s="19" t="s">
        <v>1424</v>
      </c>
      <c r="C17" s="20" t="s">
        <v>1425</v>
      </c>
      <c r="D17" s="20" t="s">
        <v>25</v>
      </c>
      <c r="E17" s="20" t="s">
        <v>1618</v>
      </c>
      <c r="F17" s="20" t="s">
        <v>1427</v>
      </c>
      <c r="G17" s="21" t="s">
        <v>1469</v>
      </c>
    </row>
    <row r="18" spans="1:7">
      <c r="A18" s="22" t="s">
        <v>84</v>
      </c>
      <c r="B18" s="19">
        <v>5793902687</v>
      </c>
      <c r="C18" s="19">
        <v>121504000</v>
      </c>
      <c r="D18" s="19">
        <v>4873607682</v>
      </c>
      <c r="E18" s="19">
        <v>1154940020</v>
      </c>
      <c r="F18" s="19">
        <v>3718667662</v>
      </c>
      <c r="G18" s="23">
        <v>798791005</v>
      </c>
    </row>
    <row r="19" spans="1:7">
      <c r="A19" s="22" t="s">
        <v>81</v>
      </c>
      <c r="B19" s="19">
        <v>70678739842</v>
      </c>
      <c r="C19" s="19">
        <v>18700672016</v>
      </c>
      <c r="D19" s="19">
        <v>21211301762</v>
      </c>
      <c r="E19" s="19">
        <v>12007782243</v>
      </c>
      <c r="F19" s="19">
        <v>9203519519</v>
      </c>
      <c r="G19" s="23">
        <v>30766766064</v>
      </c>
    </row>
    <row r="20" spans="1:7">
      <c r="A20" s="22" t="s">
        <v>87</v>
      </c>
      <c r="B20" s="19">
        <v>1542573000</v>
      </c>
      <c r="C20" s="19">
        <v>0</v>
      </c>
      <c r="D20" s="19">
        <v>1542573000</v>
      </c>
      <c r="E20" s="19">
        <v>214072797</v>
      </c>
      <c r="F20" s="19">
        <v>1328500203</v>
      </c>
      <c r="G20" s="23">
        <v>0</v>
      </c>
    </row>
    <row r="21" spans="1:7">
      <c r="A21" s="22" t="s">
        <v>85</v>
      </c>
      <c r="B21" s="19">
        <v>9279518888</v>
      </c>
      <c r="C21" s="19">
        <v>4083963405</v>
      </c>
      <c r="D21" s="19">
        <v>2680196866.3333359</v>
      </c>
      <c r="E21" s="19">
        <v>2004348338</v>
      </c>
      <c r="F21" s="19">
        <v>675848528.33333588</v>
      </c>
      <c r="G21" s="23">
        <v>2515358616.6666641</v>
      </c>
    </row>
    <row r="22" spans="1:7">
      <c r="A22" s="22" t="s">
        <v>83</v>
      </c>
      <c r="B22" s="19">
        <v>10740827000</v>
      </c>
      <c r="C22" s="19">
        <v>0</v>
      </c>
      <c r="D22" s="19">
        <v>10740827000</v>
      </c>
      <c r="E22" s="19">
        <v>2956884840</v>
      </c>
      <c r="F22" s="19">
        <v>7783942160</v>
      </c>
      <c r="G22" s="23">
        <v>0</v>
      </c>
    </row>
    <row r="23" spans="1:7">
      <c r="A23" s="22" t="s">
        <v>80</v>
      </c>
      <c r="B23" s="19">
        <v>251582490770</v>
      </c>
      <c r="C23" s="19">
        <v>69813498614</v>
      </c>
      <c r="D23" s="19">
        <v>56734217145</v>
      </c>
      <c r="E23" s="19">
        <v>14294856261</v>
      </c>
      <c r="F23" s="19">
        <v>42439360884</v>
      </c>
      <c r="G23" s="23">
        <v>125034775011.00002</v>
      </c>
    </row>
    <row r="24" spans="1:7">
      <c r="A24" s="22" t="s">
        <v>88</v>
      </c>
      <c r="B24" s="19">
        <v>1020000000</v>
      </c>
      <c r="C24" s="19">
        <v>0</v>
      </c>
      <c r="D24" s="19">
        <v>680923743</v>
      </c>
      <c r="E24" s="19">
        <v>392779775</v>
      </c>
      <c r="F24" s="19">
        <v>288143968</v>
      </c>
      <c r="G24" s="23">
        <v>339076257</v>
      </c>
    </row>
    <row r="25" spans="1:7">
      <c r="A25" s="22" t="s">
        <v>82</v>
      </c>
      <c r="B25" s="19">
        <v>80603931959</v>
      </c>
      <c r="C25" s="19">
        <v>16140994536</v>
      </c>
      <c r="D25" s="19">
        <v>11310044588</v>
      </c>
      <c r="E25" s="19">
        <v>6985910645</v>
      </c>
      <c r="F25" s="19">
        <v>4324133943</v>
      </c>
      <c r="G25" s="23">
        <v>53152892835</v>
      </c>
    </row>
    <row r="26" spans="1:7">
      <c r="A26" s="22" t="s">
        <v>86</v>
      </c>
      <c r="B26" s="19">
        <v>1553691000</v>
      </c>
      <c r="C26" s="19">
        <v>0</v>
      </c>
      <c r="D26" s="19">
        <v>388423000</v>
      </c>
      <c r="E26" s="19">
        <v>0</v>
      </c>
      <c r="F26" s="19">
        <v>388423000</v>
      </c>
      <c r="G26" s="23">
        <v>1165268000</v>
      </c>
    </row>
    <row r="27" spans="1:7">
      <c r="A27" s="22" t="s">
        <v>1712</v>
      </c>
      <c r="B27" s="19">
        <v>597480684</v>
      </c>
      <c r="C27" s="19">
        <v>421356397</v>
      </c>
      <c r="D27" s="19">
        <v>133443603</v>
      </c>
      <c r="E27" s="19">
        <v>78611350</v>
      </c>
      <c r="F27" s="19">
        <v>54832253</v>
      </c>
      <c r="G27" s="23">
        <v>42680684</v>
      </c>
    </row>
    <row r="28" spans="1:7">
      <c r="A28" s="24" t="s">
        <v>38</v>
      </c>
      <c r="B28" s="25">
        <v>433393155830</v>
      </c>
      <c r="C28" s="25">
        <v>109281988968</v>
      </c>
      <c r="D28" s="25">
        <v>110295558389.33334</v>
      </c>
      <c r="E28" s="25">
        <v>40090186269</v>
      </c>
      <c r="F28" s="25">
        <v>70205372120.333344</v>
      </c>
      <c r="G28" s="26">
        <v>213815608472.66669</v>
      </c>
    </row>
    <row r="33" spans="1:9">
      <c r="A33" s="15"/>
      <c r="B33" s="802" t="s">
        <v>1423</v>
      </c>
      <c r="C33" s="16"/>
      <c r="D33" s="16"/>
      <c r="E33" s="16"/>
      <c r="F33" s="16"/>
      <c r="G33" s="17"/>
    </row>
    <row r="34" spans="1:9">
      <c r="A34" s="803" t="s">
        <v>93</v>
      </c>
      <c r="B34" s="19" t="s">
        <v>1424</v>
      </c>
      <c r="C34" s="20" t="s">
        <v>1425</v>
      </c>
      <c r="D34" s="20" t="s">
        <v>25</v>
      </c>
      <c r="E34" s="20" t="s">
        <v>1618</v>
      </c>
      <c r="F34" s="20" t="s">
        <v>1427</v>
      </c>
      <c r="G34" s="21" t="s">
        <v>1469</v>
      </c>
    </row>
    <row r="35" spans="1:9">
      <c r="A35" s="22">
        <v>22</v>
      </c>
      <c r="B35" s="19">
        <v>1101002000</v>
      </c>
      <c r="C35" s="19">
        <v>60000000</v>
      </c>
      <c r="D35" s="19">
        <v>650002000</v>
      </c>
      <c r="E35" s="19">
        <v>50000000</v>
      </c>
      <c r="F35" s="19">
        <v>600002000</v>
      </c>
      <c r="G35" s="23">
        <v>391000000</v>
      </c>
    </row>
    <row r="36" spans="1:9">
      <c r="A36" s="22">
        <v>24</v>
      </c>
      <c r="B36" s="19">
        <v>9385693105</v>
      </c>
      <c r="C36" s="19">
        <v>0</v>
      </c>
      <c r="D36" s="19">
        <v>8639199000</v>
      </c>
      <c r="E36" s="19">
        <v>850581345</v>
      </c>
      <c r="F36" s="19">
        <v>7788617655</v>
      </c>
      <c r="G36" s="23">
        <v>746494105</v>
      </c>
    </row>
    <row r="37" spans="1:9">
      <c r="A37" s="22">
        <v>29</v>
      </c>
      <c r="B37" s="19">
        <v>24757297839</v>
      </c>
      <c r="C37" s="19">
        <v>4444555730</v>
      </c>
      <c r="D37" s="19">
        <v>7961233634</v>
      </c>
      <c r="E37" s="19">
        <v>2318057049</v>
      </c>
      <c r="F37" s="19">
        <v>5643176585</v>
      </c>
      <c r="G37" s="23">
        <v>12351508475</v>
      </c>
    </row>
    <row r="38" spans="1:9">
      <c r="A38" s="22">
        <v>31</v>
      </c>
      <c r="B38" s="19">
        <v>339292049112</v>
      </c>
      <c r="C38" s="19">
        <v>92132484642</v>
      </c>
      <c r="D38" s="19">
        <v>62969088006.333328</v>
      </c>
      <c r="E38" s="19">
        <v>31900357267</v>
      </c>
      <c r="F38" s="19">
        <v>31068730739.333328</v>
      </c>
      <c r="G38" s="23">
        <v>184190476463.66666</v>
      </c>
    </row>
    <row r="39" spans="1:9">
      <c r="A39" s="22">
        <v>33</v>
      </c>
      <c r="B39" s="19">
        <v>58857113774</v>
      </c>
      <c r="C39" s="19">
        <v>12644948596</v>
      </c>
      <c r="D39" s="19">
        <v>30076035749</v>
      </c>
      <c r="E39" s="19">
        <v>4971190608</v>
      </c>
      <c r="F39" s="19">
        <v>25104845141</v>
      </c>
      <c r="G39" s="23">
        <v>16136129429</v>
      </c>
    </row>
    <row r="40" spans="1:9">
      <c r="A40" s="24" t="s">
        <v>38</v>
      </c>
      <c r="B40" s="25">
        <v>433393155830</v>
      </c>
      <c r="C40" s="25">
        <v>109281988968</v>
      </c>
      <c r="D40" s="25">
        <v>110295558389.33333</v>
      </c>
      <c r="E40" s="25">
        <v>40090186269</v>
      </c>
      <c r="F40" s="25">
        <v>70205372120.333328</v>
      </c>
      <c r="G40" s="26">
        <v>213815608472.66666</v>
      </c>
    </row>
    <row r="43" spans="1:9">
      <c r="B43" s="28">
        <v>1</v>
      </c>
      <c r="C43" s="28">
        <v>2</v>
      </c>
      <c r="D43" s="28">
        <v>3</v>
      </c>
      <c r="E43" s="28">
        <v>4</v>
      </c>
      <c r="F43" s="28">
        <v>5</v>
      </c>
      <c r="G43" s="28">
        <v>6</v>
      </c>
      <c r="H43" s="28">
        <v>7</v>
      </c>
      <c r="I43" s="28">
        <v>8</v>
      </c>
    </row>
    <row r="44" spans="1:9">
      <c r="A44" s="801" t="s">
        <v>21</v>
      </c>
      <c r="B44" s="801" t="s">
        <v>105</v>
      </c>
      <c r="C44" t="s">
        <v>39</v>
      </c>
      <c r="D44" t="s">
        <v>1430</v>
      </c>
      <c r="E44" t="s">
        <v>1425</v>
      </c>
      <c r="F44" t="s">
        <v>25</v>
      </c>
      <c r="G44" t="s">
        <v>1618</v>
      </c>
      <c r="H44" t="s">
        <v>1427</v>
      </c>
      <c r="I44" t="s">
        <v>1469</v>
      </c>
    </row>
    <row r="45" spans="1:9">
      <c r="A45" t="s">
        <v>34</v>
      </c>
      <c r="B45" t="s">
        <v>57</v>
      </c>
      <c r="C45" s="29">
        <v>13</v>
      </c>
      <c r="D45" s="14">
        <v>6583718768</v>
      </c>
      <c r="E45" s="14">
        <v>2122659030</v>
      </c>
      <c r="F45" s="14">
        <v>2185100109</v>
      </c>
      <c r="G45" s="14">
        <v>704375410</v>
      </c>
      <c r="H45" s="14">
        <v>1480724699</v>
      </c>
      <c r="I45" s="14">
        <v>2275959629</v>
      </c>
    </row>
    <row r="46" spans="1:9">
      <c r="B46" t="s">
        <v>58</v>
      </c>
      <c r="C46" s="29">
        <v>13</v>
      </c>
      <c r="D46" s="14">
        <v>8333544650</v>
      </c>
      <c r="E46" s="14">
        <v>747772307</v>
      </c>
      <c r="F46" s="14">
        <v>2204200943</v>
      </c>
      <c r="G46" s="14">
        <v>1025503246</v>
      </c>
      <c r="H46" s="14">
        <v>1178697697</v>
      </c>
      <c r="I46" s="14">
        <v>5381571400</v>
      </c>
    </row>
    <row r="47" spans="1:9">
      <c r="B47" t="s">
        <v>59</v>
      </c>
      <c r="C47" s="29">
        <v>13</v>
      </c>
      <c r="D47" s="14">
        <v>3773030684</v>
      </c>
      <c r="E47" s="14">
        <v>879918242</v>
      </c>
      <c r="F47" s="14">
        <v>2124388605</v>
      </c>
      <c r="G47" s="14">
        <v>1104462393</v>
      </c>
      <c r="H47" s="14">
        <v>1019926212</v>
      </c>
      <c r="I47" s="14">
        <v>768723837</v>
      </c>
    </row>
    <row r="48" spans="1:9">
      <c r="B48" t="s">
        <v>60</v>
      </c>
      <c r="C48" s="29">
        <v>6</v>
      </c>
      <c r="D48" s="14">
        <v>1712315000</v>
      </c>
      <c r="E48" s="14">
        <v>735635858</v>
      </c>
      <c r="F48" s="14">
        <v>817625962</v>
      </c>
      <c r="G48" s="14">
        <v>481838162</v>
      </c>
      <c r="H48" s="14">
        <v>335787800</v>
      </c>
      <c r="I48" s="14">
        <v>159053180</v>
      </c>
    </row>
    <row r="49" spans="1:9">
      <c r="B49" t="s">
        <v>61</v>
      </c>
      <c r="C49" s="29">
        <v>11</v>
      </c>
      <c r="D49" s="14">
        <v>3478456384</v>
      </c>
      <c r="E49" s="14">
        <v>722327363</v>
      </c>
      <c r="F49" s="14">
        <v>1051693754</v>
      </c>
      <c r="G49" s="14">
        <v>405934629</v>
      </c>
      <c r="H49" s="14">
        <v>645759125</v>
      </c>
      <c r="I49" s="14">
        <v>1704435267</v>
      </c>
    </row>
    <row r="50" spans="1:9">
      <c r="B50" t="s">
        <v>56</v>
      </c>
      <c r="C50" s="29">
        <v>8</v>
      </c>
      <c r="D50" s="14">
        <v>16698865608</v>
      </c>
      <c r="E50" s="14">
        <v>5568179894</v>
      </c>
      <c r="F50" s="14">
        <v>3422901351</v>
      </c>
      <c r="G50" s="14">
        <v>2077463581</v>
      </c>
      <c r="H50" s="14">
        <v>1345437770</v>
      </c>
      <c r="I50" s="14">
        <v>7707784363</v>
      </c>
    </row>
    <row r="51" spans="1:9">
      <c r="B51" t="s">
        <v>62</v>
      </c>
      <c r="C51" s="29">
        <v>5</v>
      </c>
      <c r="D51" s="14">
        <v>4811614562</v>
      </c>
      <c r="E51" s="14">
        <v>2618173447</v>
      </c>
      <c r="F51" s="14">
        <v>1987460593</v>
      </c>
      <c r="G51" s="14">
        <v>446995208</v>
      </c>
      <c r="H51" s="14">
        <v>1540465385</v>
      </c>
      <c r="I51" s="14">
        <v>205980522</v>
      </c>
    </row>
    <row r="52" spans="1:9">
      <c r="B52" t="s">
        <v>63</v>
      </c>
      <c r="C52" s="29">
        <v>8</v>
      </c>
      <c r="D52" s="14">
        <v>3760790239</v>
      </c>
      <c r="E52" s="14">
        <v>1498326510</v>
      </c>
      <c r="F52" s="14">
        <v>1184841495</v>
      </c>
      <c r="G52" s="14">
        <v>472916222</v>
      </c>
      <c r="H52" s="14">
        <v>711925273</v>
      </c>
      <c r="I52" s="14">
        <v>1077622234</v>
      </c>
    </row>
    <row r="53" spans="1:9">
      <c r="B53" t="s">
        <v>64</v>
      </c>
      <c r="C53" s="29">
        <v>13</v>
      </c>
      <c r="D53" s="14">
        <v>5919003470</v>
      </c>
      <c r="E53" s="14">
        <v>455595696</v>
      </c>
      <c r="F53" s="14">
        <v>2527260225.3333359</v>
      </c>
      <c r="G53" s="14">
        <v>1555215748</v>
      </c>
      <c r="H53" s="14">
        <v>972044477.33333588</v>
      </c>
      <c r="I53" s="14">
        <v>2936147548.6666641</v>
      </c>
    </row>
    <row r="54" spans="1:9">
      <c r="B54" t="s">
        <v>65</v>
      </c>
      <c r="C54" s="29">
        <v>15</v>
      </c>
      <c r="D54" s="14">
        <v>7495698006</v>
      </c>
      <c r="E54" s="14">
        <v>5161415680</v>
      </c>
      <c r="F54" s="14">
        <v>1240467656</v>
      </c>
      <c r="G54" s="14">
        <v>866198407</v>
      </c>
      <c r="H54" s="14">
        <v>374269249</v>
      </c>
      <c r="I54" s="14">
        <v>1093814670</v>
      </c>
    </row>
    <row r="55" spans="1:9">
      <c r="B55" t="s">
        <v>66</v>
      </c>
      <c r="C55" s="29">
        <v>12</v>
      </c>
      <c r="D55" s="14">
        <v>1768138069</v>
      </c>
      <c r="E55" s="14">
        <v>0</v>
      </c>
      <c r="F55" s="14">
        <v>1174546069</v>
      </c>
      <c r="G55" s="14">
        <v>342185972</v>
      </c>
      <c r="H55" s="14">
        <v>832360097</v>
      </c>
      <c r="I55" s="14">
        <v>593592000</v>
      </c>
    </row>
    <row r="56" spans="1:9">
      <c r="A56" t="s">
        <v>1431</v>
      </c>
      <c r="C56" s="29">
        <v>117</v>
      </c>
      <c r="D56" s="14">
        <v>64335175440</v>
      </c>
      <c r="E56" s="14">
        <v>20510004027</v>
      </c>
      <c r="F56" s="14">
        <v>19920486762.333336</v>
      </c>
      <c r="G56" s="14">
        <v>9483088978</v>
      </c>
      <c r="H56" s="14">
        <v>10437397784.333336</v>
      </c>
      <c r="I56" s="14">
        <v>23904684650.666664</v>
      </c>
    </row>
    <row r="57" spans="1:9">
      <c r="A57" t="s">
        <v>37</v>
      </c>
      <c r="B57" t="s">
        <v>37</v>
      </c>
      <c r="C57" s="29">
        <v>57</v>
      </c>
      <c r="D57" s="14">
        <v>40599639090</v>
      </c>
      <c r="E57" s="14">
        <v>12223592199</v>
      </c>
      <c r="F57" s="14">
        <v>13682598146</v>
      </c>
      <c r="G57" s="14">
        <v>1347452418</v>
      </c>
      <c r="H57" s="14">
        <v>12335145728</v>
      </c>
      <c r="I57" s="14">
        <v>14693448745</v>
      </c>
    </row>
    <row r="58" spans="1:9">
      <c r="A58" t="s">
        <v>1432</v>
      </c>
      <c r="C58" s="29">
        <v>57</v>
      </c>
      <c r="D58" s="14">
        <v>40599639090</v>
      </c>
      <c r="E58" s="14">
        <v>12223592199</v>
      </c>
      <c r="F58" s="14">
        <v>13682598146</v>
      </c>
      <c r="G58" s="14">
        <v>1347452418</v>
      </c>
      <c r="H58" s="14">
        <v>12335145728</v>
      </c>
      <c r="I58" s="14">
        <v>14693448745</v>
      </c>
    </row>
    <row r="59" spans="1:9">
      <c r="A59" t="s">
        <v>33</v>
      </c>
      <c r="B59" t="s">
        <v>48</v>
      </c>
      <c r="C59" s="29">
        <v>11</v>
      </c>
      <c r="D59" s="14">
        <v>15159446909</v>
      </c>
      <c r="E59" s="14">
        <v>1431793263</v>
      </c>
      <c r="F59" s="14">
        <v>1901306034</v>
      </c>
      <c r="G59" s="14">
        <v>287605041</v>
      </c>
      <c r="H59" s="14">
        <v>1613700993</v>
      </c>
      <c r="I59" s="14">
        <v>11826347612</v>
      </c>
    </row>
    <row r="60" spans="1:9">
      <c r="B60" t="s">
        <v>49</v>
      </c>
      <c r="C60" s="29">
        <v>11</v>
      </c>
      <c r="D60" s="14">
        <v>2283098582</v>
      </c>
      <c r="E60" s="14">
        <v>2300000</v>
      </c>
      <c r="F60" s="14">
        <v>1475296582</v>
      </c>
      <c r="G60" s="14">
        <v>106896571</v>
      </c>
      <c r="H60" s="14">
        <v>1368400011</v>
      </c>
      <c r="I60" s="14">
        <v>805502000</v>
      </c>
    </row>
    <row r="61" spans="1:9">
      <c r="B61" t="s">
        <v>50</v>
      </c>
      <c r="C61" s="29">
        <v>11</v>
      </c>
      <c r="D61" s="14">
        <v>6201941000</v>
      </c>
      <c r="E61" s="14">
        <v>1469573458</v>
      </c>
      <c r="F61" s="14">
        <v>2556401150</v>
      </c>
      <c r="G61" s="14">
        <v>476882445</v>
      </c>
      <c r="H61" s="14">
        <v>2079518705</v>
      </c>
      <c r="I61" s="14">
        <v>2175966392</v>
      </c>
    </row>
    <row r="62" spans="1:9">
      <c r="B62" t="s">
        <v>51</v>
      </c>
      <c r="C62" s="29">
        <v>11</v>
      </c>
      <c r="D62" s="14">
        <v>10292906000</v>
      </c>
      <c r="E62" s="14">
        <v>521109487</v>
      </c>
      <c r="F62" s="14">
        <v>3162417665</v>
      </c>
      <c r="G62" s="14">
        <v>1256934275</v>
      </c>
      <c r="H62" s="14">
        <v>1905483390</v>
      </c>
      <c r="I62" s="14">
        <v>6609378848</v>
      </c>
    </row>
    <row r="63" spans="1:9">
      <c r="B63" t="s">
        <v>33</v>
      </c>
      <c r="C63" s="29">
        <v>5</v>
      </c>
      <c r="D63" s="14">
        <v>4282568095</v>
      </c>
      <c r="E63" s="14">
        <v>3081361556</v>
      </c>
      <c r="F63" s="14">
        <v>706685457</v>
      </c>
      <c r="G63" s="14">
        <v>511644813</v>
      </c>
      <c r="H63" s="14">
        <v>195040644</v>
      </c>
      <c r="I63" s="14">
        <v>494521082</v>
      </c>
    </row>
    <row r="64" spans="1:9">
      <c r="B64" t="s">
        <v>52</v>
      </c>
      <c r="C64" s="29">
        <v>14</v>
      </c>
      <c r="D64" s="14">
        <v>4231086930</v>
      </c>
      <c r="E64" s="14">
        <v>468557253</v>
      </c>
      <c r="F64" s="14">
        <v>2461286911</v>
      </c>
      <c r="G64" s="14">
        <v>1687603630</v>
      </c>
      <c r="H64" s="14">
        <v>773683281</v>
      </c>
      <c r="I64" s="14">
        <v>1301242766</v>
      </c>
    </row>
    <row r="65" spans="1:9">
      <c r="B65" t="s">
        <v>53</v>
      </c>
      <c r="C65" s="29">
        <v>8</v>
      </c>
      <c r="D65" s="14">
        <v>2014038624</v>
      </c>
      <c r="E65" s="14">
        <v>311373193</v>
      </c>
      <c r="F65" s="14">
        <v>1695414809</v>
      </c>
      <c r="G65" s="14">
        <v>453892565</v>
      </c>
      <c r="H65" s="14">
        <v>1241522244</v>
      </c>
      <c r="I65" s="14">
        <v>7250622</v>
      </c>
    </row>
    <row r="66" spans="1:9">
      <c r="B66" t="s">
        <v>54</v>
      </c>
      <c r="C66" s="29">
        <v>17</v>
      </c>
      <c r="D66" s="14">
        <v>27672189427</v>
      </c>
      <c r="E66" s="14">
        <v>9227947042</v>
      </c>
      <c r="F66" s="14">
        <v>1662907588</v>
      </c>
      <c r="G66" s="14">
        <v>218935515</v>
      </c>
      <c r="H66" s="14">
        <v>1443972073</v>
      </c>
      <c r="I66" s="14">
        <v>16781334797</v>
      </c>
    </row>
    <row r="67" spans="1:9">
      <c r="B67" t="s">
        <v>55</v>
      </c>
      <c r="C67" s="29">
        <v>14</v>
      </c>
      <c r="D67" s="14">
        <v>13321621952</v>
      </c>
      <c r="E67" s="14">
        <v>4214314891</v>
      </c>
      <c r="F67" s="14">
        <v>4085867344</v>
      </c>
      <c r="G67" s="14">
        <v>1389168361</v>
      </c>
      <c r="H67" s="14">
        <v>2696698983</v>
      </c>
      <c r="I67" s="14">
        <v>5021439717</v>
      </c>
    </row>
    <row r="68" spans="1:9">
      <c r="B68" t="s">
        <v>47</v>
      </c>
      <c r="C68" s="29">
        <v>9</v>
      </c>
      <c r="D68" s="14">
        <v>27945519000</v>
      </c>
      <c r="E68" s="14">
        <v>7950181696</v>
      </c>
      <c r="F68" s="14">
        <v>5599913155</v>
      </c>
      <c r="G68" s="14">
        <v>4772166257</v>
      </c>
      <c r="H68" s="14">
        <v>827746898</v>
      </c>
      <c r="I68" s="14">
        <v>14395424149</v>
      </c>
    </row>
    <row r="69" spans="1:9">
      <c r="A69" t="s">
        <v>1433</v>
      </c>
      <c r="C69" s="29">
        <v>111</v>
      </c>
      <c r="D69" s="14">
        <v>113404416519</v>
      </c>
      <c r="E69" s="14">
        <v>28678511839</v>
      </c>
      <c r="F69" s="14">
        <v>25307496695</v>
      </c>
      <c r="G69" s="14">
        <v>11161729473</v>
      </c>
      <c r="H69" s="14">
        <v>14145767222</v>
      </c>
      <c r="I69" s="14">
        <v>59418407985</v>
      </c>
    </row>
    <row r="70" spans="1:9">
      <c r="A70" t="s">
        <v>32</v>
      </c>
      <c r="B70" t="s">
        <v>32</v>
      </c>
      <c r="C70" s="29">
        <v>17</v>
      </c>
      <c r="D70" s="14">
        <v>39368094574</v>
      </c>
      <c r="E70" s="14">
        <v>13864577742</v>
      </c>
      <c r="F70" s="14">
        <v>6240132006</v>
      </c>
      <c r="G70" s="14">
        <v>2414239324</v>
      </c>
      <c r="H70" s="14">
        <v>3825892682</v>
      </c>
      <c r="I70" s="14">
        <v>19263384826</v>
      </c>
    </row>
    <row r="71" spans="1:9">
      <c r="B71" t="s">
        <v>40</v>
      </c>
      <c r="C71" s="29">
        <v>13</v>
      </c>
      <c r="D71" s="14">
        <v>32573522567</v>
      </c>
      <c r="E71" s="14">
        <v>9393959757</v>
      </c>
      <c r="F71" s="14">
        <v>3524371835.6666603</v>
      </c>
      <c r="G71" s="14">
        <v>2500595634</v>
      </c>
      <c r="H71" s="14">
        <v>1023776201.6666601</v>
      </c>
      <c r="I71" s="14">
        <v>19655190974.33334</v>
      </c>
    </row>
    <row r="72" spans="1:9">
      <c r="B72" t="s">
        <v>41</v>
      </c>
      <c r="C72" s="29">
        <v>8</v>
      </c>
      <c r="D72" s="14">
        <v>2903678000</v>
      </c>
      <c r="E72" s="14">
        <v>7512000</v>
      </c>
      <c r="F72" s="14">
        <v>2021456076</v>
      </c>
      <c r="G72" s="14">
        <v>1087251162</v>
      </c>
      <c r="H72" s="14">
        <v>934204914</v>
      </c>
      <c r="I72" s="14">
        <v>874709924</v>
      </c>
    </row>
    <row r="73" spans="1:9">
      <c r="B73" t="s">
        <v>42</v>
      </c>
      <c r="C73" s="29">
        <v>15</v>
      </c>
      <c r="D73" s="14">
        <v>4745054372</v>
      </c>
      <c r="E73" s="14">
        <v>955247076</v>
      </c>
      <c r="F73" s="14">
        <v>1946324680.3333333</v>
      </c>
      <c r="G73" s="14">
        <v>1098533127</v>
      </c>
      <c r="H73" s="14">
        <v>847791553.33333337</v>
      </c>
      <c r="I73" s="14">
        <v>1843482615.6666665</v>
      </c>
    </row>
    <row r="74" spans="1:9">
      <c r="B74" t="s">
        <v>43</v>
      </c>
      <c r="C74" s="29">
        <v>7</v>
      </c>
      <c r="D74" s="14">
        <v>3869018160</v>
      </c>
      <c r="E74" s="14">
        <v>3115184988</v>
      </c>
      <c r="F74" s="14">
        <v>712506633</v>
      </c>
      <c r="G74" s="14">
        <v>383684418</v>
      </c>
      <c r="H74" s="14">
        <v>328822215</v>
      </c>
      <c r="I74" s="14">
        <v>41326539</v>
      </c>
    </row>
    <row r="75" spans="1:9">
      <c r="B75" t="s">
        <v>44</v>
      </c>
      <c r="C75" s="29">
        <v>7</v>
      </c>
      <c r="D75" s="14">
        <v>2041600887</v>
      </c>
      <c r="E75" s="14">
        <v>913033364</v>
      </c>
      <c r="F75" s="14">
        <v>1071191420</v>
      </c>
      <c r="G75" s="14">
        <v>888493482</v>
      </c>
      <c r="H75" s="14">
        <v>182697938</v>
      </c>
      <c r="I75" s="14">
        <v>57376103</v>
      </c>
    </row>
    <row r="76" spans="1:9">
      <c r="B76" t="s">
        <v>45</v>
      </c>
      <c r="C76" s="29">
        <v>5</v>
      </c>
      <c r="D76" s="14">
        <v>6615101000</v>
      </c>
      <c r="E76" s="14">
        <v>3059398659</v>
      </c>
      <c r="F76" s="14">
        <v>1257875803</v>
      </c>
      <c r="G76" s="14">
        <v>597761253</v>
      </c>
      <c r="H76" s="14">
        <v>660114550</v>
      </c>
      <c r="I76" s="14">
        <v>2297826538</v>
      </c>
    </row>
    <row r="77" spans="1:9">
      <c r="B77" t="s">
        <v>46</v>
      </c>
      <c r="C77" s="29">
        <v>8</v>
      </c>
      <c r="D77" s="14">
        <v>1070536301</v>
      </c>
      <c r="E77" s="14">
        <v>159110258</v>
      </c>
      <c r="F77" s="14">
        <v>911152014</v>
      </c>
      <c r="G77" s="14">
        <v>378698492</v>
      </c>
      <c r="H77" s="14">
        <v>532453522</v>
      </c>
      <c r="I77" s="14">
        <v>274029</v>
      </c>
    </row>
    <row r="78" spans="1:9">
      <c r="A78" t="s">
        <v>1434</v>
      </c>
      <c r="C78" s="29">
        <v>80</v>
      </c>
      <c r="D78" s="14">
        <v>93186605861</v>
      </c>
      <c r="E78" s="14">
        <v>31468023844</v>
      </c>
      <c r="F78" s="14">
        <v>17685010467.999992</v>
      </c>
      <c r="G78" s="14">
        <v>9349256892</v>
      </c>
      <c r="H78" s="14">
        <v>8335753575.9999933</v>
      </c>
      <c r="I78" s="14">
        <v>44033571549.000008</v>
      </c>
    </row>
    <row r="79" spans="1:9">
      <c r="A79" t="s">
        <v>35</v>
      </c>
      <c r="B79" t="s">
        <v>68</v>
      </c>
      <c r="C79" s="29">
        <v>8</v>
      </c>
      <c r="D79" s="14">
        <v>16836339152</v>
      </c>
      <c r="E79" s="14">
        <v>7407000</v>
      </c>
      <c r="F79" s="14">
        <v>2508600617</v>
      </c>
      <c r="G79" s="14">
        <v>416235609</v>
      </c>
      <c r="H79" s="14">
        <v>2092365008</v>
      </c>
      <c r="I79" s="14">
        <v>14320331535</v>
      </c>
    </row>
    <row r="80" spans="1:9">
      <c r="B80" t="s">
        <v>69</v>
      </c>
      <c r="C80" s="29">
        <v>8</v>
      </c>
      <c r="D80" s="14">
        <v>9378244885</v>
      </c>
      <c r="E80" s="14">
        <v>7535059128</v>
      </c>
      <c r="F80" s="14">
        <v>1496428303</v>
      </c>
      <c r="G80" s="14">
        <v>447254372</v>
      </c>
      <c r="H80" s="14">
        <v>1049173931</v>
      </c>
      <c r="I80" s="14">
        <v>346757454</v>
      </c>
    </row>
    <row r="81" spans="1:9">
      <c r="B81" t="s">
        <v>70</v>
      </c>
      <c r="C81" s="29">
        <v>13</v>
      </c>
      <c r="D81" s="14">
        <v>3248075885</v>
      </c>
      <c r="E81" s="14">
        <v>444757438</v>
      </c>
      <c r="F81" s="14">
        <v>2374095836</v>
      </c>
      <c r="G81" s="14">
        <v>714326674</v>
      </c>
      <c r="H81" s="14">
        <v>1659769162</v>
      </c>
      <c r="I81" s="14">
        <v>429222611</v>
      </c>
    </row>
    <row r="82" spans="1:9">
      <c r="B82" t="s">
        <v>35</v>
      </c>
      <c r="C82" s="29">
        <v>7</v>
      </c>
      <c r="D82" s="14">
        <v>3763760000</v>
      </c>
      <c r="E82" s="14">
        <v>657416086</v>
      </c>
      <c r="F82" s="14">
        <v>1152876029</v>
      </c>
      <c r="G82" s="14">
        <v>62992534</v>
      </c>
      <c r="H82" s="14">
        <v>1089883495</v>
      </c>
      <c r="I82" s="14">
        <v>1953467885</v>
      </c>
    </row>
    <row r="83" spans="1:9">
      <c r="B83" t="s">
        <v>67</v>
      </c>
      <c r="C83" s="29">
        <v>8</v>
      </c>
      <c r="D83" s="14">
        <v>44810559000</v>
      </c>
      <c r="E83" s="14">
        <v>1842940626</v>
      </c>
      <c r="F83" s="14">
        <v>6883977228</v>
      </c>
      <c r="G83" s="14">
        <v>4424667622</v>
      </c>
      <c r="H83" s="14">
        <v>2459309606</v>
      </c>
      <c r="I83" s="14">
        <v>36083641146</v>
      </c>
    </row>
    <row r="84" spans="1:9">
      <c r="B84" t="s">
        <v>1015</v>
      </c>
      <c r="C84" s="29">
        <v>1</v>
      </c>
      <c r="D84" s="14">
        <v>814000000</v>
      </c>
      <c r="E84" s="14">
        <v>0</v>
      </c>
      <c r="F84" s="14">
        <v>0</v>
      </c>
      <c r="G84" s="14">
        <v>0</v>
      </c>
      <c r="H84" s="14">
        <v>0</v>
      </c>
      <c r="I84" s="14">
        <v>814000000</v>
      </c>
    </row>
    <row r="85" spans="1:9">
      <c r="A85" t="s">
        <v>1435</v>
      </c>
      <c r="C85" s="29">
        <v>45</v>
      </c>
      <c r="D85" s="14">
        <v>78850978922</v>
      </c>
      <c r="E85" s="14">
        <v>10487580278</v>
      </c>
      <c r="F85" s="14">
        <v>14415978013</v>
      </c>
      <c r="G85" s="14">
        <v>6065476811</v>
      </c>
      <c r="H85" s="14">
        <v>8350501202</v>
      </c>
      <c r="I85" s="14">
        <v>53947420631</v>
      </c>
    </row>
    <row r="86" spans="1:9">
      <c r="A86" t="s">
        <v>36</v>
      </c>
      <c r="B86" t="s">
        <v>36</v>
      </c>
      <c r="C86" s="29">
        <v>20</v>
      </c>
      <c r="D86" s="14">
        <v>43016339998</v>
      </c>
      <c r="E86" s="14">
        <v>5914276781</v>
      </c>
      <c r="F86" s="14">
        <v>19283988305</v>
      </c>
      <c r="G86" s="14">
        <v>2683181697</v>
      </c>
      <c r="H86" s="14">
        <v>16600806608</v>
      </c>
      <c r="I86" s="14">
        <v>17818074912</v>
      </c>
    </row>
    <row r="87" spans="1:9">
      <c r="A87" t="s">
        <v>1436</v>
      </c>
      <c r="C87" s="29">
        <v>20</v>
      </c>
      <c r="D87" s="14">
        <v>43016339998</v>
      </c>
      <c r="E87" s="14">
        <v>5914276781</v>
      </c>
      <c r="F87" s="14">
        <v>19283988305</v>
      </c>
      <c r="G87" s="14">
        <v>2683181697</v>
      </c>
      <c r="H87" s="14">
        <v>16600806608</v>
      </c>
      <c r="I87" s="14">
        <v>17818074912</v>
      </c>
    </row>
    <row r="88" spans="1:9">
      <c r="A88" t="s">
        <v>38</v>
      </c>
      <c r="C88" s="29">
        <v>430</v>
      </c>
      <c r="D88" s="14">
        <v>433393155830</v>
      </c>
      <c r="E88" s="14">
        <v>109281988968</v>
      </c>
      <c r="F88" s="14">
        <v>110295558389.33333</v>
      </c>
      <c r="G88" s="14">
        <v>40090186269</v>
      </c>
      <c r="H88" s="14">
        <v>70205372120.333328</v>
      </c>
      <c r="I88" s="14">
        <v>213815608472.66666</v>
      </c>
    </row>
    <row r="93" spans="1:9">
      <c r="A93" s="801" t="s">
        <v>1429</v>
      </c>
      <c r="B93" t="s">
        <v>1437</v>
      </c>
      <c r="C93" t="s">
        <v>1425</v>
      </c>
      <c r="D93" t="s">
        <v>1426</v>
      </c>
      <c r="E93" t="s">
        <v>1618</v>
      </c>
      <c r="F93" t="s">
        <v>1427</v>
      </c>
      <c r="G93" t="s">
        <v>1428</v>
      </c>
    </row>
    <row r="94" spans="1:9">
      <c r="A94" s="30" t="s">
        <v>168</v>
      </c>
      <c r="B94" s="31">
        <v>16679732677</v>
      </c>
      <c r="C94" s="14">
        <v>4164097306</v>
      </c>
      <c r="D94" s="14">
        <v>7049643745</v>
      </c>
      <c r="E94" s="14">
        <v>2823470607</v>
      </c>
      <c r="F94" s="14">
        <v>4226173138</v>
      </c>
      <c r="G94" s="14">
        <v>5465991626</v>
      </c>
    </row>
    <row r="95" spans="1:9">
      <c r="A95" s="30" t="s">
        <v>144</v>
      </c>
      <c r="B95" s="31">
        <v>29740327175</v>
      </c>
      <c r="C95" s="14">
        <v>3687716616</v>
      </c>
      <c r="D95" s="14">
        <v>8427296399.6666603</v>
      </c>
      <c r="E95" s="14">
        <v>2813350390</v>
      </c>
      <c r="F95" s="14">
        <v>5613946009.6666603</v>
      </c>
      <c r="G95" s="14">
        <v>17625314159.33334</v>
      </c>
    </row>
    <row r="96" spans="1:9">
      <c r="A96" s="30" t="s">
        <v>159</v>
      </c>
      <c r="B96" s="31">
        <v>15083626576</v>
      </c>
      <c r="C96" s="14">
        <v>6261806612</v>
      </c>
      <c r="D96" s="14">
        <v>4129034896</v>
      </c>
      <c r="E96" s="14">
        <v>1645267241</v>
      </c>
      <c r="F96" s="14">
        <v>2483767655</v>
      </c>
      <c r="G96" s="14">
        <v>4692785068</v>
      </c>
    </row>
    <row r="97" spans="1:7">
      <c r="A97" s="30" t="s">
        <v>139</v>
      </c>
      <c r="B97" s="31">
        <v>71586506511</v>
      </c>
      <c r="C97" s="14">
        <v>28364096944</v>
      </c>
      <c r="D97" s="14">
        <v>9427149374.3333359</v>
      </c>
      <c r="E97" s="14">
        <v>4911971977</v>
      </c>
      <c r="F97" s="14">
        <v>4515177397.3333359</v>
      </c>
      <c r="G97" s="14">
        <v>33795260192.666664</v>
      </c>
    </row>
    <row r="98" spans="1:7">
      <c r="A98" s="30" t="s">
        <v>251</v>
      </c>
      <c r="B98" s="31">
        <v>6984185105</v>
      </c>
      <c r="C98" s="14">
        <v>121504000</v>
      </c>
      <c r="D98" s="14">
        <v>6061316100</v>
      </c>
      <c r="E98" s="14">
        <v>1154940020</v>
      </c>
      <c r="F98" s="14">
        <v>4906376080</v>
      </c>
      <c r="G98" s="14">
        <v>801365005</v>
      </c>
    </row>
    <row r="99" spans="1:7">
      <c r="A99" s="30" t="s">
        <v>618</v>
      </c>
      <c r="B99" s="31">
        <v>12334805111</v>
      </c>
      <c r="C99" s="14">
        <v>3008461241</v>
      </c>
      <c r="D99" s="14">
        <v>4231974987</v>
      </c>
      <c r="E99" s="14">
        <v>202596523</v>
      </c>
      <c r="F99" s="14">
        <v>4029378464</v>
      </c>
      <c r="G99" s="14">
        <v>5094368883</v>
      </c>
    </row>
    <row r="100" spans="1:7">
      <c r="A100" s="30" t="s">
        <v>149</v>
      </c>
      <c r="B100" s="31">
        <v>67017678963</v>
      </c>
      <c r="C100" s="14">
        <v>14051405233</v>
      </c>
      <c r="D100" s="14">
        <v>24300783138</v>
      </c>
      <c r="E100" s="14">
        <v>6140209058</v>
      </c>
      <c r="F100" s="14">
        <v>18160574080</v>
      </c>
      <c r="G100" s="14">
        <v>28665490592</v>
      </c>
    </row>
    <row r="101" spans="1:7">
      <c r="A101" s="30" t="s">
        <v>164</v>
      </c>
      <c r="B101" s="31">
        <v>65234922912</v>
      </c>
      <c r="C101" s="14">
        <v>21080743556</v>
      </c>
      <c r="D101" s="14">
        <v>10187690191.333334</v>
      </c>
      <c r="E101" s="14">
        <v>3632832180</v>
      </c>
      <c r="F101" s="14">
        <v>6554858011.333334</v>
      </c>
      <c r="G101" s="14">
        <v>33966489164.666664</v>
      </c>
    </row>
    <row r="102" spans="1:7">
      <c r="A102" s="30" t="s">
        <v>648</v>
      </c>
      <c r="B102" s="31">
        <v>17071040798</v>
      </c>
      <c r="C102" s="14">
        <v>8234005661</v>
      </c>
      <c r="D102" s="14">
        <v>4777530101</v>
      </c>
      <c r="E102" s="14">
        <v>447241000</v>
      </c>
      <c r="F102" s="14">
        <v>4330289101</v>
      </c>
      <c r="G102" s="14">
        <v>4059505036</v>
      </c>
    </row>
    <row r="103" spans="1:7">
      <c r="A103" s="30" t="s">
        <v>129</v>
      </c>
      <c r="B103" s="31">
        <v>123647369771</v>
      </c>
      <c r="C103" s="14">
        <v>19418815176</v>
      </c>
      <c r="D103" s="14">
        <v>30780750735</v>
      </c>
      <c r="E103" s="14">
        <v>16244621022</v>
      </c>
      <c r="F103" s="14">
        <v>14536129713</v>
      </c>
      <c r="G103" s="14">
        <v>73447803860</v>
      </c>
    </row>
    <row r="104" spans="1:7">
      <c r="A104" s="30" t="s">
        <v>204</v>
      </c>
      <c r="B104" s="14">
        <v>8012960231</v>
      </c>
      <c r="C104" s="14">
        <v>889336623</v>
      </c>
      <c r="D104" s="14">
        <v>922388722</v>
      </c>
      <c r="E104" s="14">
        <v>73686251</v>
      </c>
      <c r="F104" s="14">
        <v>848702471</v>
      </c>
      <c r="G104" s="14">
        <v>6201234886</v>
      </c>
    </row>
    <row r="105" spans="1:7">
      <c r="A105" s="30" t="s">
        <v>38</v>
      </c>
      <c r="B105" s="14">
        <v>433393155830</v>
      </c>
      <c r="C105" s="14">
        <v>109281988968</v>
      </c>
      <c r="D105" s="14">
        <v>110295558389.33333</v>
      </c>
      <c r="E105" s="14">
        <v>40090186269</v>
      </c>
      <c r="F105" s="14">
        <v>70205372120.333344</v>
      </c>
      <c r="G105" s="14">
        <v>213815608472.66666</v>
      </c>
    </row>
  </sheetData>
  <pageMargins left="0.70763888888888904" right="0.70763888888888904" top="0.74791666666666701" bottom="0.74791666666666701" header="0.31388888888888899" footer="0.31388888888888899"/>
  <pageSetup paperSize="9" scale="31" orientation="landscape" r:id="rId6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"/>
  <sheetViews>
    <sheetView workbookViewId="0">
      <selection activeCell="I13" sqref="I13"/>
    </sheetView>
  </sheetViews>
  <sheetFormatPr baseColWidth="10" defaultColWidth="11" defaultRowHeight="15"/>
  <cols>
    <col min="2" max="2" width="14.7109375" customWidth="1"/>
    <col min="3" max="3" width="5.5703125" customWidth="1"/>
    <col min="4" max="4" width="14.7109375" customWidth="1"/>
    <col min="5" max="5" width="16" customWidth="1"/>
    <col min="6" max="6" width="19.140625" customWidth="1"/>
    <col min="7" max="7" width="14.7109375" customWidth="1"/>
    <col min="9" max="9" width="14.7109375" customWidth="1"/>
    <col min="10" max="10" width="15.42578125" customWidth="1"/>
  </cols>
  <sheetData>
    <row r="1" spans="1:11" ht="51.75">
      <c r="A1" s="7" t="s">
        <v>1438</v>
      </c>
      <c r="B1" s="8" t="s">
        <v>22</v>
      </c>
      <c r="C1" s="8" t="s">
        <v>23</v>
      </c>
      <c r="D1" s="9" t="s">
        <v>94</v>
      </c>
      <c r="E1" s="10" t="s">
        <v>1439</v>
      </c>
      <c r="F1" s="9" t="s">
        <v>29</v>
      </c>
      <c r="G1" s="9" t="s">
        <v>1440</v>
      </c>
      <c r="H1" s="9" t="s">
        <v>1441</v>
      </c>
      <c r="I1" s="13" t="s">
        <v>79</v>
      </c>
      <c r="J1" s="9" t="s">
        <v>1442</v>
      </c>
    </row>
    <row r="2" spans="1:11">
      <c r="A2" s="7" t="s">
        <v>91</v>
      </c>
      <c r="B2" s="11">
        <f>SECTOR!C21</f>
        <v>433393155830</v>
      </c>
      <c r="C2" s="12">
        <f>SECTOR!D21</f>
        <v>0.99999999999999989</v>
      </c>
      <c r="D2" s="11">
        <f>SECTOR!E21</f>
        <v>109281988968</v>
      </c>
      <c r="E2" s="11">
        <f>SECTOR!H21</f>
        <v>40090186269</v>
      </c>
      <c r="F2" s="11">
        <f>SECTOR!I21</f>
        <v>70205372120.333328</v>
      </c>
      <c r="G2" s="11">
        <f>SECTOR!F21</f>
        <v>110295558389.33333</v>
      </c>
      <c r="H2" s="12">
        <f>SECTOR!G21</f>
        <v>1</v>
      </c>
      <c r="I2" s="11">
        <f>SECTOR!J21</f>
        <v>213815608472.66666</v>
      </c>
      <c r="J2" s="11">
        <f>B2-(D2+E2+F2+I2)</f>
        <v>0</v>
      </c>
    </row>
    <row r="3" spans="1:11">
      <c r="A3" s="7" t="s">
        <v>21</v>
      </c>
      <c r="B3" s="11">
        <f>PROVINCIA!C13</f>
        <v>433393155830</v>
      </c>
      <c r="C3" s="12">
        <f>PROVINCIA!D13</f>
        <v>1</v>
      </c>
      <c r="D3" s="11">
        <f>PROVINCIA!E13</f>
        <v>109281988968</v>
      </c>
      <c r="E3" s="11">
        <f>PROVINCIA!H13</f>
        <v>40090186269</v>
      </c>
      <c r="F3" s="11">
        <f>PROVINCIA!J13</f>
        <v>70205372120.333328</v>
      </c>
      <c r="G3" s="11">
        <f>PROVINCIA!F13</f>
        <v>110295558389.33333</v>
      </c>
      <c r="H3" s="12">
        <f>PROVINCIA!G13</f>
        <v>1</v>
      </c>
      <c r="I3" s="11">
        <f>PROVINCIA!$L$13</f>
        <v>213815608472.66669</v>
      </c>
      <c r="J3" s="11">
        <f>B3-(D3+E3+F3+I3)</f>
        <v>0</v>
      </c>
    </row>
    <row r="4" spans="1:11">
      <c r="A4" s="7" t="s">
        <v>1429</v>
      </c>
      <c r="B4" s="11">
        <f>+B3</f>
        <v>433393155830</v>
      </c>
      <c r="C4" s="12">
        <f>+C3</f>
        <v>1</v>
      </c>
      <c r="D4" s="11">
        <f>+D3</f>
        <v>109281988968</v>
      </c>
      <c r="E4" s="11">
        <f>+PROVISION!J18</f>
        <v>40090186269</v>
      </c>
      <c r="F4" s="11">
        <f>+GETPIVOTDATA(" SALDO COMPROMISO",RESUMEN!$A$16)</f>
        <v>70205372120.333344</v>
      </c>
      <c r="G4" s="11">
        <f>+G3</f>
        <v>110295558389.33333</v>
      </c>
      <c r="H4" s="12">
        <f>PROVISION!F18</f>
        <v>1</v>
      </c>
      <c r="I4" s="11">
        <f>+I3</f>
        <v>213815608472.66669</v>
      </c>
      <c r="J4" s="11">
        <f>B4-(D4+E4+F4+I4)</f>
        <v>0</v>
      </c>
      <c r="K4" s="14"/>
    </row>
    <row r="5" spans="1:11">
      <c r="A5" s="7" t="s">
        <v>93</v>
      </c>
      <c r="B5" s="11">
        <f>SUBTITULO!C16</f>
        <v>433393155830</v>
      </c>
      <c r="C5" s="12">
        <f>SUBTITULO!D16</f>
        <v>1</v>
      </c>
      <c r="D5" s="11">
        <f>SUBTITULO!E16</f>
        <v>109281988968</v>
      </c>
      <c r="E5" s="11">
        <f>SUBTITULO!I16</f>
        <v>40090186269</v>
      </c>
      <c r="F5" s="11">
        <f>SUBTITULO!J16</f>
        <v>70205372120.333328</v>
      </c>
      <c r="G5" s="11">
        <f>SUBTITULO!G16</f>
        <v>110295558389.33333</v>
      </c>
      <c r="H5" s="12">
        <f>SUBTITULO!H16</f>
        <v>1</v>
      </c>
      <c r="I5" s="11">
        <f>SUBTITULO!$K$16</f>
        <v>213815608472.66666</v>
      </c>
      <c r="J5" s="11">
        <f>B5-(D5+E5+F5+I5)</f>
        <v>0</v>
      </c>
      <c r="K5" s="14"/>
    </row>
    <row r="8" spans="1:11">
      <c r="I8" s="14"/>
    </row>
  </sheetData>
  <pageMargins left="0.70763888888888904" right="0.70763888888888904" top="0.74791666666666701" bottom="0.74791666666666701" header="0.31388888888888899" footer="0.31388888888888899"/>
  <pageSetup scale="9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topLeftCell="A33" workbookViewId="0">
      <selection activeCell="J40" sqref="J40"/>
    </sheetView>
  </sheetViews>
  <sheetFormatPr baseColWidth="10" defaultColWidth="11.5703125" defaultRowHeight="12.75"/>
  <cols>
    <col min="1" max="1" width="8.28515625" style="33" customWidth="1"/>
    <col min="2" max="2" width="9.28515625" style="33" bestFit="1" customWidth="1"/>
    <col min="3" max="3" width="9" style="33" customWidth="1"/>
    <col min="4" max="4" width="1.28515625" style="34" customWidth="1"/>
    <col min="5" max="5" width="38.28515625" style="33" customWidth="1"/>
    <col min="6" max="6" width="13.28515625" style="33" bestFit="1" customWidth="1"/>
    <col min="7" max="7" width="7.140625" style="33" customWidth="1"/>
    <col min="8" max="8" width="1.28515625" style="34" customWidth="1"/>
    <col min="9" max="9" width="7.140625" style="33" customWidth="1"/>
    <col min="10" max="10" width="13.7109375" style="933" bestFit="1" customWidth="1"/>
    <col min="11" max="11" width="38.28515625" style="33" customWidth="1"/>
    <col min="12" max="16384" width="11.5703125" style="33"/>
  </cols>
  <sheetData>
    <row r="1" spans="1:17">
      <c r="C1" s="998" t="s">
        <v>1409</v>
      </c>
      <c r="D1" s="998"/>
      <c r="E1" s="998"/>
      <c r="F1" s="998"/>
      <c r="G1" s="998"/>
      <c r="H1" s="998"/>
      <c r="I1" s="998"/>
      <c r="J1" s="998"/>
      <c r="K1" s="998"/>
    </row>
    <row r="2" spans="1:17">
      <c r="C2" s="999" t="s">
        <v>1410</v>
      </c>
      <c r="D2" s="999"/>
      <c r="E2" s="999"/>
      <c r="F2" s="999"/>
      <c r="G2" s="999"/>
      <c r="H2" s="999"/>
      <c r="I2" s="999"/>
      <c r="J2" s="999"/>
      <c r="K2" s="999"/>
    </row>
    <row r="4" spans="1:17" ht="18.75">
      <c r="E4" s="1000" t="s">
        <v>1411</v>
      </c>
      <c r="F4" s="1001"/>
      <c r="G4" s="1002"/>
      <c r="H4" s="36"/>
      <c r="I4" s="1003" t="s">
        <v>1412</v>
      </c>
      <c r="J4" s="1004"/>
      <c r="K4" s="1005"/>
    </row>
    <row r="5" spans="1:17" s="32" customFormat="1" ht="25.5">
      <c r="A5" s="37" t="s">
        <v>1413</v>
      </c>
      <c r="B5" s="38" t="s">
        <v>105</v>
      </c>
      <c r="C5" s="37" t="s">
        <v>109</v>
      </c>
      <c r="D5" s="39"/>
      <c r="E5" s="40" t="s">
        <v>1414</v>
      </c>
      <c r="F5" s="37" t="s">
        <v>1415</v>
      </c>
      <c r="G5" s="41" t="s">
        <v>102</v>
      </c>
      <c r="H5" s="39"/>
      <c r="I5" s="50" t="s">
        <v>1416</v>
      </c>
      <c r="J5" s="926" t="s">
        <v>1417</v>
      </c>
      <c r="K5" s="51" t="s">
        <v>1418</v>
      </c>
    </row>
    <row r="6" spans="1:17" ht="45">
      <c r="A6" s="1">
        <v>31</v>
      </c>
      <c r="B6" s="42" t="s">
        <v>48</v>
      </c>
      <c r="C6" s="2">
        <v>40015774</v>
      </c>
      <c r="D6" s="43"/>
      <c r="E6" s="44" t="s">
        <v>433</v>
      </c>
      <c r="F6" s="5">
        <v>269785542</v>
      </c>
      <c r="G6" s="45" t="s">
        <v>208</v>
      </c>
      <c r="H6" s="46"/>
      <c r="I6" s="52" t="s">
        <v>137</v>
      </c>
      <c r="J6" s="927">
        <v>365318</v>
      </c>
      <c r="K6" s="53" t="s">
        <v>1419</v>
      </c>
    </row>
    <row r="7" spans="1:17" ht="39">
      <c r="A7" s="1">
        <v>31</v>
      </c>
      <c r="B7" s="42" t="s">
        <v>48</v>
      </c>
      <c r="C7" s="2">
        <v>40015770</v>
      </c>
      <c r="D7" s="43"/>
      <c r="E7" s="44" t="s">
        <v>435</v>
      </c>
      <c r="F7" s="5">
        <v>370712904</v>
      </c>
      <c r="G7" s="45" t="s">
        <v>208</v>
      </c>
      <c r="H7" s="46"/>
      <c r="I7" s="52" t="s">
        <v>137</v>
      </c>
      <c r="J7" s="927">
        <v>437544</v>
      </c>
      <c r="K7" s="54" t="s">
        <v>1420</v>
      </c>
    </row>
    <row r="8" spans="1:17" ht="45">
      <c r="A8" s="1">
        <v>31</v>
      </c>
      <c r="B8" s="42" t="s">
        <v>64</v>
      </c>
      <c r="C8" s="2">
        <v>40009684</v>
      </c>
      <c r="D8" s="43"/>
      <c r="E8" s="47" t="s">
        <v>1421</v>
      </c>
      <c r="F8" s="48">
        <v>371182000</v>
      </c>
      <c r="G8" s="49" t="s">
        <v>208</v>
      </c>
      <c r="H8" s="46"/>
      <c r="I8" s="55" t="s">
        <v>137</v>
      </c>
      <c r="J8" s="928">
        <v>508302</v>
      </c>
      <c r="K8" s="56" t="s">
        <v>1422</v>
      </c>
    </row>
    <row r="11" spans="1:17">
      <c r="C11" s="998" t="s">
        <v>1409</v>
      </c>
      <c r="D11" s="998"/>
      <c r="E11" s="998"/>
      <c r="F11" s="998"/>
      <c r="G11" s="998"/>
      <c r="H11" s="998"/>
      <c r="I11" s="998"/>
      <c r="J11" s="998"/>
      <c r="K11" s="998"/>
    </row>
    <row r="12" spans="1:17">
      <c r="C12" s="999" t="s">
        <v>1468</v>
      </c>
      <c r="D12" s="999"/>
      <c r="E12" s="999"/>
      <c r="F12" s="999"/>
      <c r="G12" s="999"/>
      <c r="H12" s="999"/>
      <c r="I12" s="999"/>
      <c r="J12" s="999"/>
      <c r="K12" s="999"/>
    </row>
    <row r="13" spans="1:17" ht="13.5" thickBot="1">
      <c r="C13" s="35"/>
      <c r="D13" s="35"/>
      <c r="E13" s="35"/>
      <c r="F13" s="35"/>
      <c r="G13" s="35"/>
      <c r="H13" s="35"/>
      <c r="I13" s="35"/>
      <c r="J13" s="929"/>
      <c r="K13" s="35"/>
    </row>
    <row r="14" spans="1:17" ht="19.5" thickBot="1">
      <c r="E14" s="1000" t="s">
        <v>1411</v>
      </c>
      <c r="F14" s="1001"/>
      <c r="G14" s="1002"/>
      <c r="H14" s="36"/>
      <c r="I14" s="1003" t="s">
        <v>1412</v>
      </c>
      <c r="J14" s="1004"/>
      <c r="K14" s="1005"/>
    </row>
    <row r="15" spans="1:17" ht="45.75" thickBot="1">
      <c r="A15" s="1">
        <v>31</v>
      </c>
      <c r="B15" s="42" t="s">
        <v>54</v>
      </c>
      <c r="C15" s="2">
        <v>40012877</v>
      </c>
      <c r="D15" s="43"/>
      <c r="E15" s="47" t="s">
        <v>409</v>
      </c>
      <c r="F15" s="48">
        <v>525598000</v>
      </c>
      <c r="G15" s="49" t="s">
        <v>208</v>
      </c>
      <c r="I15" s="55" t="s">
        <v>137</v>
      </c>
      <c r="J15" s="928">
        <v>401054</v>
      </c>
      <c r="K15" s="56" t="s">
        <v>1459</v>
      </c>
    </row>
    <row r="16" spans="1:17" ht="45.75" thickBot="1">
      <c r="A16" s="791">
        <v>31</v>
      </c>
      <c r="B16" s="792" t="s">
        <v>57</v>
      </c>
      <c r="C16" s="793">
        <v>40009430</v>
      </c>
      <c r="D16" s="794"/>
      <c r="E16" s="795" t="s">
        <v>694</v>
      </c>
      <c r="F16" s="796">
        <v>375265000</v>
      </c>
      <c r="G16" s="797" t="s">
        <v>208</v>
      </c>
      <c r="H16" s="798"/>
      <c r="I16" s="799" t="s">
        <v>137</v>
      </c>
      <c r="J16" s="930">
        <v>310199</v>
      </c>
      <c r="K16" s="800" t="s">
        <v>1460</v>
      </c>
      <c r="N16" s="33">
        <v>40014326</v>
      </c>
      <c r="O16" s="33" t="s">
        <v>1470</v>
      </c>
      <c r="P16" s="33" t="s">
        <v>137</v>
      </c>
      <c r="Q16" s="33" t="s">
        <v>1471</v>
      </c>
    </row>
    <row r="17" spans="1:17" ht="30.75" thickBot="1">
      <c r="A17" s="1">
        <v>31</v>
      </c>
      <c r="B17" s="42" t="s">
        <v>59</v>
      </c>
      <c r="C17" s="2">
        <v>30135406</v>
      </c>
      <c r="D17" s="43"/>
      <c r="E17" s="47" t="s">
        <v>757</v>
      </c>
      <c r="F17" s="48">
        <v>777550000</v>
      </c>
      <c r="G17" s="49" t="s">
        <v>208</v>
      </c>
      <c r="I17" s="55" t="s">
        <v>137</v>
      </c>
      <c r="J17" s="928">
        <v>857893</v>
      </c>
      <c r="K17" s="56" t="s">
        <v>1461</v>
      </c>
      <c r="N17" s="33">
        <v>30359222</v>
      </c>
      <c r="O17" s="33" t="s">
        <v>1473</v>
      </c>
      <c r="P17" s="33" t="s">
        <v>1474</v>
      </c>
      <c r="Q17" s="33" t="s">
        <v>1471</v>
      </c>
    </row>
    <row r="18" spans="1:17" ht="30.75" thickBot="1">
      <c r="A18" s="791">
        <v>31</v>
      </c>
      <c r="B18" s="792" t="s">
        <v>63</v>
      </c>
      <c r="C18" s="793">
        <v>40015946</v>
      </c>
      <c r="D18" s="794"/>
      <c r="E18" s="795" t="s">
        <v>826</v>
      </c>
      <c r="F18" s="796">
        <v>238672000</v>
      </c>
      <c r="G18" s="797" t="s">
        <v>208</v>
      </c>
      <c r="H18" s="798"/>
      <c r="I18" s="799" t="s">
        <v>137</v>
      </c>
      <c r="J18" s="930">
        <v>238672</v>
      </c>
      <c r="K18" s="800" t="s">
        <v>1462</v>
      </c>
    </row>
    <row r="19" spans="1:17" s="809" customFormat="1" ht="15">
      <c r="A19" s="804"/>
      <c r="B19" s="804"/>
      <c r="C19" s="43"/>
      <c r="D19" s="43"/>
      <c r="E19" s="805"/>
      <c r="F19" s="806"/>
      <c r="G19" s="46"/>
      <c r="H19" s="807"/>
      <c r="I19" s="46"/>
      <c r="J19" s="28"/>
      <c r="K19" s="808"/>
    </row>
    <row r="21" spans="1:17">
      <c r="C21" s="998" t="s">
        <v>1409</v>
      </c>
      <c r="D21" s="998"/>
      <c r="E21" s="998"/>
      <c r="F21" s="998"/>
      <c r="G21" s="998"/>
      <c r="H21" s="998"/>
      <c r="I21" s="998"/>
      <c r="J21" s="998"/>
      <c r="K21" s="998"/>
    </row>
    <row r="22" spans="1:17">
      <c r="C22" s="999" t="s">
        <v>1479</v>
      </c>
      <c r="D22" s="999"/>
      <c r="E22" s="999"/>
      <c r="F22" s="999"/>
      <c r="G22" s="999"/>
      <c r="H22" s="999"/>
      <c r="I22" s="999"/>
      <c r="J22" s="999"/>
      <c r="K22" s="999"/>
    </row>
    <row r="23" spans="1:17">
      <c r="C23" s="790"/>
      <c r="D23" s="790"/>
      <c r="E23" s="790"/>
      <c r="F23" s="790"/>
      <c r="G23" s="790"/>
      <c r="H23" s="790"/>
      <c r="I23" s="790"/>
      <c r="J23" s="929"/>
      <c r="K23" s="790"/>
    </row>
    <row r="24" spans="1:17" ht="30.75" thickBot="1">
      <c r="A24" s="1">
        <v>31</v>
      </c>
      <c r="B24" s="42" t="s">
        <v>64</v>
      </c>
      <c r="C24" s="2">
        <v>40000178</v>
      </c>
      <c r="D24" s="43"/>
      <c r="E24" s="47" t="s">
        <v>849</v>
      </c>
      <c r="F24" s="48">
        <v>46350000</v>
      </c>
      <c r="G24" s="49" t="s">
        <v>208</v>
      </c>
      <c r="I24" s="55" t="s">
        <v>137</v>
      </c>
      <c r="J24" s="928">
        <v>45000</v>
      </c>
      <c r="K24" s="56" t="s">
        <v>1477</v>
      </c>
    </row>
    <row r="25" spans="1:17" ht="45.75" thickBot="1">
      <c r="A25" s="791">
        <v>31</v>
      </c>
      <c r="B25" s="792" t="s">
        <v>49</v>
      </c>
      <c r="C25" s="793">
        <v>40019107</v>
      </c>
      <c r="D25" s="794"/>
      <c r="E25" s="795" t="s">
        <v>469</v>
      </c>
      <c r="F25" s="796">
        <v>211703000</v>
      </c>
      <c r="G25" s="797" t="s">
        <v>1476</v>
      </c>
      <c r="H25" s="798"/>
      <c r="I25" s="799" t="s">
        <v>137</v>
      </c>
      <c r="J25" s="930">
        <v>769101</v>
      </c>
      <c r="K25" s="800" t="s">
        <v>1478</v>
      </c>
    </row>
    <row r="29" spans="1:17">
      <c r="C29" s="998" t="s">
        <v>1409</v>
      </c>
      <c r="D29" s="998"/>
      <c r="E29" s="998"/>
      <c r="F29" s="998"/>
      <c r="G29" s="998"/>
      <c r="H29" s="998"/>
      <c r="I29" s="998"/>
      <c r="J29" s="998"/>
      <c r="K29" s="998"/>
    </row>
    <row r="30" spans="1:17">
      <c r="C30" s="999" t="s">
        <v>1615</v>
      </c>
      <c r="D30" s="999"/>
      <c r="E30" s="999"/>
      <c r="F30" s="999"/>
      <c r="G30" s="999"/>
      <c r="H30" s="999"/>
      <c r="I30" s="999"/>
      <c r="J30" s="999"/>
      <c r="K30" s="999"/>
    </row>
    <row r="31" spans="1:17">
      <c r="C31" s="913"/>
      <c r="D31" s="913"/>
      <c r="E31" s="913"/>
      <c r="F31" s="913"/>
      <c r="G31" s="913"/>
      <c r="H31" s="913"/>
      <c r="I31" s="913"/>
      <c r="J31" s="929"/>
      <c r="K31" s="913"/>
    </row>
    <row r="32" spans="1:17" s="920" customFormat="1" ht="45">
      <c r="A32" s="3">
        <v>31</v>
      </c>
      <c r="B32" s="3" t="s">
        <v>48</v>
      </c>
      <c r="C32" s="917">
        <v>30480526</v>
      </c>
      <c r="D32" s="918"/>
      <c r="E32" s="4" t="s">
        <v>441</v>
      </c>
      <c r="F32" s="6">
        <v>791085000</v>
      </c>
      <c r="G32" s="917" t="s">
        <v>208</v>
      </c>
      <c r="H32" s="919"/>
      <c r="I32" s="921" t="s">
        <v>137</v>
      </c>
      <c r="J32" s="931">
        <f>947807000</f>
        <v>947807000</v>
      </c>
      <c r="K32" s="922" t="s">
        <v>1613</v>
      </c>
    </row>
    <row r="33" spans="1:11" s="920" customFormat="1" ht="30">
      <c r="A33" s="3">
        <v>31</v>
      </c>
      <c r="B33" s="3" t="s">
        <v>52</v>
      </c>
      <c r="C33" s="917">
        <v>30125824</v>
      </c>
      <c r="D33" s="918"/>
      <c r="E33" s="4" t="s">
        <v>573</v>
      </c>
      <c r="F33" s="6">
        <v>137650000</v>
      </c>
      <c r="G33" s="917" t="s">
        <v>208</v>
      </c>
      <c r="H33" s="919"/>
      <c r="I33" s="921" t="s">
        <v>137</v>
      </c>
      <c r="J33" s="932">
        <v>101524000</v>
      </c>
      <c r="K33" s="922" t="s">
        <v>573</v>
      </c>
    </row>
    <row r="34" spans="1:11" s="920" customFormat="1" ht="45">
      <c r="A34" s="3">
        <v>31</v>
      </c>
      <c r="B34" s="3" t="s">
        <v>66</v>
      </c>
      <c r="C34" s="917">
        <v>40015676</v>
      </c>
      <c r="D34" s="918"/>
      <c r="E34" s="4" t="s">
        <v>909</v>
      </c>
      <c r="F34" s="6">
        <v>155000000</v>
      </c>
      <c r="G34" s="917" t="s">
        <v>208</v>
      </c>
      <c r="H34" s="919"/>
      <c r="I34" s="921" t="s">
        <v>137</v>
      </c>
      <c r="J34" s="932">
        <v>216240000</v>
      </c>
      <c r="K34" s="922" t="s">
        <v>1614</v>
      </c>
    </row>
    <row r="35" spans="1:11" s="920" customFormat="1" ht="30">
      <c r="A35" s="3">
        <v>31</v>
      </c>
      <c r="B35" s="3" t="s">
        <v>67</v>
      </c>
      <c r="C35" s="917">
        <v>30384677</v>
      </c>
      <c r="D35" s="918"/>
      <c r="E35" s="4" t="s">
        <v>1038</v>
      </c>
      <c r="F35" s="6">
        <v>25923943000</v>
      </c>
      <c r="G35" s="917" t="s">
        <v>203</v>
      </c>
      <c r="H35" s="919"/>
      <c r="I35" s="921" t="s">
        <v>137</v>
      </c>
      <c r="J35" s="932">
        <v>27395537000</v>
      </c>
      <c r="K35" s="922" t="s">
        <v>1038</v>
      </c>
    </row>
    <row r="38" spans="1:11">
      <c r="C38" s="998" t="s">
        <v>1409</v>
      </c>
      <c r="D38" s="998"/>
      <c r="E38" s="998"/>
      <c r="F38" s="998"/>
      <c r="G38" s="998"/>
      <c r="H38" s="998"/>
      <c r="I38" s="998"/>
      <c r="J38" s="998"/>
      <c r="K38" s="998"/>
    </row>
    <row r="39" spans="1:11">
      <c r="C39" s="999" t="s">
        <v>1633</v>
      </c>
      <c r="D39" s="999"/>
      <c r="E39" s="999"/>
      <c r="F39" s="999"/>
      <c r="G39" s="999"/>
      <c r="H39" s="999"/>
      <c r="I39" s="999"/>
      <c r="J39" s="999"/>
      <c r="K39" s="999"/>
    </row>
    <row r="40" spans="1:11">
      <c r="C40" s="925"/>
      <c r="D40" s="925"/>
      <c r="E40" s="925"/>
      <c r="F40" s="925"/>
      <c r="G40" s="925"/>
      <c r="H40" s="925"/>
      <c r="I40" s="925"/>
      <c r="J40" s="929"/>
      <c r="K40" s="925"/>
    </row>
    <row r="42" spans="1:11" ht="25.5">
      <c r="A42" s="3">
        <v>31</v>
      </c>
      <c r="B42" s="3" t="s">
        <v>54</v>
      </c>
      <c r="C42" s="917">
        <v>30128140</v>
      </c>
      <c r="D42" s="918"/>
      <c r="E42" s="4" t="s">
        <v>411</v>
      </c>
      <c r="F42" s="6">
        <v>4090104000</v>
      </c>
      <c r="G42" s="917" t="s">
        <v>208</v>
      </c>
      <c r="I42" s="3" t="s">
        <v>137</v>
      </c>
      <c r="J42" s="6">
        <v>6438902000</v>
      </c>
      <c r="K42" s="917" t="s">
        <v>1620</v>
      </c>
    </row>
    <row r="43" spans="1:11" ht="38.25">
      <c r="A43" s="3">
        <v>31</v>
      </c>
      <c r="B43" s="3" t="s">
        <v>49</v>
      </c>
      <c r="C43" s="917">
        <v>40015801</v>
      </c>
      <c r="D43" s="918"/>
      <c r="E43" s="4" t="s">
        <v>467</v>
      </c>
      <c r="F43" s="6">
        <v>122370000</v>
      </c>
      <c r="G43" s="917" t="s">
        <v>208</v>
      </c>
      <c r="I43" s="3" t="s">
        <v>137</v>
      </c>
      <c r="J43" s="6">
        <v>119370000</v>
      </c>
      <c r="K43" s="917" t="s">
        <v>1621</v>
      </c>
    </row>
    <row r="44" spans="1:11" ht="25.5">
      <c r="A44" s="3">
        <v>31</v>
      </c>
      <c r="B44" s="3" t="s">
        <v>61</v>
      </c>
      <c r="C44" s="917">
        <v>40013905</v>
      </c>
      <c r="D44" s="918"/>
      <c r="E44" s="4" t="s">
        <v>797</v>
      </c>
      <c r="F44" s="6">
        <v>450000000</v>
      </c>
      <c r="G44" s="917" t="s">
        <v>208</v>
      </c>
      <c r="I44" s="3" t="s">
        <v>137</v>
      </c>
      <c r="J44" s="6">
        <v>361068000</v>
      </c>
      <c r="K44" s="917" t="s">
        <v>1622</v>
      </c>
    </row>
    <row r="45" spans="1:11" ht="25.5">
      <c r="A45" s="3">
        <v>31</v>
      </c>
      <c r="B45" s="3" t="s">
        <v>63</v>
      </c>
      <c r="C45" s="917">
        <v>40002386</v>
      </c>
      <c r="D45" s="918"/>
      <c r="E45" s="4" t="s">
        <v>824</v>
      </c>
      <c r="F45" s="6">
        <v>1159931000</v>
      </c>
      <c r="G45" s="917" t="s">
        <v>208</v>
      </c>
      <c r="I45" s="3" t="s">
        <v>137</v>
      </c>
      <c r="J45" s="6">
        <v>1350912000</v>
      </c>
      <c r="K45" s="917" t="s">
        <v>824</v>
      </c>
    </row>
  </sheetData>
  <mergeCells count="14">
    <mergeCell ref="C38:K38"/>
    <mergeCell ref="C39:K39"/>
    <mergeCell ref="C29:K29"/>
    <mergeCell ref="C30:K30"/>
    <mergeCell ref="C1:K1"/>
    <mergeCell ref="C2:K2"/>
    <mergeCell ref="E4:G4"/>
    <mergeCell ref="I4:K4"/>
    <mergeCell ref="C11:K11"/>
    <mergeCell ref="C21:K21"/>
    <mergeCell ref="C22:K22"/>
    <mergeCell ref="C12:K12"/>
    <mergeCell ref="E14:G14"/>
    <mergeCell ref="I14:K14"/>
  </mergeCells>
  <printOptions horizontalCentered="1"/>
  <pageMargins left="0.70763888888888904" right="0.70763888888888904" top="0.74791666666666701" bottom="0.74791666666666701" header="0.31388888888888899" footer="0.31388888888888899"/>
  <pageSetup paperSize="7" scale="8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5"/>
  <sheetViews>
    <sheetView view="pageBreakPreview" zoomScale="50" zoomScaleNormal="50" zoomScaleSheetLayoutView="50" workbookViewId="0">
      <pane ySplit="2" topLeftCell="A3" activePane="bottomLeft" state="frozen"/>
      <selection pane="bottomLeft" activeCell="A3" sqref="A3"/>
    </sheetView>
  </sheetViews>
  <sheetFormatPr baseColWidth="10" defaultColWidth="11" defaultRowHeight="15" outlineLevelRow="2"/>
  <cols>
    <col min="2" max="2" width="11.42578125" style="223" customWidth="1"/>
    <col min="3" max="3" width="9.42578125" style="223" customWidth="1"/>
    <col min="4" max="4" width="19.140625" style="30" customWidth="1"/>
    <col min="5" max="5" width="17.85546875" style="223" hidden="1" customWidth="1"/>
    <col min="6" max="6" width="32.7109375" style="223" hidden="1" customWidth="1"/>
    <col min="7" max="7" width="16" style="223" hidden="1" customWidth="1"/>
    <col min="8" max="8" width="28.42578125" style="224" hidden="1" customWidth="1"/>
    <col min="9" max="9" width="14.28515625" style="223" hidden="1" customWidth="1"/>
    <col min="10" max="10" width="11.85546875" style="223" customWidth="1"/>
    <col min="11" max="11" width="17.7109375" customWidth="1"/>
    <col min="12" max="12" width="16.42578125" style="225" customWidth="1"/>
    <col min="13" max="13" width="22.42578125" style="225" hidden="1" customWidth="1"/>
    <col min="14" max="16" width="31.140625" style="30" hidden="1" customWidth="1"/>
    <col min="17" max="17" width="142" customWidth="1"/>
    <col min="18" max="18" width="26.140625" style="226" hidden="1" customWidth="1"/>
    <col min="19" max="19" width="2.7109375" style="227" hidden="1" customWidth="1"/>
    <col min="20" max="23" width="26.140625" style="226" hidden="1" customWidth="1"/>
    <col min="24" max="24" width="2.7109375" style="227" hidden="1" customWidth="1"/>
    <col min="25" max="26" width="27.28515625" style="228" customWidth="1"/>
    <col min="27" max="27" width="2.7109375" style="229" customWidth="1"/>
    <col min="28" max="28" width="26.5703125" style="230" customWidth="1"/>
    <col min="29" max="29" width="25.28515625" style="230" customWidth="1"/>
    <col min="30" max="30" width="27.85546875" style="230" customWidth="1"/>
    <col min="31" max="32" width="25.28515625" style="230" hidden="1" customWidth="1"/>
    <col min="33" max="34" width="24.7109375" style="230" hidden="1" customWidth="1"/>
    <col min="35" max="35" width="24.28515625" style="230" hidden="1" customWidth="1"/>
    <col min="36" max="37" width="26.140625" style="230" hidden="1" customWidth="1"/>
    <col min="38" max="39" width="26.140625" style="231" hidden="1" customWidth="1"/>
    <col min="40" max="42" width="26.140625" style="230" hidden="1" customWidth="1"/>
    <col min="43" max="43" width="2.7109375" style="229" customWidth="1"/>
    <col min="44" max="44" width="27.28515625" style="230" customWidth="1"/>
    <col min="45" max="45" width="11.28515625" style="232" customWidth="1"/>
    <col min="46" max="46" width="14.28515625" style="232" hidden="1" customWidth="1"/>
    <col min="47" max="47" width="55" customWidth="1"/>
    <col min="48" max="48" width="2.7109375" customWidth="1"/>
  </cols>
  <sheetData>
    <row r="1" spans="1:48" s="20" customFormat="1" ht="56.25" customHeight="1">
      <c r="B1" s="233"/>
      <c r="C1" s="233"/>
      <c r="D1" s="233"/>
      <c r="E1" s="850"/>
      <c r="F1" s="850"/>
      <c r="G1" s="850"/>
      <c r="H1" s="906"/>
      <c r="I1" s="850"/>
      <c r="J1" s="233"/>
      <c r="K1" s="233"/>
      <c r="L1" s="253"/>
      <c r="M1" s="903"/>
      <c r="N1" s="903"/>
      <c r="O1" s="903"/>
      <c r="P1" s="903"/>
      <c r="Q1" s="233"/>
      <c r="R1" s="907"/>
      <c r="S1" s="265"/>
      <c r="T1" s="993" t="s">
        <v>98</v>
      </c>
      <c r="U1" s="994"/>
      <c r="V1" s="994"/>
      <c r="W1" s="995"/>
      <c r="X1" s="265"/>
      <c r="Y1" s="266"/>
      <c r="Z1" s="266"/>
      <c r="AA1" s="267"/>
      <c r="AB1" s="996" t="s">
        <v>99</v>
      </c>
      <c r="AC1" s="997"/>
      <c r="AD1" s="997"/>
      <c r="AE1" s="910"/>
      <c r="AF1" s="910"/>
      <c r="AG1" s="910"/>
      <c r="AH1" s="910"/>
      <c r="AI1" s="910"/>
      <c r="AJ1" s="910"/>
      <c r="AK1" s="910"/>
      <c r="AL1" s="910"/>
      <c r="AM1" s="910"/>
      <c r="AN1" s="910"/>
      <c r="AO1" s="910"/>
      <c r="AP1" s="910"/>
      <c r="AQ1" s="306"/>
      <c r="AR1" s="307"/>
      <c r="AS1" s="233"/>
      <c r="AT1" s="903"/>
      <c r="AU1" s="233"/>
    </row>
    <row r="2" spans="1:48" s="214" customFormat="1" ht="167.25" customHeight="1">
      <c r="A2" s="234" t="s">
        <v>100</v>
      </c>
      <c r="B2" s="235" t="s">
        <v>101</v>
      </c>
      <c r="C2" s="236" t="s">
        <v>102</v>
      </c>
      <c r="D2" s="237" t="s">
        <v>91</v>
      </c>
      <c r="E2" s="905" t="s">
        <v>103</v>
      </c>
      <c r="F2" s="904" t="s">
        <v>104</v>
      </c>
      <c r="G2" s="904" t="s">
        <v>21</v>
      </c>
      <c r="H2" s="904" t="s">
        <v>105</v>
      </c>
      <c r="I2" s="904" t="s">
        <v>106</v>
      </c>
      <c r="J2" s="235" t="s">
        <v>107</v>
      </c>
      <c r="K2" s="237" t="s">
        <v>108</v>
      </c>
      <c r="L2" s="235" t="s">
        <v>109</v>
      </c>
      <c r="M2" s="905" t="s">
        <v>1607</v>
      </c>
      <c r="N2" s="904" t="s">
        <v>110</v>
      </c>
      <c r="O2" s="905" t="s">
        <v>111</v>
      </c>
      <c r="P2" s="904" t="s">
        <v>112</v>
      </c>
      <c r="Q2" s="237" t="s">
        <v>113</v>
      </c>
      <c r="R2" s="908" t="s">
        <v>114</v>
      </c>
      <c r="S2" s="267">
        <v>5</v>
      </c>
      <c r="T2" s="909" t="s">
        <v>115</v>
      </c>
      <c r="U2" s="909" t="s">
        <v>116</v>
      </c>
      <c r="V2" s="909" t="s">
        <v>117</v>
      </c>
      <c r="W2" s="908" t="s">
        <v>118</v>
      </c>
      <c r="X2" s="267">
        <v>1</v>
      </c>
      <c r="Y2" s="268" t="s">
        <v>22</v>
      </c>
      <c r="Z2" s="292" t="s">
        <v>24</v>
      </c>
      <c r="AA2" s="293">
        <v>2</v>
      </c>
      <c r="AB2" s="292" t="s">
        <v>75</v>
      </c>
      <c r="AC2" s="292" t="s">
        <v>1711</v>
      </c>
      <c r="AD2" s="292" t="s">
        <v>119</v>
      </c>
      <c r="AE2" s="911" t="s">
        <v>120</v>
      </c>
      <c r="AF2" s="911" t="s">
        <v>121</v>
      </c>
      <c r="AG2" s="911" t="s">
        <v>12</v>
      </c>
      <c r="AH2" s="911" t="s">
        <v>11</v>
      </c>
      <c r="AI2" s="911" t="s">
        <v>10</v>
      </c>
      <c r="AJ2" s="911" t="s">
        <v>9</v>
      </c>
      <c r="AK2" s="911" t="s">
        <v>8</v>
      </c>
      <c r="AL2" s="911" t="s">
        <v>7</v>
      </c>
      <c r="AM2" s="911" t="s">
        <v>6</v>
      </c>
      <c r="AN2" s="911" t="s">
        <v>5</v>
      </c>
      <c r="AO2" s="911" t="s">
        <v>4</v>
      </c>
      <c r="AP2" s="911" t="s">
        <v>3</v>
      </c>
      <c r="AQ2" s="293">
        <v>3</v>
      </c>
      <c r="AR2" s="292" t="s">
        <v>122</v>
      </c>
      <c r="AS2" s="235" t="s">
        <v>123</v>
      </c>
      <c r="AT2" s="905" t="s">
        <v>1603</v>
      </c>
      <c r="AU2" s="292" t="s">
        <v>124</v>
      </c>
      <c r="AV2" s="308">
        <v>4</v>
      </c>
    </row>
    <row r="3" spans="1:48" s="215" customFormat="1" ht="23.25" customHeight="1">
      <c r="A3" s="215" t="s">
        <v>125</v>
      </c>
      <c r="B3" s="238"/>
      <c r="C3" s="239"/>
      <c r="D3" s="240"/>
      <c r="E3" s="238"/>
      <c r="F3" s="240"/>
      <c r="G3" s="240"/>
      <c r="H3" s="241"/>
      <c r="I3" s="240"/>
      <c r="J3" s="238"/>
      <c r="K3" s="240"/>
      <c r="L3" s="241"/>
      <c r="M3" s="241"/>
      <c r="N3" s="240"/>
      <c r="O3" s="240"/>
      <c r="P3" s="240"/>
      <c r="Q3" s="240"/>
      <c r="R3" s="269"/>
      <c r="S3" s="269"/>
      <c r="T3" s="269"/>
      <c r="U3" s="269"/>
      <c r="V3" s="269"/>
      <c r="W3" s="269"/>
      <c r="X3" s="269"/>
      <c r="Y3" s="270"/>
      <c r="Z3" s="270"/>
      <c r="AA3" s="294"/>
      <c r="AB3" s="294"/>
      <c r="AC3" s="294"/>
      <c r="AD3" s="294"/>
      <c r="AE3" s="294"/>
      <c r="AF3" s="294"/>
      <c r="AG3" s="294"/>
      <c r="AH3" s="294"/>
      <c r="AI3" s="294"/>
      <c r="AJ3" s="294"/>
      <c r="AK3" s="294"/>
      <c r="AL3" s="294"/>
      <c r="AM3" s="294"/>
      <c r="AN3" s="294"/>
      <c r="AO3" s="294"/>
      <c r="AP3" s="294"/>
      <c r="AQ3" s="294"/>
      <c r="AR3" s="294"/>
      <c r="AS3" s="238"/>
      <c r="AT3" s="238"/>
      <c r="AU3" s="294"/>
    </row>
    <row r="4" spans="1:48" s="215" customFormat="1" ht="46.5">
      <c r="B4" s="238"/>
      <c r="C4" s="239"/>
      <c r="D4" s="240"/>
      <c r="E4" s="238"/>
      <c r="F4" s="240"/>
      <c r="G4" s="240"/>
      <c r="H4" s="241"/>
      <c r="I4" s="240"/>
      <c r="J4" s="238"/>
      <c r="K4" s="240"/>
      <c r="L4" s="241"/>
      <c r="M4" s="241"/>
      <c r="N4" s="240"/>
      <c r="O4" s="240"/>
      <c r="P4" s="240"/>
      <c r="Q4" s="948" t="s">
        <v>1704</v>
      </c>
      <c r="R4" s="269"/>
      <c r="S4" s="269"/>
      <c r="T4" s="269"/>
      <c r="U4" s="269"/>
      <c r="V4" s="269"/>
      <c r="W4" s="269"/>
      <c r="X4" s="269"/>
      <c r="Y4" s="270"/>
      <c r="Z4" s="270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  <c r="AP4" s="294"/>
      <c r="AQ4" s="294"/>
      <c r="AR4" s="294"/>
      <c r="AS4" s="238"/>
      <c r="AT4" s="238"/>
      <c r="AU4" s="294"/>
    </row>
    <row r="5" spans="1:48" ht="18.75" customHeight="1" outlineLevel="1">
      <c r="A5" s="215" t="s">
        <v>125</v>
      </c>
      <c r="B5" s="249"/>
      <c r="C5" s="249"/>
      <c r="D5" s="250"/>
      <c r="E5" s="249"/>
      <c r="F5" s="249"/>
      <c r="G5" s="249"/>
      <c r="H5" s="249"/>
      <c r="I5" s="249"/>
      <c r="J5" s="249"/>
      <c r="K5" s="261"/>
      <c r="L5" s="250"/>
      <c r="M5" s="250"/>
      <c r="N5" s="250"/>
      <c r="O5" s="250"/>
      <c r="P5" s="250"/>
      <c r="Q5" s="261"/>
      <c r="R5" s="283"/>
      <c r="S5" s="283"/>
      <c r="T5" s="283"/>
      <c r="U5" s="283"/>
      <c r="V5" s="283"/>
      <c r="W5" s="283"/>
      <c r="X5" s="283"/>
      <c r="Y5" s="284"/>
      <c r="Z5" s="284"/>
      <c r="AA5" s="301"/>
      <c r="AB5" s="301"/>
      <c r="AC5" s="301"/>
      <c r="AD5" s="301"/>
      <c r="AE5" s="301"/>
      <c r="AF5" s="301"/>
      <c r="AG5" s="301"/>
      <c r="AH5" s="301"/>
      <c r="AI5" s="301"/>
      <c r="AJ5" s="301"/>
      <c r="AK5" s="301"/>
      <c r="AL5" s="301"/>
      <c r="AM5" s="301"/>
      <c r="AN5" s="301"/>
      <c r="AO5" s="301"/>
      <c r="AP5" s="301"/>
      <c r="AQ5" s="301"/>
      <c r="AR5" s="301"/>
      <c r="AS5" s="316"/>
      <c r="AT5" s="316"/>
      <c r="AU5" s="317"/>
    </row>
    <row r="6" spans="1:48" ht="26.25" customHeight="1" outlineLevel="1">
      <c r="A6" s="215" t="s">
        <v>125</v>
      </c>
      <c r="B6" s="249"/>
      <c r="C6" s="249"/>
      <c r="D6" s="250"/>
      <c r="E6" s="249"/>
      <c r="F6" s="249"/>
      <c r="G6" s="249"/>
      <c r="H6" s="249"/>
      <c r="I6" s="249"/>
      <c r="J6" s="249"/>
      <c r="K6" s="261"/>
      <c r="L6" s="250"/>
      <c r="M6" s="250"/>
      <c r="N6" s="250"/>
      <c r="O6" s="250"/>
      <c r="P6" s="250"/>
      <c r="Q6" s="264" t="s">
        <v>971</v>
      </c>
      <c r="R6" s="283"/>
      <c r="S6" s="283"/>
      <c r="T6" s="283"/>
      <c r="U6" s="283"/>
      <c r="V6" s="283"/>
      <c r="W6" s="283"/>
      <c r="X6" s="283"/>
      <c r="Y6" s="284"/>
      <c r="Z6" s="284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16"/>
      <c r="AT6" s="316"/>
      <c r="AU6" s="317"/>
    </row>
    <row r="7" spans="1:48" s="217" customFormat="1" ht="25.5" customHeight="1" outlineLevel="1">
      <c r="A7" s="215" t="s">
        <v>125</v>
      </c>
      <c r="B7" s="191">
        <v>31</v>
      </c>
      <c r="C7" s="191" t="s">
        <v>196</v>
      </c>
      <c r="D7" s="246" t="s">
        <v>251</v>
      </c>
      <c r="E7" s="191" t="s">
        <v>169</v>
      </c>
      <c r="F7" s="191" t="s">
        <v>140</v>
      </c>
      <c r="G7" s="191" t="s">
        <v>35</v>
      </c>
      <c r="H7" s="191" t="s">
        <v>70</v>
      </c>
      <c r="I7" s="258">
        <v>32</v>
      </c>
      <c r="J7" s="191" t="s">
        <v>84</v>
      </c>
      <c r="K7" s="192" t="s">
        <v>132</v>
      </c>
      <c r="L7" s="246">
        <v>40003992</v>
      </c>
      <c r="M7" s="861" t="s">
        <v>1604</v>
      </c>
      <c r="N7" s="245"/>
      <c r="O7" s="245" t="s">
        <v>996</v>
      </c>
      <c r="P7" s="245"/>
      <c r="Q7" s="192" t="s">
        <v>997</v>
      </c>
      <c r="R7" s="276"/>
      <c r="S7" s="274"/>
      <c r="T7" s="276"/>
      <c r="U7" s="276"/>
      <c r="V7" s="276"/>
      <c r="W7" s="276"/>
      <c r="X7" s="274"/>
      <c r="Y7" s="194">
        <v>462000000</v>
      </c>
      <c r="Z7" s="194">
        <v>0</v>
      </c>
      <c r="AA7" s="296"/>
      <c r="AB7" s="299">
        <v>462000000</v>
      </c>
      <c r="AC7" s="299">
        <f t="shared" ref="AC7" si="0">SUBTOTAL(9,AE7:AP7)</f>
        <v>0</v>
      </c>
      <c r="AD7" s="299">
        <f>+AB7-AC7</f>
        <v>462000000</v>
      </c>
      <c r="AE7" s="297">
        <v>0</v>
      </c>
      <c r="AF7" s="297">
        <v>0</v>
      </c>
      <c r="AG7" s="297">
        <v>0</v>
      </c>
      <c r="AH7" s="297">
        <v>0</v>
      </c>
      <c r="AI7" s="297">
        <v>0</v>
      </c>
      <c r="AJ7" s="297">
        <v>0</v>
      </c>
      <c r="AK7" s="297">
        <v>0</v>
      </c>
      <c r="AL7" s="297">
        <v>0</v>
      </c>
      <c r="AM7" s="297">
        <v>0</v>
      </c>
      <c r="AN7" s="297">
        <v>0</v>
      </c>
      <c r="AO7" s="297">
        <v>0</v>
      </c>
      <c r="AP7" s="297">
        <v>0</v>
      </c>
      <c r="AQ7" s="296"/>
      <c r="AR7" s="299">
        <f>+Y7-Z7-AC7-AD7</f>
        <v>0</v>
      </c>
      <c r="AS7" s="314" t="s">
        <v>137</v>
      </c>
      <c r="AT7" s="313" t="s">
        <v>137</v>
      </c>
      <c r="AU7" s="192" t="s">
        <v>1702</v>
      </c>
    </row>
    <row r="8" spans="1:48" s="219" customFormat="1" ht="24.75" customHeight="1" outlineLevel="1">
      <c r="A8" s="215" t="s">
        <v>125</v>
      </c>
      <c r="B8" s="251"/>
      <c r="C8" s="249"/>
      <c r="D8" s="250"/>
      <c r="E8" s="249"/>
      <c r="F8" s="249"/>
      <c r="G8" s="249"/>
      <c r="H8" s="249"/>
      <c r="I8" s="249"/>
      <c r="J8" s="251"/>
      <c r="K8" s="263"/>
      <c r="L8" s="252"/>
      <c r="M8" s="252"/>
      <c r="N8" s="252"/>
      <c r="O8" s="252"/>
      <c r="P8" s="252"/>
      <c r="Q8" s="117" t="s">
        <v>998</v>
      </c>
      <c r="R8" s="288"/>
      <c r="S8" s="289"/>
      <c r="T8" s="289"/>
      <c r="U8" s="289"/>
      <c r="V8" s="289"/>
      <c r="W8" s="289"/>
      <c r="X8" s="290"/>
      <c r="Y8" s="118">
        <f>+Y7</f>
        <v>462000000</v>
      </c>
      <c r="Z8" s="118">
        <f>+Z7</f>
        <v>0</v>
      </c>
      <c r="AA8" s="304"/>
      <c r="AB8" s="118">
        <f>+AB7</f>
        <v>462000000</v>
      </c>
      <c r="AC8" s="118">
        <f t="shared" ref="AC8:AD8" si="1">+AC7</f>
        <v>0</v>
      </c>
      <c r="AD8" s="118">
        <f t="shared" si="1"/>
        <v>462000000</v>
      </c>
      <c r="AE8" s="118" t="e">
        <f>+#REF!+#REF!+#REF!</f>
        <v>#REF!</v>
      </c>
      <c r="AF8" s="118" t="e">
        <f>+#REF!+#REF!+#REF!</f>
        <v>#REF!</v>
      </c>
      <c r="AG8" s="118" t="e">
        <f>+#REF!+#REF!+#REF!</f>
        <v>#REF!</v>
      </c>
      <c r="AH8" s="118" t="e">
        <f>+#REF!+#REF!+#REF!</f>
        <v>#REF!</v>
      </c>
      <c r="AI8" s="118" t="e">
        <f>+#REF!+#REF!+#REF!</f>
        <v>#REF!</v>
      </c>
      <c r="AJ8" s="118" t="e">
        <f>+#REF!+#REF!+#REF!</f>
        <v>#REF!</v>
      </c>
      <c r="AK8" s="118" t="e">
        <f>+#REF!+#REF!+#REF!</f>
        <v>#REF!</v>
      </c>
      <c r="AL8" s="118">
        <v>50599291</v>
      </c>
      <c r="AM8" s="118">
        <v>105126651</v>
      </c>
      <c r="AN8" s="118">
        <v>55602939</v>
      </c>
      <c r="AO8" s="118" t="e">
        <f>+#REF!+#REF!+#REF!</f>
        <v>#REF!</v>
      </c>
      <c r="AP8" s="118" t="e">
        <f>+#REF!+#REF!+#REF!</f>
        <v>#REF!</v>
      </c>
      <c r="AQ8" s="318"/>
      <c r="AR8" s="118">
        <f>+Y8-Z8-AC8-AD8</f>
        <v>0</v>
      </c>
      <c r="AS8" s="333"/>
      <c r="AT8" s="333"/>
      <c r="AU8" s="320"/>
    </row>
    <row r="9" spans="1:48" ht="18.75" customHeight="1" outlineLevel="1">
      <c r="A9" s="215" t="s">
        <v>125</v>
      </c>
      <c r="B9" s="249"/>
      <c r="C9" s="249"/>
      <c r="D9" s="250"/>
      <c r="E9" s="249"/>
      <c r="F9" s="249"/>
      <c r="G9" s="249"/>
      <c r="H9" s="249"/>
      <c r="I9" s="249"/>
      <c r="J9" s="249"/>
      <c r="K9" s="261"/>
      <c r="L9" s="250"/>
      <c r="M9" s="250"/>
      <c r="N9" s="250"/>
      <c r="O9" s="250"/>
      <c r="P9" s="250"/>
      <c r="Q9" s="261"/>
      <c r="R9" s="283"/>
      <c r="S9" s="283"/>
      <c r="T9" s="283"/>
      <c r="U9" s="283"/>
      <c r="V9" s="283"/>
      <c r="W9" s="283"/>
      <c r="X9" s="283"/>
      <c r="Y9" s="284"/>
      <c r="Z9" s="284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316"/>
      <c r="AT9" s="316"/>
      <c r="AU9" s="317"/>
    </row>
    <row r="10" spans="1:48" ht="26.25" customHeight="1" outlineLevel="1">
      <c r="A10" s="215" t="s">
        <v>125</v>
      </c>
      <c r="B10" s="249"/>
      <c r="C10" s="249"/>
      <c r="D10" s="250"/>
      <c r="E10" s="249"/>
      <c r="F10" s="249"/>
      <c r="G10" s="249"/>
      <c r="H10" s="249"/>
      <c r="I10" s="249"/>
      <c r="J10" s="249"/>
      <c r="K10" s="261"/>
      <c r="L10" s="250"/>
      <c r="M10" s="250"/>
      <c r="N10" s="250"/>
      <c r="O10" s="250"/>
      <c r="P10" s="250"/>
      <c r="Q10" s="264" t="s">
        <v>1044</v>
      </c>
      <c r="R10" s="283"/>
      <c r="S10" s="283"/>
      <c r="T10" s="283"/>
      <c r="U10" s="283"/>
      <c r="V10" s="283"/>
      <c r="W10" s="283"/>
      <c r="X10" s="283"/>
      <c r="Y10" s="284"/>
      <c r="Z10" s="284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16"/>
      <c r="AT10" s="316"/>
      <c r="AU10" s="317"/>
    </row>
    <row r="11" spans="1:48" s="217" customFormat="1" ht="25.5" customHeight="1" outlineLevel="1">
      <c r="A11" s="215" t="s">
        <v>125</v>
      </c>
      <c r="B11" s="191">
        <v>31</v>
      </c>
      <c r="C11" s="191" t="s">
        <v>196</v>
      </c>
      <c r="D11" s="246" t="s">
        <v>251</v>
      </c>
      <c r="E11" s="191" t="s">
        <v>169</v>
      </c>
      <c r="F11" s="191" t="s">
        <v>140</v>
      </c>
      <c r="G11" s="191" t="s">
        <v>35</v>
      </c>
      <c r="H11" s="191" t="s">
        <v>70</v>
      </c>
      <c r="I11" s="258">
        <v>32</v>
      </c>
      <c r="J11" s="191" t="s">
        <v>84</v>
      </c>
      <c r="K11" s="192" t="s">
        <v>132</v>
      </c>
      <c r="L11" s="246">
        <v>40003992</v>
      </c>
      <c r="M11" s="861" t="s">
        <v>1604</v>
      </c>
      <c r="N11" s="245"/>
      <c r="O11" s="245" t="s">
        <v>996</v>
      </c>
      <c r="P11" s="245"/>
      <c r="Q11" s="192" t="s">
        <v>1709</v>
      </c>
      <c r="R11" s="276"/>
      <c r="S11" s="274"/>
      <c r="T11" s="276"/>
      <c r="U11" s="276"/>
      <c r="V11" s="276"/>
      <c r="W11" s="276"/>
      <c r="X11" s="274"/>
      <c r="Y11" s="194">
        <f>+'FRIL AC.SOCIAL'!J137</f>
        <v>2979979191</v>
      </c>
      <c r="Z11" s="194">
        <v>0</v>
      </c>
      <c r="AA11" s="296"/>
      <c r="AB11" s="299">
        <f>+Y11</f>
        <v>2979979191</v>
      </c>
      <c r="AC11" s="299">
        <f t="shared" ref="AC11" si="2">SUBTOTAL(9,AE11:AP11)</f>
        <v>0</v>
      </c>
      <c r="AD11" s="299">
        <f>+AB11-AC11</f>
        <v>2979979191</v>
      </c>
      <c r="AE11" s="297">
        <v>0</v>
      </c>
      <c r="AF11" s="297">
        <v>0</v>
      </c>
      <c r="AG11" s="297">
        <v>0</v>
      </c>
      <c r="AH11" s="297">
        <v>0</v>
      </c>
      <c r="AI11" s="297">
        <v>0</v>
      </c>
      <c r="AJ11" s="297">
        <v>0</v>
      </c>
      <c r="AK11" s="297">
        <v>0</v>
      </c>
      <c r="AL11" s="297">
        <v>0</v>
      </c>
      <c r="AM11" s="297">
        <v>0</v>
      </c>
      <c r="AN11" s="297">
        <v>0</v>
      </c>
      <c r="AO11" s="297">
        <v>0</v>
      </c>
      <c r="AP11" s="297">
        <v>0</v>
      </c>
      <c r="AQ11" s="296"/>
      <c r="AR11" s="299">
        <f>+Y11-Z11-AC11-AD11</f>
        <v>0</v>
      </c>
      <c r="AS11" s="314" t="s">
        <v>137</v>
      </c>
      <c r="AT11" s="313" t="s">
        <v>137</v>
      </c>
      <c r="AU11" s="192" t="s">
        <v>1702</v>
      </c>
    </row>
    <row r="12" spans="1:48" s="219" customFormat="1" ht="24.75" customHeight="1" outlineLevel="1">
      <c r="A12" s="215" t="s">
        <v>125</v>
      </c>
      <c r="B12" s="251"/>
      <c r="C12" s="249"/>
      <c r="D12" s="250"/>
      <c r="E12" s="249"/>
      <c r="F12" s="249"/>
      <c r="G12" s="249"/>
      <c r="H12" s="249"/>
      <c r="I12" s="249"/>
      <c r="J12" s="251"/>
      <c r="K12" s="263"/>
      <c r="L12" s="252"/>
      <c r="M12" s="252"/>
      <c r="N12" s="252"/>
      <c r="O12" s="252"/>
      <c r="P12" s="252"/>
      <c r="Q12" s="117" t="s">
        <v>1708</v>
      </c>
      <c r="R12" s="288"/>
      <c r="S12" s="289"/>
      <c r="T12" s="289"/>
      <c r="U12" s="289"/>
      <c r="V12" s="289"/>
      <c r="W12" s="289"/>
      <c r="X12" s="290"/>
      <c r="Y12" s="118">
        <f>+Y11</f>
        <v>2979979191</v>
      </c>
      <c r="Z12" s="118">
        <f>+Z11</f>
        <v>0</v>
      </c>
      <c r="AA12" s="304"/>
      <c r="AB12" s="118">
        <f>+AB11</f>
        <v>2979979191</v>
      </c>
      <c r="AC12" s="118">
        <f t="shared" ref="AC12:AD12" si="3">+AC11</f>
        <v>0</v>
      </c>
      <c r="AD12" s="118">
        <f t="shared" si="3"/>
        <v>2979979191</v>
      </c>
      <c r="AE12" s="118" t="e">
        <f>+#REF!+#REF!+#REF!</f>
        <v>#REF!</v>
      </c>
      <c r="AF12" s="118" t="e">
        <f>+#REF!+#REF!+#REF!</f>
        <v>#REF!</v>
      </c>
      <c r="AG12" s="118" t="e">
        <f>+#REF!+#REF!+#REF!</f>
        <v>#REF!</v>
      </c>
      <c r="AH12" s="118" t="e">
        <f>+#REF!+#REF!+#REF!</f>
        <v>#REF!</v>
      </c>
      <c r="AI12" s="118" t="e">
        <f>+#REF!+#REF!+#REF!</f>
        <v>#REF!</v>
      </c>
      <c r="AJ12" s="118" t="e">
        <f>+#REF!+#REF!+#REF!</f>
        <v>#REF!</v>
      </c>
      <c r="AK12" s="118" t="e">
        <f>+#REF!+#REF!+#REF!</f>
        <v>#REF!</v>
      </c>
      <c r="AL12" s="118">
        <v>50599291</v>
      </c>
      <c r="AM12" s="118">
        <v>105126651</v>
      </c>
      <c r="AN12" s="118">
        <v>55602939</v>
      </c>
      <c r="AO12" s="118" t="e">
        <f>+#REF!+#REF!+#REF!</f>
        <v>#REF!</v>
      </c>
      <c r="AP12" s="118" t="e">
        <f>+#REF!+#REF!+#REF!</f>
        <v>#REF!</v>
      </c>
      <c r="AQ12" s="318"/>
      <c r="AR12" s="118">
        <f>+Y12-Z12-AC12-AD12</f>
        <v>0</v>
      </c>
      <c r="AS12" s="333"/>
      <c r="AT12" s="333"/>
      <c r="AU12" s="320"/>
    </row>
    <row r="13" spans="1:48" ht="18.75" customHeight="1" outlineLevel="1">
      <c r="A13" s="215" t="s">
        <v>125</v>
      </c>
      <c r="B13" s="249"/>
      <c r="C13" s="249"/>
      <c r="D13" s="250"/>
      <c r="E13" s="249"/>
      <c r="F13" s="249"/>
      <c r="G13" s="249"/>
      <c r="H13" s="249"/>
      <c r="I13" s="249"/>
      <c r="J13" s="249"/>
      <c r="K13" s="261"/>
      <c r="L13" s="250"/>
      <c r="M13" s="250"/>
      <c r="N13" s="250"/>
      <c r="O13" s="250"/>
      <c r="P13" s="250"/>
      <c r="Q13" s="261"/>
      <c r="R13" s="283"/>
      <c r="S13" s="283"/>
      <c r="T13" s="283"/>
      <c r="U13" s="283"/>
      <c r="V13" s="283"/>
      <c r="W13" s="283"/>
      <c r="X13" s="283"/>
      <c r="Y13" s="284"/>
      <c r="Z13" s="284"/>
      <c r="AA13" s="301"/>
      <c r="AB13" s="301"/>
      <c r="AC13" s="301"/>
      <c r="AD13" s="301"/>
      <c r="AE13" s="301"/>
      <c r="AF13" s="301"/>
      <c r="AG13" s="301"/>
      <c r="AH13" s="301"/>
      <c r="AI13" s="301"/>
      <c r="AJ13" s="301"/>
      <c r="AK13" s="301"/>
      <c r="AL13" s="301"/>
      <c r="AM13" s="301"/>
      <c r="AN13" s="301"/>
      <c r="AO13" s="301"/>
      <c r="AP13" s="301"/>
      <c r="AQ13" s="301"/>
      <c r="AR13" s="301"/>
      <c r="AS13" s="316"/>
      <c r="AT13" s="316"/>
      <c r="AU13" s="317"/>
    </row>
    <row r="14" spans="1:48" ht="21" customHeight="1" outlineLevel="1">
      <c r="A14" s="215" t="s">
        <v>125</v>
      </c>
      <c r="B14" s="249"/>
      <c r="C14" s="249"/>
      <c r="D14" s="250"/>
      <c r="E14" s="249"/>
      <c r="F14" s="249"/>
      <c r="G14" s="249"/>
      <c r="H14" s="249"/>
      <c r="I14" s="249"/>
      <c r="J14" s="249"/>
      <c r="K14" s="261"/>
      <c r="L14" s="250"/>
      <c r="M14" s="250"/>
      <c r="N14" s="250"/>
      <c r="O14" s="250"/>
      <c r="P14" s="250"/>
      <c r="Q14" s="339" t="s">
        <v>37</v>
      </c>
      <c r="R14" s="283"/>
      <c r="S14" s="283"/>
      <c r="T14" s="283"/>
      <c r="U14" s="283"/>
      <c r="V14" s="283"/>
      <c r="W14" s="283"/>
      <c r="X14" s="283"/>
      <c r="Y14" s="284"/>
      <c r="Z14" s="284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16"/>
      <c r="AT14" s="316"/>
      <c r="AU14" s="317"/>
    </row>
    <row r="15" spans="1:48" s="217" customFormat="1" ht="25.5" customHeight="1" outlineLevel="1">
      <c r="A15" s="215" t="s">
        <v>125</v>
      </c>
      <c r="B15" s="191">
        <v>33</v>
      </c>
      <c r="C15" s="191" t="s">
        <v>196</v>
      </c>
      <c r="D15" s="246" t="s">
        <v>648</v>
      </c>
      <c r="E15" s="191" t="s">
        <v>169</v>
      </c>
      <c r="F15" s="191" t="s">
        <v>649</v>
      </c>
      <c r="G15" s="191" t="s">
        <v>37</v>
      </c>
      <c r="H15" s="191" t="s">
        <v>37</v>
      </c>
      <c r="I15" s="258">
        <v>36</v>
      </c>
      <c r="J15" s="191" t="s">
        <v>80</v>
      </c>
      <c r="K15" s="192" t="s">
        <v>1189</v>
      </c>
      <c r="L15" s="246">
        <v>40019474</v>
      </c>
      <c r="M15" s="861" t="s">
        <v>1604</v>
      </c>
      <c r="N15" s="245"/>
      <c r="O15" s="245" t="s">
        <v>1192</v>
      </c>
      <c r="P15" s="245"/>
      <c r="Q15" s="192" t="s">
        <v>1193</v>
      </c>
      <c r="R15" s="276" t="s">
        <v>1194</v>
      </c>
      <c r="S15" s="274"/>
      <c r="T15" s="276"/>
      <c r="U15" s="276"/>
      <c r="V15" s="276"/>
      <c r="W15" s="276"/>
      <c r="X15" s="274"/>
      <c r="Y15" s="194">
        <v>120000000</v>
      </c>
      <c r="Z15" s="194">
        <v>0</v>
      </c>
      <c r="AA15" s="296"/>
      <c r="AB15" s="299">
        <v>120000000</v>
      </c>
      <c r="AC15" s="299">
        <f t="shared" ref="AC15:AC18" si="4">SUBTOTAL(9,AE15:AP15)</f>
        <v>0</v>
      </c>
      <c r="AD15" s="299">
        <f t="shared" ref="AD15:AD26" si="5">+AB15-AC15</f>
        <v>120000000</v>
      </c>
      <c r="AE15" s="297">
        <v>0</v>
      </c>
      <c r="AF15" s="297">
        <v>0</v>
      </c>
      <c r="AG15" s="297">
        <v>0</v>
      </c>
      <c r="AH15" s="297">
        <v>0</v>
      </c>
      <c r="AI15" s="297">
        <v>0</v>
      </c>
      <c r="AJ15" s="297">
        <v>0</v>
      </c>
      <c r="AK15" s="297">
        <v>0</v>
      </c>
      <c r="AL15" s="297">
        <v>0</v>
      </c>
      <c r="AM15" s="297">
        <v>0</v>
      </c>
      <c r="AN15" s="297">
        <v>0</v>
      </c>
      <c r="AO15" s="297">
        <v>0</v>
      </c>
      <c r="AP15" s="299">
        <v>0</v>
      </c>
      <c r="AQ15" s="296"/>
      <c r="AR15" s="299">
        <f t="shared" ref="AR15:AR26" si="6">+Y15-Z15-AC15-AD15</f>
        <v>0</v>
      </c>
      <c r="AS15" s="314" t="s">
        <v>185</v>
      </c>
      <c r="AT15" s="313" t="s">
        <v>1475</v>
      </c>
      <c r="AU15" s="192" t="s">
        <v>1209</v>
      </c>
    </row>
    <row r="16" spans="1:48" s="217" customFormat="1" ht="25.5" customHeight="1" outlineLevel="1">
      <c r="A16" s="215" t="s">
        <v>125</v>
      </c>
      <c r="B16" s="191">
        <v>33</v>
      </c>
      <c r="C16" s="191" t="s">
        <v>196</v>
      </c>
      <c r="D16" s="246" t="s">
        <v>648</v>
      </c>
      <c r="E16" s="191" t="s">
        <v>169</v>
      </c>
      <c r="F16" s="191" t="s">
        <v>649</v>
      </c>
      <c r="G16" s="191" t="s">
        <v>37</v>
      </c>
      <c r="H16" s="191" t="s">
        <v>37</v>
      </c>
      <c r="I16" s="258">
        <v>36</v>
      </c>
      <c r="J16" s="191" t="s">
        <v>80</v>
      </c>
      <c r="K16" s="192" t="s">
        <v>1189</v>
      </c>
      <c r="L16" s="246">
        <v>40019475</v>
      </c>
      <c r="M16" s="861" t="s">
        <v>1604</v>
      </c>
      <c r="N16" s="245"/>
      <c r="O16" s="245" t="s">
        <v>1195</v>
      </c>
      <c r="P16" s="245"/>
      <c r="Q16" s="192" t="s">
        <v>1196</v>
      </c>
      <c r="R16" s="276" t="s">
        <v>1197</v>
      </c>
      <c r="S16" s="274"/>
      <c r="T16" s="276"/>
      <c r="U16" s="276"/>
      <c r="V16" s="276"/>
      <c r="W16" s="276"/>
      <c r="X16" s="274"/>
      <c r="Y16" s="194">
        <v>150000000</v>
      </c>
      <c r="Z16" s="194">
        <v>0</v>
      </c>
      <c r="AA16" s="296"/>
      <c r="AB16" s="299">
        <v>150000000</v>
      </c>
      <c r="AC16" s="299">
        <f t="shared" si="4"/>
        <v>0</v>
      </c>
      <c r="AD16" s="299">
        <f t="shared" si="5"/>
        <v>150000000</v>
      </c>
      <c r="AE16" s="297">
        <v>0</v>
      </c>
      <c r="AF16" s="297">
        <v>0</v>
      </c>
      <c r="AG16" s="297">
        <v>0</v>
      </c>
      <c r="AH16" s="297">
        <v>0</v>
      </c>
      <c r="AI16" s="297">
        <v>0</v>
      </c>
      <c r="AJ16" s="297">
        <v>0</v>
      </c>
      <c r="AK16" s="297">
        <v>0</v>
      </c>
      <c r="AL16" s="297">
        <v>0</v>
      </c>
      <c r="AM16" s="297">
        <v>0</v>
      </c>
      <c r="AN16" s="297">
        <v>0</v>
      </c>
      <c r="AO16" s="297">
        <v>0</v>
      </c>
      <c r="AP16" s="299">
        <v>0</v>
      </c>
      <c r="AQ16" s="296"/>
      <c r="AR16" s="299">
        <f t="shared" si="6"/>
        <v>0</v>
      </c>
      <c r="AS16" s="314" t="s">
        <v>185</v>
      </c>
      <c r="AT16" s="313" t="s">
        <v>1475</v>
      </c>
      <c r="AU16" s="192" t="s">
        <v>1209</v>
      </c>
    </row>
    <row r="17" spans="1:48" s="217" customFormat="1" ht="25.5" customHeight="1" outlineLevel="1">
      <c r="A17" s="215" t="s">
        <v>125</v>
      </c>
      <c r="B17" s="191">
        <v>33</v>
      </c>
      <c r="C17" s="191" t="s">
        <v>196</v>
      </c>
      <c r="D17" s="246" t="s">
        <v>129</v>
      </c>
      <c r="E17" s="191" t="s">
        <v>130</v>
      </c>
      <c r="F17" s="191" t="s">
        <v>649</v>
      </c>
      <c r="G17" s="191" t="s">
        <v>37</v>
      </c>
      <c r="H17" s="191" t="s">
        <v>37</v>
      </c>
      <c r="I17" s="258">
        <v>36</v>
      </c>
      <c r="J17" s="191" t="s">
        <v>80</v>
      </c>
      <c r="K17" s="192" t="s">
        <v>1199</v>
      </c>
      <c r="L17" s="246">
        <v>40019485</v>
      </c>
      <c r="M17" s="861" t="s">
        <v>1604</v>
      </c>
      <c r="N17" s="245"/>
      <c r="O17" s="245" t="s">
        <v>1200</v>
      </c>
      <c r="P17" s="245"/>
      <c r="Q17" s="192" t="s">
        <v>1201</v>
      </c>
      <c r="R17" s="276" t="s">
        <v>1202</v>
      </c>
      <c r="S17" s="274"/>
      <c r="T17" s="276"/>
      <c r="U17" s="276"/>
      <c r="V17" s="276"/>
      <c r="W17" s="276"/>
      <c r="X17" s="274"/>
      <c r="Y17" s="194">
        <v>1300000000</v>
      </c>
      <c r="Z17" s="194">
        <v>0</v>
      </c>
      <c r="AA17" s="296"/>
      <c r="AB17" s="299">
        <v>1300000000</v>
      </c>
      <c r="AC17" s="299">
        <f t="shared" si="4"/>
        <v>0</v>
      </c>
      <c r="AD17" s="299">
        <f t="shared" si="5"/>
        <v>1300000000</v>
      </c>
      <c r="AE17" s="297">
        <v>0</v>
      </c>
      <c r="AF17" s="297">
        <v>0</v>
      </c>
      <c r="AG17" s="297">
        <v>0</v>
      </c>
      <c r="AH17" s="297">
        <v>0</v>
      </c>
      <c r="AI17" s="297">
        <v>0</v>
      </c>
      <c r="AJ17" s="297">
        <v>0</v>
      </c>
      <c r="AK17" s="297">
        <v>0</v>
      </c>
      <c r="AL17" s="297">
        <v>0</v>
      </c>
      <c r="AM17" s="297">
        <v>0</v>
      </c>
      <c r="AN17" s="297">
        <v>0</v>
      </c>
      <c r="AO17" s="297">
        <v>0</v>
      </c>
      <c r="AP17" s="299">
        <v>0</v>
      </c>
      <c r="AQ17" s="296"/>
      <c r="AR17" s="299">
        <f t="shared" si="6"/>
        <v>0</v>
      </c>
      <c r="AS17" s="314" t="s">
        <v>185</v>
      </c>
      <c r="AT17" s="313" t="s">
        <v>1475</v>
      </c>
      <c r="AU17" s="192" t="s">
        <v>1209</v>
      </c>
    </row>
    <row r="18" spans="1:48" s="217" customFormat="1" ht="25.5" customHeight="1" outlineLevel="1">
      <c r="A18" s="215" t="s">
        <v>125</v>
      </c>
      <c r="B18" s="191">
        <v>33</v>
      </c>
      <c r="C18" s="191" t="s">
        <v>196</v>
      </c>
      <c r="D18" s="246" t="s">
        <v>129</v>
      </c>
      <c r="E18" s="191" t="s">
        <v>130</v>
      </c>
      <c r="F18" s="191" t="s">
        <v>649</v>
      </c>
      <c r="G18" s="191" t="s">
        <v>37</v>
      </c>
      <c r="H18" s="191" t="s">
        <v>37</v>
      </c>
      <c r="I18" s="258">
        <v>36</v>
      </c>
      <c r="J18" s="191" t="s">
        <v>80</v>
      </c>
      <c r="K18" s="192" t="s">
        <v>1153</v>
      </c>
      <c r="L18" s="246">
        <v>40019414</v>
      </c>
      <c r="M18" s="861" t="s">
        <v>1604</v>
      </c>
      <c r="N18" s="245"/>
      <c r="O18" s="245" t="s">
        <v>1203</v>
      </c>
      <c r="P18" s="245"/>
      <c r="Q18" s="192" t="s">
        <v>1204</v>
      </c>
      <c r="R18" s="276" t="s">
        <v>1205</v>
      </c>
      <c r="S18" s="274"/>
      <c r="T18" s="276"/>
      <c r="U18" s="276"/>
      <c r="V18" s="276"/>
      <c r="W18" s="276"/>
      <c r="X18" s="274"/>
      <c r="Y18" s="194">
        <v>500000000</v>
      </c>
      <c r="Z18" s="194">
        <v>0</v>
      </c>
      <c r="AA18" s="296"/>
      <c r="AB18" s="299">
        <v>500000000</v>
      </c>
      <c r="AC18" s="299">
        <f t="shared" si="4"/>
        <v>0</v>
      </c>
      <c r="AD18" s="299">
        <f t="shared" si="5"/>
        <v>500000000</v>
      </c>
      <c r="AE18" s="297">
        <v>0</v>
      </c>
      <c r="AF18" s="297">
        <v>0</v>
      </c>
      <c r="AG18" s="297">
        <v>0</v>
      </c>
      <c r="AH18" s="297">
        <v>0</v>
      </c>
      <c r="AI18" s="297">
        <v>0</v>
      </c>
      <c r="AJ18" s="297">
        <v>0</v>
      </c>
      <c r="AK18" s="297">
        <v>0</v>
      </c>
      <c r="AL18" s="297">
        <v>0</v>
      </c>
      <c r="AM18" s="297">
        <v>0</v>
      </c>
      <c r="AN18" s="297">
        <v>0</v>
      </c>
      <c r="AO18" s="297">
        <v>0</v>
      </c>
      <c r="AP18" s="299">
        <v>0</v>
      </c>
      <c r="AQ18" s="296"/>
      <c r="AR18" s="299">
        <f t="shared" si="6"/>
        <v>0</v>
      </c>
      <c r="AS18" s="314" t="s">
        <v>185</v>
      </c>
      <c r="AT18" s="313" t="s">
        <v>1475</v>
      </c>
      <c r="AU18" s="192" t="s">
        <v>200</v>
      </c>
    </row>
    <row r="19" spans="1:48" s="217" customFormat="1" ht="25.5" customHeight="1" outlineLevel="1">
      <c r="A19" s="215" t="s">
        <v>125</v>
      </c>
      <c r="B19" s="191">
        <v>33</v>
      </c>
      <c r="C19" s="191" t="s">
        <v>196</v>
      </c>
      <c r="D19" s="246" t="s">
        <v>648</v>
      </c>
      <c r="E19" s="191" t="s">
        <v>169</v>
      </c>
      <c r="F19" s="191" t="s">
        <v>649</v>
      </c>
      <c r="G19" s="191" t="s">
        <v>37</v>
      </c>
      <c r="H19" s="191" t="s">
        <v>37</v>
      </c>
      <c r="I19" s="258">
        <v>36</v>
      </c>
      <c r="J19" s="191" t="s">
        <v>80</v>
      </c>
      <c r="K19" s="192" t="s">
        <v>1189</v>
      </c>
      <c r="L19" s="246">
        <v>40019379</v>
      </c>
      <c r="M19" s="861" t="s">
        <v>1604</v>
      </c>
      <c r="N19" s="245"/>
      <c r="O19" s="245" t="s">
        <v>1206</v>
      </c>
      <c r="P19" s="245"/>
      <c r="Q19" s="192" t="s">
        <v>1207</v>
      </c>
      <c r="R19" s="276" t="s">
        <v>1208</v>
      </c>
      <c r="S19" s="274"/>
      <c r="T19" s="276"/>
      <c r="U19" s="276"/>
      <c r="V19" s="276"/>
      <c r="W19" s="276"/>
      <c r="X19" s="274"/>
      <c r="Y19" s="194">
        <v>300000000</v>
      </c>
      <c r="Z19" s="194">
        <v>0</v>
      </c>
      <c r="AA19" s="296"/>
      <c r="AB19" s="299">
        <v>300000000</v>
      </c>
      <c r="AC19" s="299">
        <f t="shared" ref="AC19:AC26" si="7">SUBTOTAL(9,AE19:AP19)</f>
        <v>0</v>
      </c>
      <c r="AD19" s="299">
        <f t="shared" si="5"/>
        <v>300000000</v>
      </c>
      <c r="AE19" s="297">
        <v>0</v>
      </c>
      <c r="AF19" s="297">
        <v>0</v>
      </c>
      <c r="AG19" s="297">
        <v>0</v>
      </c>
      <c r="AH19" s="297">
        <v>0</v>
      </c>
      <c r="AI19" s="297">
        <v>0</v>
      </c>
      <c r="AJ19" s="297">
        <v>0</v>
      </c>
      <c r="AK19" s="297">
        <v>0</v>
      </c>
      <c r="AL19" s="297">
        <v>0</v>
      </c>
      <c r="AM19" s="297">
        <v>0</v>
      </c>
      <c r="AN19" s="297">
        <v>0</v>
      </c>
      <c r="AO19" s="297">
        <v>0</v>
      </c>
      <c r="AP19" s="299">
        <v>0</v>
      </c>
      <c r="AQ19" s="296"/>
      <c r="AR19" s="299">
        <f t="shared" si="6"/>
        <v>0</v>
      </c>
      <c r="AS19" s="314" t="s">
        <v>185</v>
      </c>
      <c r="AT19" s="313" t="s">
        <v>1475</v>
      </c>
      <c r="AU19" s="192" t="s">
        <v>1209</v>
      </c>
    </row>
    <row r="20" spans="1:48" s="217" customFormat="1" ht="25.5" customHeight="1" outlineLevel="1">
      <c r="A20" s="215" t="s">
        <v>125</v>
      </c>
      <c r="B20" s="191">
        <v>33</v>
      </c>
      <c r="C20" s="191" t="s">
        <v>196</v>
      </c>
      <c r="D20" s="246" t="s">
        <v>648</v>
      </c>
      <c r="E20" s="191" t="s">
        <v>169</v>
      </c>
      <c r="F20" s="191" t="s">
        <v>649</v>
      </c>
      <c r="G20" s="191" t="s">
        <v>37</v>
      </c>
      <c r="H20" s="191" t="s">
        <v>37</v>
      </c>
      <c r="I20" s="258">
        <v>36</v>
      </c>
      <c r="J20" s="191" t="s">
        <v>80</v>
      </c>
      <c r="K20" s="192" t="s">
        <v>1189</v>
      </c>
      <c r="L20" s="246">
        <v>40019479</v>
      </c>
      <c r="M20" s="861" t="s">
        <v>1604</v>
      </c>
      <c r="N20" s="245"/>
      <c r="O20" s="245" t="s">
        <v>1210</v>
      </c>
      <c r="P20" s="245"/>
      <c r="Q20" s="192" t="s">
        <v>1211</v>
      </c>
      <c r="R20" s="276" t="s">
        <v>1212</v>
      </c>
      <c r="S20" s="274"/>
      <c r="T20" s="276"/>
      <c r="U20" s="276"/>
      <c r="V20" s="276"/>
      <c r="W20" s="276"/>
      <c r="X20" s="274"/>
      <c r="Y20" s="194">
        <v>100000000</v>
      </c>
      <c r="Z20" s="194">
        <v>0</v>
      </c>
      <c r="AA20" s="296"/>
      <c r="AB20" s="299">
        <v>100000000</v>
      </c>
      <c r="AC20" s="299">
        <f t="shared" si="7"/>
        <v>0</v>
      </c>
      <c r="AD20" s="299">
        <f t="shared" si="5"/>
        <v>100000000</v>
      </c>
      <c r="AE20" s="297">
        <v>0</v>
      </c>
      <c r="AF20" s="297">
        <v>0</v>
      </c>
      <c r="AG20" s="297">
        <v>0</v>
      </c>
      <c r="AH20" s="297">
        <v>0</v>
      </c>
      <c r="AI20" s="297">
        <v>0</v>
      </c>
      <c r="AJ20" s="297">
        <v>0</v>
      </c>
      <c r="AK20" s="297">
        <v>0</v>
      </c>
      <c r="AL20" s="297">
        <v>0</v>
      </c>
      <c r="AM20" s="297">
        <v>0</v>
      </c>
      <c r="AN20" s="297">
        <v>0</v>
      </c>
      <c r="AO20" s="297">
        <v>0</v>
      </c>
      <c r="AP20" s="299">
        <v>0</v>
      </c>
      <c r="AQ20" s="296"/>
      <c r="AR20" s="299">
        <f t="shared" si="6"/>
        <v>0</v>
      </c>
      <c r="AS20" s="314" t="s">
        <v>185</v>
      </c>
      <c r="AT20" s="313" t="s">
        <v>1475</v>
      </c>
      <c r="AU20" s="192" t="s">
        <v>1209</v>
      </c>
    </row>
    <row r="21" spans="1:48" s="217" customFormat="1" ht="25.5" customHeight="1" outlineLevel="1">
      <c r="A21" s="215" t="s">
        <v>125</v>
      </c>
      <c r="B21" s="191">
        <v>33</v>
      </c>
      <c r="C21" s="191" t="s">
        <v>196</v>
      </c>
      <c r="D21" s="246" t="s">
        <v>618</v>
      </c>
      <c r="E21" s="191" t="s">
        <v>169</v>
      </c>
      <c r="F21" s="191" t="s">
        <v>649</v>
      </c>
      <c r="G21" s="191" t="s">
        <v>37</v>
      </c>
      <c r="H21" s="191" t="s">
        <v>37</v>
      </c>
      <c r="I21" s="258">
        <v>36</v>
      </c>
      <c r="J21" s="191" t="s">
        <v>80</v>
      </c>
      <c r="K21" s="192" t="s">
        <v>1153</v>
      </c>
      <c r="L21" s="246">
        <v>40019469</v>
      </c>
      <c r="M21" s="861" t="s">
        <v>1604</v>
      </c>
      <c r="N21" s="245"/>
      <c r="O21" s="245" t="s">
        <v>1213</v>
      </c>
      <c r="P21" s="245"/>
      <c r="Q21" s="192" t="s">
        <v>1214</v>
      </c>
      <c r="R21" s="276" t="s">
        <v>1215</v>
      </c>
      <c r="S21" s="274"/>
      <c r="T21" s="276"/>
      <c r="U21" s="276"/>
      <c r="V21" s="276"/>
      <c r="W21" s="276"/>
      <c r="X21" s="274"/>
      <c r="Y21" s="194">
        <v>150000000</v>
      </c>
      <c r="Z21" s="194">
        <v>0</v>
      </c>
      <c r="AA21" s="296"/>
      <c r="AB21" s="299">
        <v>150000000</v>
      </c>
      <c r="AC21" s="299">
        <f t="shared" si="7"/>
        <v>0</v>
      </c>
      <c r="AD21" s="299">
        <f t="shared" si="5"/>
        <v>150000000</v>
      </c>
      <c r="AE21" s="297">
        <v>0</v>
      </c>
      <c r="AF21" s="297">
        <v>0</v>
      </c>
      <c r="AG21" s="297">
        <v>0</v>
      </c>
      <c r="AH21" s="297">
        <v>0</v>
      </c>
      <c r="AI21" s="297">
        <v>0</v>
      </c>
      <c r="AJ21" s="297">
        <v>0</v>
      </c>
      <c r="AK21" s="297">
        <v>0</v>
      </c>
      <c r="AL21" s="297">
        <v>0</v>
      </c>
      <c r="AM21" s="297">
        <v>0</v>
      </c>
      <c r="AN21" s="297">
        <v>0</v>
      </c>
      <c r="AO21" s="297">
        <v>0</v>
      </c>
      <c r="AP21" s="299">
        <v>0</v>
      </c>
      <c r="AQ21" s="296"/>
      <c r="AR21" s="299">
        <f t="shared" si="6"/>
        <v>0</v>
      </c>
      <c r="AS21" s="314" t="s">
        <v>185</v>
      </c>
      <c r="AT21" s="313" t="s">
        <v>1475</v>
      </c>
      <c r="AU21" s="192" t="s">
        <v>1209</v>
      </c>
    </row>
    <row r="22" spans="1:48" s="217" customFormat="1" ht="25.5" customHeight="1" outlineLevel="1">
      <c r="A22" s="215" t="s">
        <v>125</v>
      </c>
      <c r="B22" s="191">
        <v>33</v>
      </c>
      <c r="C22" s="191" t="s">
        <v>196</v>
      </c>
      <c r="D22" s="246" t="s">
        <v>618</v>
      </c>
      <c r="E22" s="191" t="s">
        <v>130</v>
      </c>
      <c r="F22" s="191" t="s">
        <v>649</v>
      </c>
      <c r="G22" s="191" t="s">
        <v>37</v>
      </c>
      <c r="H22" s="191" t="s">
        <v>37</v>
      </c>
      <c r="I22" s="258">
        <v>36</v>
      </c>
      <c r="J22" s="191" t="s">
        <v>80</v>
      </c>
      <c r="K22" s="192" t="s">
        <v>1639</v>
      </c>
      <c r="L22" s="246">
        <v>40024008</v>
      </c>
      <c r="M22" s="861" t="s">
        <v>1604</v>
      </c>
      <c r="N22" s="245"/>
      <c r="O22" s="245" t="s">
        <v>1198</v>
      </c>
      <c r="P22" s="245"/>
      <c r="Q22" s="192" t="s">
        <v>1645</v>
      </c>
      <c r="R22" s="276" t="s">
        <v>1646</v>
      </c>
      <c r="S22" s="274"/>
      <c r="T22" s="276"/>
      <c r="U22" s="276"/>
      <c r="V22" s="276"/>
      <c r="W22" s="276"/>
      <c r="X22" s="274"/>
      <c r="Y22" s="194">
        <v>474000000</v>
      </c>
      <c r="Z22" s="194">
        <v>0</v>
      </c>
      <c r="AA22" s="296"/>
      <c r="AB22" s="299">
        <v>474000000</v>
      </c>
      <c r="AC22" s="299">
        <f t="shared" si="7"/>
        <v>0</v>
      </c>
      <c r="AD22" s="299">
        <f t="shared" si="5"/>
        <v>474000000</v>
      </c>
      <c r="AE22" s="297">
        <v>0</v>
      </c>
      <c r="AF22" s="297">
        <v>0</v>
      </c>
      <c r="AG22" s="297">
        <v>0</v>
      </c>
      <c r="AH22" s="297">
        <v>0</v>
      </c>
      <c r="AI22" s="297">
        <v>0</v>
      </c>
      <c r="AJ22" s="297">
        <v>0</v>
      </c>
      <c r="AK22" s="297">
        <v>0</v>
      </c>
      <c r="AL22" s="297">
        <v>0</v>
      </c>
      <c r="AM22" s="297">
        <v>0</v>
      </c>
      <c r="AN22" s="297">
        <v>0</v>
      </c>
      <c r="AO22" s="297">
        <v>0</v>
      </c>
      <c r="AP22" s="299">
        <v>0</v>
      </c>
      <c r="AQ22" s="296"/>
      <c r="AR22" s="299">
        <f t="shared" si="6"/>
        <v>0</v>
      </c>
      <c r="AS22" s="314" t="s">
        <v>185</v>
      </c>
      <c r="AT22" s="313" t="s">
        <v>1475</v>
      </c>
      <c r="AU22" s="192" t="s">
        <v>1644</v>
      </c>
    </row>
    <row r="23" spans="1:48" s="217" customFormat="1" ht="25.5" customHeight="1" outlineLevel="1">
      <c r="A23" s="215" t="s">
        <v>125</v>
      </c>
      <c r="B23" s="191">
        <v>33</v>
      </c>
      <c r="C23" s="191" t="s">
        <v>196</v>
      </c>
      <c r="D23" s="246" t="s">
        <v>618</v>
      </c>
      <c r="E23" s="191" t="s">
        <v>130</v>
      </c>
      <c r="F23" s="191" t="s">
        <v>649</v>
      </c>
      <c r="G23" s="191" t="s">
        <v>37</v>
      </c>
      <c r="H23" s="191" t="s">
        <v>37</v>
      </c>
      <c r="I23" s="258">
        <v>36</v>
      </c>
      <c r="J23" s="191" t="s">
        <v>80</v>
      </c>
      <c r="K23" s="192" t="s">
        <v>1639</v>
      </c>
      <c r="L23" s="246">
        <v>40015477</v>
      </c>
      <c r="M23" s="861" t="s">
        <v>1604</v>
      </c>
      <c r="N23" s="245"/>
      <c r="O23" s="245" t="s">
        <v>1198</v>
      </c>
      <c r="P23" s="245"/>
      <c r="Q23" s="192" t="s">
        <v>1649</v>
      </c>
      <c r="R23" s="276" t="s">
        <v>1650</v>
      </c>
      <c r="S23" s="274"/>
      <c r="T23" s="276"/>
      <c r="U23" s="276"/>
      <c r="V23" s="276"/>
      <c r="W23" s="276"/>
      <c r="X23" s="274"/>
      <c r="Y23" s="194">
        <v>456000000</v>
      </c>
      <c r="Z23" s="194">
        <v>0</v>
      </c>
      <c r="AA23" s="296"/>
      <c r="AB23" s="299">
        <v>456000000</v>
      </c>
      <c r="AC23" s="299">
        <f t="shared" si="7"/>
        <v>0</v>
      </c>
      <c r="AD23" s="299">
        <f t="shared" si="5"/>
        <v>456000000</v>
      </c>
      <c r="AE23" s="297">
        <v>0</v>
      </c>
      <c r="AF23" s="297">
        <v>0</v>
      </c>
      <c r="AG23" s="297">
        <v>0</v>
      </c>
      <c r="AH23" s="297">
        <v>0</v>
      </c>
      <c r="AI23" s="297">
        <v>0</v>
      </c>
      <c r="AJ23" s="297">
        <v>0</v>
      </c>
      <c r="AK23" s="297">
        <v>0</v>
      </c>
      <c r="AL23" s="297">
        <v>0</v>
      </c>
      <c r="AM23" s="297">
        <v>0</v>
      </c>
      <c r="AN23" s="297">
        <v>0</v>
      </c>
      <c r="AO23" s="297">
        <v>0</v>
      </c>
      <c r="AP23" s="299">
        <v>0</v>
      </c>
      <c r="AQ23" s="296"/>
      <c r="AR23" s="299">
        <f t="shared" si="6"/>
        <v>0</v>
      </c>
      <c r="AS23" s="314" t="s">
        <v>185</v>
      </c>
      <c r="AT23" s="313" t="s">
        <v>1475</v>
      </c>
      <c r="AU23" s="192" t="s">
        <v>1644</v>
      </c>
    </row>
    <row r="24" spans="1:48" s="217" customFormat="1" ht="25.5" customHeight="1" outlineLevel="1">
      <c r="A24" s="215" t="s">
        <v>125</v>
      </c>
      <c r="B24" s="191">
        <v>33</v>
      </c>
      <c r="C24" s="191" t="s">
        <v>196</v>
      </c>
      <c r="D24" s="246" t="s">
        <v>618</v>
      </c>
      <c r="E24" s="191" t="s">
        <v>169</v>
      </c>
      <c r="F24" s="191" t="s">
        <v>649</v>
      </c>
      <c r="G24" s="191" t="s">
        <v>37</v>
      </c>
      <c r="H24" s="191" t="s">
        <v>37</v>
      </c>
      <c r="I24" s="258">
        <v>36</v>
      </c>
      <c r="J24" s="191" t="s">
        <v>80</v>
      </c>
      <c r="K24" s="192" t="s">
        <v>1189</v>
      </c>
      <c r="L24" s="246">
        <v>40019440</v>
      </c>
      <c r="M24" s="861" t="s">
        <v>1604</v>
      </c>
      <c r="N24" s="245"/>
      <c r="O24" s="245" t="s">
        <v>1216</v>
      </c>
      <c r="P24" s="245"/>
      <c r="Q24" s="192" t="s">
        <v>1217</v>
      </c>
      <c r="R24" s="276" t="s">
        <v>1218</v>
      </c>
      <c r="S24" s="274"/>
      <c r="T24" s="276"/>
      <c r="U24" s="276"/>
      <c r="V24" s="276"/>
      <c r="W24" s="276"/>
      <c r="X24" s="274"/>
      <c r="Y24" s="194">
        <v>130000000</v>
      </c>
      <c r="Z24" s="194">
        <v>0</v>
      </c>
      <c r="AA24" s="296"/>
      <c r="AB24" s="299">
        <v>130000000</v>
      </c>
      <c r="AC24" s="299">
        <f t="shared" si="7"/>
        <v>0</v>
      </c>
      <c r="AD24" s="299">
        <f t="shared" si="5"/>
        <v>130000000</v>
      </c>
      <c r="AE24" s="297">
        <v>0</v>
      </c>
      <c r="AF24" s="297">
        <v>0</v>
      </c>
      <c r="AG24" s="297">
        <v>0</v>
      </c>
      <c r="AH24" s="297">
        <v>0</v>
      </c>
      <c r="AI24" s="297">
        <v>0</v>
      </c>
      <c r="AJ24" s="297">
        <v>0</v>
      </c>
      <c r="AK24" s="297">
        <v>0</v>
      </c>
      <c r="AL24" s="297">
        <v>0</v>
      </c>
      <c r="AM24" s="297">
        <v>0</v>
      </c>
      <c r="AN24" s="297">
        <v>0</v>
      </c>
      <c r="AO24" s="297">
        <v>0</v>
      </c>
      <c r="AP24" s="299">
        <v>0</v>
      </c>
      <c r="AQ24" s="296"/>
      <c r="AR24" s="299">
        <f t="shared" si="6"/>
        <v>0</v>
      </c>
      <c r="AS24" s="314" t="s">
        <v>185</v>
      </c>
      <c r="AT24" s="313" t="s">
        <v>1475</v>
      </c>
      <c r="AU24" s="192" t="s">
        <v>1209</v>
      </c>
    </row>
    <row r="25" spans="1:48" s="217" customFormat="1" ht="25.5" customHeight="1" outlineLevel="1">
      <c r="A25" s="215" t="s">
        <v>125</v>
      </c>
      <c r="B25" s="191">
        <v>33</v>
      </c>
      <c r="C25" s="191" t="s">
        <v>196</v>
      </c>
      <c r="D25" s="246" t="s">
        <v>618</v>
      </c>
      <c r="E25" s="191" t="s">
        <v>130</v>
      </c>
      <c r="F25" s="191" t="s">
        <v>649</v>
      </c>
      <c r="G25" s="191" t="s">
        <v>37</v>
      </c>
      <c r="H25" s="191" t="s">
        <v>37</v>
      </c>
      <c r="I25" s="258">
        <v>36</v>
      </c>
      <c r="J25" s="191" t="s">
        <v>80</v>
      </c>
      <c r="K25" s="192" t="s">
        <v>1189</v>
      </c>
      <c r="L25" s="246">
        <v>40019477</v>
      </c>
      <c r="M25" s="861" t="s">
        <v>1604</v>
      </c>
      <c r="N25" s="245"/>
      <c r="O25" s="245" t="s">
        <v>1219</v>
      </c>
      <c r="P25" s="245"/>
      <c r="Q25" s="192" t="s">
        <v>1220</v>
      </c>
      <c r="R25" s="276" t="s">
        <v>1221</v>
      </c>
      <c r="S25" s="274"/>
      <c r="T25" s="276"/>
      <c r="U25" s="276"/>
      <c r="V25" s="276"/>
      <c r="W25" s="276"/>
      <c r="X25" s="274"/>
      <c r="Y25" s="194">
        <v>1000000000</v>
      </c>
      <c r="Z25" s="194">
        <v>0</v>
      </c>
      <c r="AA25" s="296"/>
      <c r="AB25" s="299">
        <v>1000000000</v>
      </c>
      <c r="AC25" s="299">
        <f t="shared" si="7"/>
        <v>0</v>
      </c>
      <c r="AD25" s="299">
        <f t="shared" si="5"/>
        <v>1000000000</v>
      </c>
      <c r="AE25" s="297">
        <v>0</v>
      </c>
      <c r="AF25" s="297">
        <v>0</v>
      </c>
      <c r="AG25" s="297">
        <v>0</v>
      </c>
      <c r="AH25" s="297">
        <v>0</v>
      </c>
      <c r="AI25" s="297">
        <v>0</v>
      </c>
      <c r="AJ25" s="297">
        <v>0</v>
      </c>
      <c r="AK25" s="297">
        <v>0</v>
      </c>
      <c r="AL25" s="297">
        <v>0</v>
      </c>
      <c r="AM25" s="297">
        <v>0</v>
      </c>
      <c r="AN25" s="297">
        <v>0</v>
      </c>
      <c r="AO25" s="297">
        <v>0</v>
      </c>
      <c r="AP25" s="299">
        <v>0</v>
      </c>
      <c r="AQ25" s="296"/>
      <c r="AR25" s="299">
        <f t="shared" si="6"/>
        <v>0</v>
      </c>
      <c r="AS25" s="314" t="s">
        <v>185</v>
      </c>
      <c r="AT25" s="313" t="s">
        <v>1475</v>
      </c>
      <c r="AU25" s="192" t="s">
        <v>1209</v>
      </c>
    </row>
    <row r="26" spans="1:48" s="217" customFormat="1" ht="25.5" customHeight="1" outlineLevel="1">
      <c r="A26" s="215" t="s">
        <v>125</v>
      </c>
      <c r="B26" s="191">
        <v>33</v>
      </c>
      <c r="C26" s="191" t="s">
        <v>196</v>
      </c>
      <c r="D26" s="246" t="s">
        <v>618</v>
      </c>
      <c r="E26" s="191" t="s">
        <v>130</v>
      </c>
      <c r="F26" s="191" t="s">
        <v>649</v>
      </c>
      <c r="G26" s="191" t="s">
        <v>37</v>
      </c>
      <c r="H26" s="191" t="s">
        <v>37</v>
      </c>
      <c r="I26" s="258">
        <v>36</v>
      </c>
      <c r="J26" s="191" t="s">
        <v>80</v>
      </c>
      <c r="K26" s="192" t="s">
        <v>1189</v>
      </c>
      <c r="L26" s="246">
        <v>40019444</v>
      </c>
      <c r="M26" s="861" t="s">
        <v>1604</v>
      </c>
      <c r="N26" s="245"/>
      <c r="O26" s="245" t="s">
        <v>1224</v>
      </c>
      <c r="P26" s="245"/>
      <c r="Q26" s="192" t="s">
        <v>1225</v>
      </c>
      <c r="R26" s="276" t="s">
        <v>1226</v>
      </c>
      <c r="S26" s="274"/>
      <c r="T26" s="276"/>
      <c r="U26" s="276"/>
      <c r="V26" s="276"/>
      <c r="W26" s="276"/>
      <c r="X26" s="274"/>
      <c r="Y26" s="194">
        <v>200000000</v>
      </c>
      <c r="Z26" s="194">
        <v>0</v>
      </c>
      <c r="AA26" s="296"/>
      <c r="AB26" s="299">
        <v>200000000</v>
      </c>
      <c r="AC26" s="299">
        <f t="shared" si="7"/>
        <v>0</v>
      </c>
      <c r="AD26" s="299">
        <f t="shared" si="5"/>
        <v>200000000</v>
      </c>
      <c r="AE26" s="297">
        <v>0</v>
      </c>
      <c r="AF26" s="297">
        <v>0</v>
      </c>
      <c r="AG26" s="297">
        <v>0</v>
      </c>
      <c r="AH26" s="297">
        <v>0</v>
      </c>
      <c r="AI26" s="297">
        <v>0</v>
      </c>
      <c r="AJ26" s="297">
        <v>0</v>
      </c>
      <c r="AK26" s="297">
        <v>0</v>
      </c>
      <c r="AL26" s="297">
        <v>0</v>
      </c>
      <c r="AM26" s="297">
        <v>0</v>
      </c>
      <c r="AN26" s="297">
        <v>0</v>
      </c>
      <c r="AO26" s="297">
        <v>0</v>
      </c>
      <c r="AP26" s="299">
        <v>0</v>
      </c>
      <c r="AQ26" s="296"/>
      <c r="AR26" s="299">
        <f t="shared" si="6"/>
        <v>0</v>
      </c>
      <c r="AS26" s="314" t="s">
        <v>185</v>
      </c>
      <c r="AT26" s="313" t="s">
        <v>1475</v>
      </c>
      <c r="AU26" s="192" t="s">
        <v>1209</v>
      </c>
    </row>
    <row r="27" spans="1:48" s="219" customFormat="1" ht="24.75" customHeight="1" outlineLevel="1">
      <c r="A27" s="215" t="s">
        <v>125</v>
      </c>
      <c r="B27" s="251"/>
      <c r="C27" s="249"/>
      <c r="D27" s="250"/>
      <c r="E27" s="249"/>
      <c r="F27" s="249"/>
      <c r="G27" s="249"/>
      <c r="H27" s="249"/>
      <c r="I27" s="249"/>
      <c r="J27" s="251"/>
      <c r="K27" s="263"/>
      <c r="L27" s="252"/>
      <c r="M27" s="252"/>
      <c r="N27" s="252"/>
      <c r="O27" s="252"/>
      <c r="P27" s="252"/>
      <c r="Q27" s="448" t="s">
        <v>1230</v>
      </c>
      <c r="R27" s="289"/>
      <c r="S27" s="289"/>
      <c r="T27" s="289"/>
      <c r="U27" s="289"/>
      <c r="V27" s="289"/>
      <c r="W27" s="405"/>
      <c r="X27" s="290"/>
      <c r="Y27" s="467">
        <f>+SUM(Y15:Y26)</f>
        <v>4880000000</v>
      </c>
      <c r="Z27" s="467">
        <f>+SUM(Z15:Z26)</f>
        <v>0</v>
      </c>
      <c r="AA27" s="470"/>
      <c r="AB27" s="467">
        <f t="shared" ref="AB27:AD27" si="8">+SUM(AB15:AB26)</f>
        <v>4880000000</v>
      </c>
      <c r="AC27" s="467">
        <f t="shared" si="8"/>
        <v>0</v>
      </c>
      <c r="AD27" s="467">
        <f t="shared" si="8"/>
        <v>4880000000</v>
      </c>
      <c r="AE27" s="467" t="e">
        <f>+#REF!+#REF!+#REF!</f>
        <v>#REF!</v>
      </c>
      <c r="AF27" s="467" t="e">
        <f>+#REF!+#REF!+#REF!</f>
        <v>#REF!</v>
      </c>
      <c r="AG27" s="467" t="e">
        <f>+#REF!+#REF!+#REF!</f>
        <v>#REF!</v>
      </c>
      <c r="AH27" s="467" t="e">
        <f>+#REF!+#REF!+#REF!</f>
        <v>#REF!</v>
      </c>
      <c r="AI27" s="467" t="e">
        <f>+#REF!+#REF!+#REF!</f>
        <v>#REF!</v>
      </c>
      <c r="AJ27" s="467" t="e">
        <f>+#REF!+#REF!+#REF!</f>
        <v>#REF!</v>
      </c>
      <c r="AK27" s="467" t="e">
        <f>+#REF!+#REF!+#REF!</f>
        <v>#REF!</v>
      </c>
      <c r="AL27" s="467">
        <v>140167108</v>
      </c>
      <c r="AM27" s="467">
        <v>175426362</v>
      </c>
      <c r="AN27" s="467">
        <v>515059585</v>
      </c>
      <c r="AO27" s="467" t="e">
        <f>+#REF!+#REF!+#REF!</f>
        <v>#REF!</v>
      </c>
      <c r="AP27" s="467" t="e">
        <f>+#REF!+#REF!+#REF!</f>
        <v>#REF!</v>
      </c>
      <c r="AQ27" s="318"/>
      <c r="AR27" s="467">
        <f t="shared" ref="AR27" si="9">+SUM(AR15:AR26)</f>
        <v>0</v>
      </c>
      <c r="AS27" s="333"/>
      <c r="AT27" s="333"/>
      <c r="AU27" s="320"/>
    </row>
    <row r="28" spans="1:48" ht="18.75" customHeight="1" outlineLevel="1">
      <c r="A28" s="215" t="s">
        <v>125</v>
      </c>
      <c r="B28" s="249"/>
      <c r="C28" s="249"/>
      <c r="D28" s="250"/>
      <c r="E28" s="249"/>
      <c r="F28" s="249"/>
      <c r="G28" s="249"/>
      <c r="H28" s="249"/>
      <c r="I28" s="249"/>
      <c r="J28" s="249"/>
      <c r="K28" s="261"/>
      <c r="L28" s="250"/>
      <c r="M28" s="250"/>
      <c r="N28" s="250"/>
      <c r="O28" s="250"/>
      <c r="P28" s="250"/>
      <c r="Q28" s="115"/>
      <c r="R28" s="283"/>
      <c r="S28" s="283"/>
      <c r="T28" s="283"/>
      <c r="U28" s="283"/>
      <c r="V28" s="283"/>
      <c r="W28" s="283"/>
      <c r="X28" s="283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AS28" s="316"/>
      <c r="AT28" s="316"/>
      <c r="AU28" s="317"/>
    </row>
    <row r="29" spans="1:48" s="219" customFormat="1" ht="24.75" customHeight="1">
      <c r="A29" s="215" t="s">
        <v>125</v>
      </c>
      <c r="B29" s="445"/>
      <c r="C29" s="223"/>
      <c r="D29" s="30"/>
      <c r="E29" s="223"/>
      <c r="F29" s="223"/>
      <c r="G29" s="223"/>
      <c r="H29" s="224"/>
      <c r="I29" s="223"/>
      <c r="J29" s="445"/>
      <c r="L29" s="449"/>
      <c r="M29" s="449"/>
      <c r="N29" s="450"/>
      <c r="O29" s="450"/>
      <c r="P29" s="450"/>
      <c r="Q29" s="448" t="s">
        <v>1705</v>
      </c>
      <c r="R29" s="289"/>
      <c r="S29" s="289"/>
      <c r="T29" s="289"/>
      <c r="U29" s="289"/>
      <c r="V29" s="289"/>
      <c r="W29" s="289"/>
      <c r="X29" s="290"/>
      <c r="Y29" s="467">
        <f>+Y8+Y27+Y12</f>
        <v>8321979191</v>
      </c>
      <c r="Z29" s="467">
        <f>+Z8+Z27</f>
        <v>0</v>
      </c>
      <c r="AA29" s="470"/>
      <c r="AB29" s="467">
        <f>+AB8+AB27+AB12</f>
        <v>8321979191</v>
      </c>
      <c r="AC29" s="467">
        <f>+AC8+AC27</f>
        <v>0</v>
      </c>
      <c r="AD29" s="467">
        <f>+AD8+AD27+AD12</f>
        <v>8321979191</v>
      </c>
      <c r="AE29" s="467" t="e">
        <f>+#REF!+#REF!+#REF!+#REF!+#REF!+AE27</f>
        <v>#REF!</v>
      </c>
      <c r="AF29" s="467" t="e">
        <f>+#REF!+#REF!+#REF!+#REF!+#REF!+AF27</f>
        <v>#REF!</v>
      </c>
      <c r="AG29" s="467" t="e">
        <f>+#REF!+#REF!+#REF!+#REF!+#REF!+AG27</f>
        <v>#REF!</v>
      </c>
      <c r="AH29" s="467" t="e">
        <f>+#REF!+#REF!+#REF!+#REF!+#REF!+AH27</f>
        <v>#REF!</v>
      </c>
      <c r="AI29" s="467" t="e">
        <f>+#REF!+#REF!+#REF!+#REF!+#REF!+AI27</f>
        <v>#REF!</v>
      </c>
      <c r="AJ29" s="467" t="e">
        <f>+#REF!+#REF!+#REF!+#REF!+#REF!+AJ27</f>
        <v>#REF!</v>
      </c>
      <c r="AK29" s="467" t="e">
        <f>+#REF!+#REF!+#REF!+#REF!+#REF!+AK27</f>
        <v>#REF!</v>
      </c>
      <c r="AL29" s="467">
        <v>5022881123</v>
      </c>
      <c r="AM29" s="467">
        <v>6520346324</v>
      </c>
      <c r="AN29" s="467">
        <v>6589090637</v>
      </c>
      <c r="AO29" s="467" t="e">
        <f>+#REF!+#REF!+#REF!+#REF!+#REF!+AO27</f>
        <v>#REF!</v>
      </c>
      <c r="AP29" s="467" t="e">
        <f>+#REF!+#REF!+#REF!+#REF!+#REF!+AP27</f>
        <v>#REF!</v>
      </c>
      <c r="AQ29" s="318"/>
      <c r="AR29" s="118">
        <f>+Y29-Z29-AC29-AD29</f>
        <v>0</v>
      </c>
      <c r="AS29" s="477"/>
      <c r="AT29" s="477"/>
    </row>
    <row r="30" spans="1:48" s="320" customFormat="1" ht="24.75" customHeight="1">
      <c r="A30" s="215"/>
      <c r="B30" s="944"/>
      <c r="C30" s="446"/>
      <c r="D30" s="451"/>
      <c r="E30" s="446"/>
      <c r="F30" s="446"/>
      <c r="G30" s="446"/>
      <c r="H30" s="945"/>
      <c r="I30" s="446"/>
      <c r="J30" s="944"/>
      <c r="L30" s="449"/>
      <c r="M30" s="449"/>
      <c r="N30" s="449"/>
      <c r="O30" s="449"/>
      <c r="P30" s="449"/>
      <c r="Q30" s="946"/>
      <c r="R30" s="289"/>
      <c r="S30" s="289"/>
      <c r="T30" s="289"/>
      <c r="U30" s="289"/>
      <c r="V30" s="289"/>
      <c r="W30" s="289"/>
      <c r="X30" s="289"/>
      <c r="Y30" s="318"/>
      <c r="Z30" s="318"/>
      <c r="AA30" s="318"/>
      <c r="AB30" s="318"/>
      <c r="AC30" s="318"/>
      <c r="AD30" s="318"/>
      <c r="AE30" s="318"/>
      <c r="AF30" s="318"/>
      <c r="AG30" s="318"/>
      <c r="AH30" s="318"/>
      <c r="AI30" s="318"/>
      <c r="AJ30" s="318"/>
      <c r="AK30" s="318"/>
      <c r="AL30" s="318"/>
      <c r="AM30" s="318"/>
      <c r="AN30" s="318"/>
      <c r="AO30" s="318"/>
      <c r="AP30" s="318"/>
      <c r="AQ30" s="318"/>
      <c r="AR30" s="318"/>
      <c r="AS30" s="947"/>
      <c r="AT30" s="947"/>
    </row>
    <row r="31" spans="1:48" s="320" customFormat="1" ht="46.5">
      <c r="A31" s="215"/>
      <c r="B31" s="944"/>
      <c r="C31" s="446"/>
      <c r="D31" s="451"/>
      <c r="E31" s="446"/>
      <c r="F31" s="446"/>
      <c r="G31" s="446"/>
      <c r="H31" s="945"/>
      <c r="I31" s="446"/>
      <c r="J31" s="944"/>
      <c r="L31" s="449"/>
      <c r="M31" s="449"/>
      <c r="N31" s="449"/>
      <c r="O31" s="449"/>
      <c r="P31" s="449"/>
      <c r="Q31" s="948" t="s">
        <v>1703</v>
      </c>
      <c r="R31" s="289"/>
      <c r="S31" s="289"/>
      <c r="T31" s="289"/>
      <c r="U31" s="289"/>
      <c r="V31" s="289"/>
      <c r="W31" s="289"/>
      <c r="X31" s="289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947"/>
      <c r="AT31" s="947"/>
    </row>
    <row r="32" spans="1:48" s="232" customFormat="1" ht="21">
      <c r="A32"/>
      <c r="B32" s="223"/>
      <c r="C32" s="223"/>
      <c r="D32" s="30"/>
      <c r="E32" s="223"/>
      <c r="F32" s="223"/>
      <c r="G32" s="223"/>
      <c r="H32" s="224"/>
      <c r="I32" s="223"/>
      <c r="J32" s="223"/>
      <c r="K32"/>
      <c r="L32" s="225"/>
      <c r="M32" s="225"/>
      <c r="N32" s="30"/>
      <c r="O32" s="30"/>
      <c r="P32" s="30"/>
      <c r="Q32"/>
      <c r="R32" s="226"/>
      <c r="S32" s="227"/>
      <c r="T32" s="226"/>
      <c r="U32" s="226"/>
      <c r="V32" s="226"/>
      <c r="W32" s="226"/>
      <c r="X32" s="227"/>
      <c r="Y32" s="228"/>
      <c r="Z32" s="228"/>
      <c r="AA32" s="229"/>
      <c r="AB32" s="475"/>
      <c r="AC32" s="230"/>
      <c r="AD32" s="230"/>
      <c r="AE32" s="230"/>
      <c r="AF32" s="230"/>
      <c r="AG32" s="230"/>
      <c r="AH32" s="230"/>
      <c r="AI32" s="230"/>
      <c r="AJ32" s="230"/>
      <c r="AK32" s="230"/>
      <c r="AL32" s="231"/>
      <c r="AM32" s="231"/>
      <c r="AN32" s="230"/>
      <c r="AO32" s="230"/>
      <c r="AP32" s="230"/>
      <c r="AQ32" s="229"/>
      <c r="AR32" s="230"/>
      <c r="AU32"/>
      <c r="AV32"/>
    </row>
    <row r="33" spans="1:47" ht="26.25" customHeight="1" outlineLevel="1">
      <c r="A33" s="215" t="s">
        <v>125</v>
      </c>
      <c r="B33" s="249"/>
      <c r="C33" s="249"/>
      <c r="D33" s="250"/>
      <c r="E33" s="249"/>
      <c r="F33" s="249"/>
      <c r="G33" s="249"/>
      <c r="H33" s="249"/>
      <c r="I33" s="249"/>
      <c r="J33" s="249"/>
      <c r="K33" s="261"/>
      <c r="L33" s="250"/>
      <c r="M33" s="250"/>
      <c r="N33" s="250"/>
      <c r="O33" s="250"/>
      <c r="P33" s="250"/>
      <c r="Q33" s="264" t="s">
        <v>230</v>
      </c>
      <c r="R33" s="283"/>
      <c r="S33" s="283"/>
      <c r="T33" s="283"/>
      <c r="U33" s="283"/>
      <c r="V33" s="283"/>
      <c r="W33" s="283"/>
      <c r="X33" s="283"/>
      <c r="Y33" s="284"/>
      <c r="Z33" s="284"/>
      <c r="AA33" s="301"/>
      <c r="AB33" s="301"/>
      <c r="AC33" s="301"/>
      <c r="AD33" s="301"/>
      <c r="AE33" s="301"/>
      <c r="AF33" s="301"/>
      <c r="AG33" s="301"/>
      <c r="AH33" s="301"/>
      <c r="AI33" s="301"/>
      <c r="AJ33" s="301"/>
      <c r="AK33" s="301"/>
      <c r="AL33" s="301"/>
      <c r="AM33" s="301"/>
      <c r="AN33" s="301"/>
      <c r="AO33" s="301"/>
      <c r="AP33" s="301"/>
      <c r="AQ33" s="301"/>
      <c r="AR33" s="301"/>
      <c r="AS33" s="316"/>
      <c r="AT33" s="316"/>
      <c r="AU33" s="317"/>
    </row>
    <row r="34" spans="1:47" s="218" customFormat="1" ht="25.5" customHeight="1" outlineLevel="2">
      <c r="A34" s="215" t="s">
        <v>125</v>
      </c>
      <c r="B34" s="191">
        <v>31</v>
      </c>
      <c r="C34" s="191" t="s">
        <v>196</v>
      </c>
      <c r="D34" s="246" t="s">
        <v>251</v>
      </c>
      <c r="E34" s="191" t="s">
        <v>169</v>
      </c>
      <c r="F34" s="191" t="s">
        <v>140</v>
      </c>
      <c r="G34" s="191" t="s">
        <v>32</v>
      </c>
      <c r="H34" s="191" t="s">
        <v>42</v>
      </c>
      <c r="I34" s="258">
        <v>3</v>
      </c>
      <c r="J34" s="191" t="s">
        <v>84</v>
      </c>
      <c r="K34" s="192" t="s">
        <v>132</v>
      </c>
      <c r="L34" s="246">
        <v>40019217</v>
      </c>
      <c r="M34" s="861" t="s">
        <v>1604</v>
      </c>
      <c r="N34" s="245"/>
      <c r="O34" s="245" t="s">
        <v>265</v>
      </c>
      <c r="P34" s="257"/>
      <c r="Q34" s="192" t="s">
        <v>266</v>
      </c>
      <c r="R34" s="276"/>
      <c r="S34" s="274"/>
      <c r="T34" s="276"/>
      <c r="U34" s="276"/>
      <c r="V34" s="276"/>
      <c r="W34" s="276"/>
      <c r="X34" s="274"/>
      <c r="Y34" s="194">
        <v>406658000</v>
      </c>
      <c r="Z34" s="194">
        <v>0</v>
      </c>
      <c r="AA34" s="296"/>
      <c r="AB34" s="299">
        <v>406658000</v>
      </c>
      <c r="AC34" s="299">
        <f t="shared" ref="AC34" si="10">SUBTOTAL(9,AE34:AP34)</f>
        <v>0</v>
      </c>
      <c r="AD34" s="299">
        <f>+AB34-AC34</f>
        <v>406658000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7">
        <v>0</v>
      </c>
      <c r="AO34" s="297">
        <v>0</v>
      </c>
      <c r="AP34" s="299">
        <v>0</v>
      </c>
      <c r="AQ34" s="296"/>
      <c r="AR34" s="299">
        <f>+Y34-Z34-AC34-AD34</f>
        <v>0</v>
      </c>
      <c r="AS34" s="314" t="s">
        <v>203</v>
      </c>
      <c r="AT34" s="313" t="s">
        <v>1481</v>
      </c>
      <c r="AU34" s="192" t="s">
        <v>1488</v>
      </c>
    </row>
    <row r="35" spans="1:47" s="219" customFormat="1" ht="24.75" customHeight="1" outlineLevel="1">
      <c r="A35" s="215" t="s">
        <v>125</v>
      </c>
      <c r="B35" s="251"/>
      <c r="C35" s="249"/>
      <c r="D35" s="250"/>
      <c r="E35" s="249"/>
      <c r="F35" s="249"/>
      <c r="G35" s="249"/>
      <c r="H35" s="249"/>
      <c r="I35" s="249"/>
      <c r="J35" s="251"/>
      <c r="K35" s="263"/>
      <c r="L35" s="252"/>
      <c r="M35" s="252"/>
      <c r="N35" s="252"/>
      <c r="O35" s="252"/>
      <c r="P35" s="252"/>
      <c r="Q35" s="117" t="s">
        <v>267</v>
      </c>
      <c r="R35" s="288"/>
      <c r="S35" s="289"/>
      <c r="T35" s="289"/>
      <c r="U35" s="289"/>
      <c r="V35" s="289"/>
      <c r="W35" s="289"/>
      <c r="X35" s="290"/>
      <c r="Y35" s="118">
        <f>+Y34</f>
        <v>406658000</v>
      </c>
      <c r="Z35" s="118">
        <f>+Z34</f>
        <v>0</v>
      </c>
      <c r="AA35" s="304"/>
      <c r="AB35" s="118">
        <f>+AB34</f>
        <v>406658000</v>
      </c>
      <c r="AC35" s="118">
        <f t="shared" ref="AC35:AD35" si="11">+AC34</f>
        <v>0</v>
      </c>
      <c r="AD35" s="118">
        <f t="shared" si="11"/>
        <v>406658000</v>
      </c>
      <c r="AE35" s="118" t="e">
        <f>+#REF!+#REF!+#REF!</f>
        <v>#REF!</v>
      </c>
      <c r="AF35" s="118" t="e">
        <f>+#REF!+#REF!+#REF!</f>
        <v>#REF!</v>
      </c>
      <c r="AG35" s="118" t="e">
        <f>+#REF!+#REF!+#REF!</f>
        <v>#REF!</v>
      </c>
      <c r="AH35" s="118" t="e">
        <f>+#REF!+#REF!+#REF!</f>
        <v>#REF!</v>
      </c>
      <c r="AI35" s="118" t="e">
        <f>+#REF!+#REF!+#REF!</f>
        <v>#REF!</v>
      </c>
      <c r="AJ35" s="118" t="e">
        <f>+#REF!+#REF!+#REF!</f>
        <v>#REF!</v>
      </c>
      <c r="AK35" s="118" t="e">
        <f>+#REF!+#REF!+#REF!</f>
        <v>#REF!</v>
      </c>
      <c r="AL35" s="118">
        <v>218379843</v>
      </c>
      <c r="AM35" s="118">
        <v>2718248</v>
      </c>
      <c r="AN35" s="118">
        <v>179931758</v>
      </c>
      <c r="AO35" s="118" t="e">
        <f>+#REF!+#REF!+#REF!</f>
        <v>#REF!</v>
      </c>
      <c r="AP35" s="118" t="e">
        <f>+#REF!+#REF!+#REF!</f>
        <v>#REF!</v>
      </c>
      <c r="AQ35" s="318"/>
      <c r="AR35" s="118">
        <f>+Y35-Z35-AC35-AD35</f>
        <v>0</v>
      </c>
      <c r="AS35" s="333"/>
      <c r="AT35" s="333"/>
      <c r="AU35" s="320"/>
    </row>
    <row r="36" spans="1:47" ht="18.75" customHeight="1" outlineLevel="1">
      <c r="A36" s="215" t="s">
        <v>125</v>
      </c>
      <c r="B36" s="249"/>
      <c r="C36" s="249"/>
      <c r="D36" s="250"/>
      <c r="E36" s="249"/>
      <c r="F36" s="249"/>
      <c r="G36" s="249"/>
      <c r="H36" s="249"/>
      <c r="I36" s="249"/>
      <c r="J36" s="249"/>
      <c r="K36" s="261"/>
      <c r="L36" s="250"/>
      <c r="M36" s="250"/>
      <c r="N36" s="250"/>
      <c r="O36" s="250"/>
      <c r="P36" s="250"/>
      <c r="Q36" s="261"/>
      <c r="R36" s="283"/>
      <c r="S36" s="283"/>
      <c r="T36" s="283"/>
      <c r="U36" s="283"/>
      <c r="V36" s="283"/>
      <c r="W36" s="283"/>
      <c r="X36" s="283"/>
      <c r="Y36" s="284"/>
      <c r="Z36" s="284"/>
      <c r="AA36" s="301"/>
      <c r="AB36" s="301"/>
      <c r="AC36" s="301"/>
      <c r="AD36" s="301"/>
      <c r="AE36" s="301"/>
      <c r="AF36" s="301"/>
      <c r="AG36" s="301"/>
      <c r="AH36" s="301"/>
      <c r="AI36" s="301"/>
      <c r="AJ36" s="301"/>
      <c r="AK36" s="301"/>
      <c r="AL36" s="301"/>
      <c r="AM36" s="301"/>
      <c r="AN36" s="301"/>
      <c r="AO36" s="301"/>
      <c r="AP36" s="301"/>
      <c r="AQ36" s="301"/>
      <c r="AR36" s="301"/>
      <c r="AS36" s="316"/>
      <c r="AT36" s="316"/>
      <c r="AU36" s="317"/>
    </row>
    <row r="37" spans="1:47" ht="26.25" customHeight="1" outlineLevel="1">
      <c r="A37" s="215" t="s">
        <v>125</v>
      </c>
      <c r="B37" s="249"/>
      <c r="C37" s="249"/>
      <c r="D37" s="250"/>
      <c r="E37" s="249"/>
      <c r="F37" s="249"/>
      <c r="G37" s="249"/>
      <c r="H37" s="249"/>
      <c r="I37" s="249"/>
      <c r="J37" s="249"/>
      <c r="K37" s="261"/>
      <c r="L37" s="250"/>
      <c r="M37" s="250"/>
      <c r="N37" s="250"/>
      <c r="O37" s="250"/>
      <c r="P37" s="250"/>
      <c r="Q37" s="264" t="s">
        <v>306</v>
      </c>
      <c r="R37" s="283"/>
      <c r="S37" s="283"/>
      <c r="T37" s="283"/>
      <c r="U37" s="283"/>
      <c r="V37" s="283"/>
      <c r="W37" s="283"/>
      <c r="X37" s="283"/>
      <c r="Y37" s="284"/>
      <c r="Z37" s="284"/>
      <c r="AA37" s="301"/>
      <c r="AB37" s="301"/>
      <c r="AC37" s="301"/>
      <c r="AD37" s="301"/>
      <c r="AE37" s="301"/>
      <c r="AF37" s="301"/>
      <c r="AG37" s="301"/>
      <c r="AH37" s="301"/>
      <c r="AI37" s="301"/>
      <c r="AJ37" s="301"/>
      <c r="AK37" s="301"/>
      <c r="AL37" s="301"/>
      <c r="AM37" s="301"/>
      <c r="AN37" s="301"/>
      <c r="AO37" s="301"/>
      <c r="AP37" s="301"/>
      <c r="AQ37" s="301"/>
      <c r="AR37" s="301"/>
      <c r="AS37" s="316"/>
      <c r="AT37" s="316"/>
      <c r="AU37" s="317"/>
    </row>
    <row r="38" spans="1:47" s="218" customFormat="1" ht="25.5" customHeight="1" outlineLevel="2">
      <c r="A38" s="215" t="s">
        <v>125</v>
      </c>
      <c r="B38" s="191">
        <v>31</v>
      </c>
      <c r="C38" s="191" t="s">
        <v>196</v>
      </c>
      <c r="D38" s="246" t="s">
        <v>251</v>
      </c>
      <c r="E38" s="191" t="s">
        <v>169</v>
      </c>
      <c r="F38" s="191" t="s">
        <v>140</v>
      </c>
      <c r="G38" s="191" t="s">
        <v>32</v>
      </c>
      <c r="H38" s="191" t="s">
        <v>45</v>
      </c>
      <c r="I38" s="258">
        <v>6</v>
      </c>
      <c r="J38" s="191" t="s">
        <v>84</v>
      </c>
      <c r="K38" s="192" t="s">
        <v>132</v>
      </c>
      <c r="L38" s="246">
        <v>40019284</v>
      </c>
      <c r="M38" s="861" t="s">
        <v>1604</v>
      </c>
      <c r="N38" s="245"/>
      <c r="O38" s="245" t="s">
        <v>313</v>
      </c>
      <c r="P38" s="245"/>
      <c r="Q38" s="192" t="s">
        <v>314</v>
      </c>
      <c r="R38" s="276"/>
      <c r="S38" s="274"/>
      <c r="T38" s="276"/>
      <c r="U38" s="276"/>
      <c r="V38" s="276"/>
      <c r="W38" s="276"/>
      <c r="X38" s="274"/>
      <c r="Y38" s="194">
        <v>332221000</v>
      </c>
      <c r="Z38" s="194">
        <v>0</v>
      </c>
      <c r="AA38" s="296"/>
      <c r="AB38" s="299">
        <v>332221000</v>
      </c>
      <c r="AC38" s="299">
        <f t="shared" ref="AC38" si="12">SUBTOTAL(9,AE38:AP38)</f>
        <v>0</v>
      </c>
      <c r="AD38" s="299">
        <f>+AB38-AC38</f>
        <v>332221000</v>
      </c>
      <c r="AE38" s="297">
        <v>0</v>
      </c>
      <c r="AF38" s="297">
        <v>0</v>
      </c>
      <c r="AG38" s="297">
        <v>0</v>
      </c>
      <c r="AH38" s="297">
        <v>0</v>
      </c>
      <c r="AI38" s="297">
        <v>0</v>
      </c>
      <c r="AJ38" s="297">
        <v>0</v>
      </c>
      <c r="AK38" s="297">
        <v>0</v>
      </c>
      <c r="AL38" s="297">
        <v>0</v>
      </c>
      <c r="AM38" s="297">
        <v>0</v>
      </c>
      <c r="AN38" s="297">
        <v>0</v>
      </c>
      <c r="AO38" s="297">
        <v>0</v>
      </c>
      <c r="AP38" s="297">
        <v>0</v>
      </c>
      <c r="AQ38" s="296"/>
      <c r="AR38" s="299">
        <f>+Y38-Z38-AC38-AD38</f>
        <v>0</v>
      </c>
      <c r="AS38" s="314" t="s">
        <v>203</v>
      </c>
      <c r="AT38" s="313" t="s">
        <v>1481</v>
      </c>
      <c r="AU38" s="192" t="s">
        <v>1488</v>
      </c>
    </row>
    <row r="39" spans="1:47" s="219" customFormat="1" ht="24.75" customHeight="1" outlineLevel="1">
      <c r="A39" s="215" t="s">
        <v>125</v>
      </c>
      <c r="B39" s="251"/>
      <c r="C39" s="249"/>
      <c r="D39" s="250"/>
      <c r="E39" s="249"/>
      <c r="F39" s="249"/>
      <c r="G39" s="249"/>
      <c r="H39" s="249"/>
      <c r="I39" s="249"/>
      <c r="J39" s="251"/>
      <c r="K39" s="263"/>
      <c r="L39" s="252"/>
      <c r="M39" s="252"/>
      <c r="N39" s="252"/>
      <c r="O39" s="252"/>
      <c r="P39" s="252"/>
      <c r="Q39" s="117" t="s">
        <v>315</v>
      </c>
      <c r="R39" s="288"/>
      <c r="S39" s="289"/>
      <c r="T39" s="289"/>
      <c r="U39" s="289"/>
      <c r="V39" s="289"/>
      <c r="W39" s="289"/>
      <c r="X39" s="290"/>
      <c r="Y39" s="118">
        <f>+Y38</f>
        <v>332221000</v>
      </c>
      <c r="Z39" s="118">
        <f>+Z38</f>
        <v>0</v>
      </c>
      <c r="AA39" s="304"/>
      <c r="AB39" s="118">
        <f t="shared" ref="AB39:AD39" si="13">+AB38</f>
        <v>332221000</v>
      </c>
      <c r="AC39" s="118">
        <f t="shared" si="13"/>
        <v>0</v>
      </c>
      <c r="AD39" s="118">
        <f t="shared" si="13"/>
        <v>332221000</v>
      </c>
      <c r="AE39" s="118" t="e">
        <f>+#REF!+#REF!</f>
        <v>#REF!</v>
      </c>
      <c r="AF39" s="118" t="e">
        <f>+#REF!+#REF!</f>
        <v>#REF!</v>
      </c>
      <c r="AG39" s="118" t="e">
        <f>+#REF!+#REF!</f>
        <v>#REF!</v>
      </c>
      <c r="AH39" s="118" t="e">
        <f>+#REF!+#REF!</f>
        <v>#REF!</v>
      </c>
      <c r="AI39" s="118" t="e">
        <f>+#REF!+#REF!</f>
        <v>#REF!</v>
      </c>
      <c r="AJ39" s="118" t="e">
        <f>+#REF!+#REF!</f>
        <v>#REF!</v>
      </c>
      <c r="AK39" s="118" t="e">
        <f>+#REF!+#REF!</f>
        <v>#REF!</v>
      </c>
      <c r="AL39" s="118">
        <v>448302223</v>
      </c>
      <c r="AM39" s="118" t="e">
        <f>+#REF!+#REF!</f>
        <v>#REF!</v>
      </c>
      <c r="AN39" s="118" t="e">
        <f>+#REF!+#REF!</f>
        <v>#REF!</v>
      </c>
      <c r="AO39" s="118" t="e">
        <f>+#REF!+#REF!</f>
        <v>#REF!</v>
      </c>
      <c r="AP39" s="118" t="e">
        <f>+#REF!+#REF!</f>
        <v>#REF!</v>
      </c>
      <c r="AQ39" s="318"/>
      <c r="AR39" s="118">
        <f>+Y39-Z39-AC39-AD39</f>
        <v>0</v>
      </c>
      <c r="AS39" s="333"/>
      <c r="AT39" s="333"/>
      <c r="AU39" s="320"/>
    </row>
    <row r="40" spans="1:47" s="320" customFormat="1" ht="24.75" customHeight="1" outlineLevel="1">
      <c r="A40" s="215"/>
      <c r="B40" s="251"/>
      <c r="C40" s="249"/>
      <c r="D40" s="250"/>
      <c r="E40" s="249"/>
      <c r="F40" s="249"/>
      <c r="G40" s="249"/>
      <c r="H40" s="249"/>
      <c r="I40" s="249"/>
      <c r="J40" s="251"/>
      <c r="K40" s="263"/>
      <c r="L40" s="252"/>
      <c r="M40" s="252"/>
      <c r="N40" s="252"/>
      <c r="O40" s="252"/>
      <c r="P40" s="252"/>
      <c r="Q40" s="912"/>
      <c r="R40" s="289"/>
      <c r="S40" s="289"/>
      <c r="T40" s="289"/>
      <c r="U40" s="289"/>
      <c r="V40" s="289"/>
      <c r="W40" s="289"/>
      <c r="X40" s="289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Q40" s="318"/>
      <c r="AR40" s="318"/>
      <c r="AS40" s="333"/>
      <c r="AT40" s="333"/>
    </row>
    <row r="41" spans="1:47" ht="26.25" customHeight="1" outlineLevel="1">
      <c r="A41" s="215" t="s">
        <v>125</v>
      </c>
      <c r="B41" s="249"/>
      <c r="C41" s="249"/>
      <c r="D41" s="250"/>
      <c r="E41" s="249"/>
      <c r="F41" s="249"/>
      <c r="G41" s="249"/>
      <c r="H41" s="249"/>
      <c r="I41" s="249"/>
      <c r="J41" s="249"/>
      <c r="K41" s="261"/>
      <c r="L41" s="250"/>
      <c r="M41" s="250"/>
      <c r="N41" s="250"/>
      <c r="O41" s="250"/>
      <c r="P41" s="250"/>
      <c r="Q41" s="264" t="s">
        <v>595</v>
      </c>
      <c r="R41" s="283"/>
      <c r="S41" s="283"/>
      <c r="T41" s="283"/>
      <c r="U41" s="283"/>
      <c r="V41" s="283"/>
      <c r="W41" s="283"/>
      <c r="X41" s="283"/>
      <c r="Y41" s="284"/>
      <c r="Z41" s="284"/>
      <c r="AA41" s="301"/>
      <c r="AB41" s="301"/>
      <c r="AC41" s="301"/>
      <c r="AD41" s="301"/>
      <c r="AE41" s="301"/>
      <c r="AF41" s="301"/>
      <c r="AG41" s="301"/>
      <c r="AH41" s="301"/>
      <c r="AI41" s="301"/>
      <c r="AJ41" s="301"/>
      <c r="AK41" s="301"/>
      <c r="AL41" s="301"/>
      <c r="AM41" s="301"/>
      <c r="AN41" s="301"/>
      <c r="AO41" s="301"/>
      <c r="AP41" s="301"/>
      <c r="AQ41" s="301"/>
      <c r="AR41" s="301"/>
      <c r="AS41" s="316"/>
      <c r="AT41" s="316"/>
      <c r="AU41" s="317"/>
    </row>
    <row r="42" spans="1:47" s="217" customFormat="1" ht="25.5" customHeight="1" outlineLevel="1">
      <c r="A42" s="215" t="s">
        <v>125</v>
      </c>
      <c r="B42" s="191">
        <v>31</v>
      </c>
      <c r="C42" s="191" t="s">
        <v>196</v>
      </c>
      <c r="D42" s="246" t="s">
        <v>251</v>
      </c>
      <c r="E42" s="191" t="s">
        <v>169</v>
      </c>
      <c r="F42" s="191" t="s">
        <v>140</v>
      </c>
      <c r="G42" s="191" t="s">
        <v>33</v>
      </c>
      <c r="H42" s="191" t="s">
        <v>55</v>
      </c>
      <c r="I42" s="258">
        <v>17</v>
      </c>
      <c r="J42" s="191" t="s">
        <v>84</v>
      </c>
      <c r="K42" s="192" t="s">
        <v>132</v>
      </c>
      <c r="L42" s="246">
        <v>40019241</v>
      </c>
      <c r="M42" s="861" t="s">
        <v>1604</v>
      </c>
      <c r="N42" s="245"/>
      <c r="O42" s="245" t="s">
        <v>627</v>
      </c>
      <c r="P42" s="257"/>
      <c r="Q42" s="192" t="s">
        <v>1472</v>
      </c>
      <c r="R42" s="276"/>
      <c r="S42" s="274"/>
      <c r="T42" s="276"/>
      <c r="U42" s="276"/>
      <c r="V42" s="276"/>
      <c r="W42" s="276"/>
      <c r="X42" s="274"/>
      <c r="Y42" s="194">
        <v>196000000</v>
      </c>
      <c r="Z42" s="194">
        <v>0</v>
      </c>
      <c r="AA42" s="296"/>
      <c r="AB42" s="299">
        <v>196000000</v>
      </c>
      <c r="AC42" s="299">
        <f t="shared" ref="AC42" si="14">SUBTOTAL(9,AE42:AP42)</f>
        <v>0</v>
      </c>
      <c r="AD42" s="299">
        <f>+AB42-AC42</f>
        <v>196000000</v>
      </c>
      <c r="AE42" s="297">
        <v>0</v>
      </c>
      <c r="AF42" s="297">
        <v>0</v>
      </c>
      <c r="AG42" s="297">
        <v>0</v>
      </c>
      <c r="AH42" s="297">
        <v>0</v>
      </c>
      <c r="AI42" s="297">
        <v>0</v>
      </c>
      <c r="AJ42" s="297">
        <v>0</v>
      </c>
      <c r="AK42" s="297">
        <v>0</v>
      </c>
      <c r="AL42" s="297">
        <v>0</v>
      </c>
      <c r="AM42" s="297">
        <v>0</v>
      </c>
      <c r="AN42" s="297">
        <v>0</v>
      </c>
      <c r="AO42" s="297">
        <v>0</v>
      </c>
      <c r="AP42" s="297">
        <v>0</v>
      </c>
      <c r="AQ42" s="296"/>
      <c r="AR42" s="299">
        <f>+Y42-Z42-AC42-AD42</f>
        <v>0</v>
      </c>
      <c r="AS42" s="314" t="s">
        <v>1465</v>
      </c>
      <c r="AT42" s="313" t="s">
        <v>1464</v>
      </c>
      <c r="AU42" s="192" t="s">
        <v>1467</v>
      </c>
    </row>
    <row r="43" spans="1:47" s="219" customFormat="1" ht="24.75" customHeight="1" outlineLevel="1">
      <c r="A43" s="215" t="s">
        <v>125</v>
      </c>
      <c r="B43" s="251"/>
      <c r="C43" s="249"/>
      <c r="D43" s="250"/>
      <c r="E43" s="249"/>
      <c r="F43" s="249"/>
      <c r="G43" s="249"/>
      <c r="H43" s="249"/>
      <c r="I43" s="249"/>
      <c r="J43" s="251"/>
      <c r="K43" s="263"/>
      <c r="L43" s="252"/>
      <c r="M43" s="252"/>
      <c r="N43" s="252"/>
      <c r="O43" s="252"/>
      <c r="P43" s="252"/>
      <c r="Q43" s="117" t="s">
        <v>628</v>
      </c>
      <c r="R43" s="288"/>
      <c r="S43" s="289"/>
      <c r="T43" s="289"/>
      <c r="U43" s="289"/>
      <c r="V43" s="289"/>
      <c r="W43" s="289"/>
      <c r="X43" s="290"/>
      <c r="Y43" s="118">
        <f>+Y42</f>
        <v>196000000</v>
      </c>
      <c r="Z43" s="118">
        <f>+Z42</f>
        <v>0</v>
      </c>
      <c r="AA43" s="304"/>
      <c r="AB43" s="118">
        <f t="shared" ref="AB43:AD43" si="15">+AB42</f>
        <v>196000000</v>
      </c>
      <c r="AC43" s="118">
        <f t="shared" si="15"/>
        <v>0</v>
      </c>
      <c r="AD43" s="118">
        <f t="shared" si="15"/>
        <v>196000000</v>
      </c>
      <c r="AE43" s="118" t="e">
        <f>+#REF!+#REF!+#REF!</f>
        <v>#REF!</v>
      </c>
      <c r="AF43" s="118" t="e">
        <f>+#REF!+#REF!+#REF!</f>
        <v>#REF!</v>
      </c>
      <c r="AG43" s="118" t="e">
        <f>+#REF!+#REF!+#REF!</f>
        <v>#REF!</v>
      </c>
      <c r="AH43" s="118" t="e">
        <f>+#REF!+#REF!+#REF!</f>
        <v>#REF!</v>
      </c>
      <c r="AI43" s="118" t="e">
        <f>+#REF!+#REF!+#REF!</f>
        <v>#REF!</v>
      </c>
      <c r="AJ43" s="118" t="e">
        <f>+#REF!+#REF!+#REF!</f>
        <v>#REF!</v>
      </c>
      <c r="AK43" s="118" t="e">
        <f>+#REF!+#REF!+#REF!</f>
        <v>#REF!</v>
      </c>
      <c r="AL43" s="118">
        <v>220364125</v>
      </c>
      <c r="AM43" s="118">
        <v>225151386</v>
      </c>
      <c r="AN43" s="118">
        <v>515711998</v>
      </c>
      <c r="AO43" s="118" t="e">
        <f>+#REF!+#REF!+#REF!</f>
        <v>#REF!</v>
      </c>
      <c r="AP43" s="118" t="e">
        <f>+#REF!+#REF!+#REF!</f>
        <v>#REF!</v>
      </c>
      <c r="AQ43" s="318"/>
      <c r="AR43" s="118">
        <f>+Y43-Z43-AC43-AD43</f>
        <v>0</v>
      </c>
      <c r="AS43" s="333"/>
      <c r="AT43" s="333"/>
      <c r="AU43" s="320"/>
    </row>
    <row r="44" spans="1:47" ht="18.75" customHeight="1" outlineLevel="1">
      <c r="A44" s="215" t="s">
        <v>125</v>
      </c>
      <c r="B44" s="249"/>
      <c r="C44" s="249"/>
      <c r="D44" s="250"/>
      <c r="E44" s="249"/>
      <c r="F44" s="249"/>
      <c r="G44" s="249"/>
      <c r="H44" s="249"/>
      <c r="I44" s="249"/>
      <c r="J44" s="249"/>
      <c r="K44" s="261"/>
      <c r="L44" s="250"/>
      <c r="M44" s="250"/>
      <c r="N44" s="250"/>
      <c r="O44" s="250"/>
      <c r="P44" s="250"/>
      <c r="Q44" s="261"/>
      <c r="R44" s="283"/>
      <c r="S44" s="283"/>
      <c r="T44" s="283"/>
      <c r="U44" s="283"/>
      <c r="V44" s="283"/>
      <c r="W44" s="283"/>
      <c r="X44" s="283"/>
      <c r="Y44" s="284"/>
      <c r="Z44" s="284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16"/>
      <c r="AT44" s="316"/>
      <c r="AU44" s="317"/>
    </row>
    <row r="45" spans="1:47" ht="26.25" customHeight="1" outlineLevel="1">
      <c r="A45" s="215" t="s">
        <v>125</v>
      </c>
      <c r="B45" s="249"/>
      <c r="C45" s="249"/>
      <c r="D45" s="250"/>
      <c r="E45" s="249"/>
      <c r="F45" s="249"/>
      <c r="G45" s="249"/>
      <c r="H45" s="249"/>
      <c r="I45" s="249"/>
      <c r="J45" s="249"/>
      <c r="K45" s="261"/>
      <c r="L45" s="250"/>
      <c r="M45" s="250"/>
      <c r="N45" s="250"/>
      <c r="O45" s="250"/>
      <c r="P45" s="250"/>
      <c r="Q45" s="264" t="s">
        <v>828</v>
      </c>
      <c r="R45" s="283"/>
      <c r="S45" s="283"/>
      <c r="T45" s="283"/>
      <c r="U45" s="283"/>
      <c r="V45" s="283"/>
      <c r="W45" s="283"/>
      <c r="X45" s="283"/>
      <c r="Y45" s="284"/>
      <c r="Z45" s="284"/>
      <c r="AA45" s="301"/>
      <c r="AB45" s="301"/>
      <c r="AC45" s="301"/>
      <c r="AD45" s="301"/>
      <c r="AE45" s="301"/>
      <c r="AF45" s="301"/>
      <c r="AG45" s="301"/>
      <c r="AH45" s="301"/>
      <c r="AI45" s="301"/>
      <c r="AJ45" s="301"/>
      <c r="AK45" s="301"/>
      <c r="AL45" s="301"/>
      <c r="AM45" s="301"/>
      <c r="AN45" s="301"/>
      <c r="AO45" s="301"/>
      <c r="AP45" s="301"/>
      <c r="AQ45" s="301"/>
      <c r="AR45" s="301"/>
      <c r="AS45" s="316"/>
      <c r="AT45" s="316"/>
      <c r="AU45" s="317"/>
    </row>
    <row r="46" spans="1:47" s="217" customFormat="1" ht="25.5" customHeight="1" outlineLevel="1">
      <c r="A46" s="215" t="s">
        <v>125</v>
      </c>
      <c r="B46" s="191">
        <v>31</v>
      </c>
      <c r="C46" s="191" t="s">
        <v>196</v>
      </c>
      <c r="D46" s="246" t="s">
        <v>251</v>
      </c>
      <c r="E46" s="191" t="s">
        <v>169</v>
      </c>
      <c r="F46" s="191" t="s">
        <v>140</v>
      </c>
      <c r="G46" s="191" t="s">
        <v>34</v>
      </c>
      <c r="H46" s="191" t="s">
        <v>64</v>
      </c>
      <c r="I46" s="258">
        <v>26</v>
      </c>
      <c r="J46" s="191" t="s">
        <v>84</v>
      </c>
      <c r="K46" s="192" t="s">
        <v>132</v>
      </c>
      <c r="L46" s="246">
        <v>40019279</v>
      </c>
      <c r="M46" s="861" t="s">
        <v>1604</v>
      </c>
      <c r="N46" s="245"/>
      <c r="O46" s="245" t="s">
        <v>858</v>
      </c>
      <c r="P46" s="257"/>
      <c r="Q46" s="192" t="s">
        <v>859</v>
      </c>
      <c r="R46" s="276"/>
      <c r="S46" s="274"/>
      <c r="T46" s="276"/>
      <c r="U46" s="276"/>
      <c r="V46" s="276"/>
      <c r="W46" s="276"/>
      <c r="X46" s="274"/>
      <c r="Y46" s="194">
        <v>503121000</v>
      </c>
      <c r="Z46" s="194">
        <v>0</v>
      </c>
      <c r="AA46" s="296"/>
      <c r="AB46" s="299">
        <v>503121000</v>
      </c>
      <c r="AC46" s="299">
        <f t="shared" ref="AC46" si="16">SUBTOTAL(9,AE46:AP46)</f>
        <v>0</v>
      </c>
      <c r="AD46" s="299">
        <f>+AB46-AC46</f>
        <v>503121000</v>
      </c>
      <c r="AE46" s="297">
        <v>0</v>
      </c>
      <c r="AF46" s="297">
        <v>0</v>
      </c>
      <c r="AG46" s="297">
        <v>0</v>
      </c>
      <c r="AH46" s="297">
        <v>0</v>
      </c>
      <c r="AI46" s="297">
        <v>0</v>
      </c>
      <c r="AJ46" s="297">
        <v>0</v>
      </c>
      <c r="AK46" s="297">
        <v>0</v>
      </c>
      <c r="AL46" s="297">
        <v>0</v>
      </c>
      <c r="AM46" s="297">
        <v>0</v>
      </c>
      <c r="AN46" s="297">
        <v>0</v>
      </c>
      <c r="AO46" s="297">
        <v>0</v>
      </c>
      <c r="AP46" s="297">
        <v>0</v>
      </c>
      <c r="AQ46" s="296"/>
      <c r="AR46" s="299">
        <f>+Y46-Z46-AC46-AD46</f>
        <v>0</v>
      </c>
      <c r="AS46" s="314" t="s">
        <v>203</v>
      </c>
      <c r="AT46" s="313" t="s">
        <v>1481</v>
      </c>
      <c r="AU46" s="192" t="s">
        <v>1488</v>
      </c>
    </row>
    <row r="47" spans="1:47" s="219" customFormat="1" ht="24.75" customHeight="1" outlineLevel="1">
      <c r="A47" s="215" t="s">
        <v>125</v>
      </c>
      <c r="B47" s="251"/>
      <c r="C47" s="249"/>
      <c r="D47" s="250"/>
      <c r="E47" s="249"/>
      <c r="F47" s="249"/>
      <c r="G47" s="249"/>
      <c r="H47" s="249"/>
      <c r="I47" s="249"/>
      <c r="J47" s="251"/>
      <c r="K47" s="263"/>
      <c r="L47" s="252"/>
      <c r="M47" s="252"/>
      <c r="N47" s="252"/>
      <c r="O47" s="252"/>
      <c r="P47" s="252"/>
      <c r="Q47" s="117" t="s">
        <v>860</v>
      </c>
      <c r="R47" s="288"/>
      <c r="S47" s="289"/>
      <c r="T47" s="289"/>
      <c r="U47" s="289"/>
      <c r="V47" s="289"/>
      <c r="W47" s="289"/>
      <c r="X47" s="290"/>
      <c r="Y47" s="118">
        <f>+Y46</f>
        <v>503121000</v>
      </c>
      <c r="Z47" s="118">
        <f>+Z46</f>
        <v>0</v>
      </c>
      <c r="AA47" s="304"/>
      <c r="AB47" s="118">
        <f t="shared" ref="AB47:AD47" si="17">+AB46</f>
        <v>503121000</v>
      </c>
      <c r="AC47" s="118">
        <f t="shared" si="17"/>
        <v>0</v>
      </c>
      <c r="AD47" s="118">
        <f t="shared" si="17"/>
        <v>503121000</v>
      </c>
      <c r="AE47" s="118" t="e">
        <f>+#REF!+#REF!+#REF!</f>
        <v>#REF!</v>
      </c>
      <c r="AF47" s="118" t="e">
        <f>+#REF!+#REF!+#REF!</f>
        <v>#REF!</v>
      </c>
      <c r="AG47" s="118" t="e">
        <f>+#REF!+#REF!+#REF!</f>
        <v>#REF!</v>
      </c>
      <c r="AH47" s="118" t="e">
        <f>+#REF!+#REF!+#REF!</f>
        <v>#REF!</v>
      </c>
      <c r="AI47" s="118" t="e">
        <f>+#REF!+#REF!+#REF!</f>
        <v>#REF!</v>
      </c>
      <c r="AJ47" s="118" t="e">
        <f>+#REF!+#REF!+#REF!</f>
        <v>#REF!</v>
      </c>
      <c r="AK47" s="118" t="e">
        <f>+#REF!+#REF!+#REF!</f>
        <v>#REF!</v>
      </c>
      <c r="AL47" s="118">
        <v>56686371</v>
      </c>
      <c r="AM47" s="118">
        <v>232603680</v>
      </c>
      <c r="AN47" s="118">
        <v>514561129</v>
      </c>
      <c r="AO47" s="118" t="e">
        <f>+#REF!+#REF!+#REF!</f>
        <v>#REF!</v>
      </c>
      <c r="AP47" s="118" t="e">
        <f>+#REF!+#REF!+#REF!</f>
        <v>#REF!</v>
      </c>
      <c r="AQ47" s="318"/>
      <c r="AR47" s="118">
        <f>+Y47-Z47-AC47-AD47</f>
        <v>0</v>
      </c>
      <c r="AS47" s="333"/>
      <c r="AT47" s="333"/>
      <c r="AU47" s="320"/>
    </row>
    <row r="48" spans="1:47" ht="18.75" customHeight="1" outlineLevel="1">
      <c r="A48" s="215" t="s">
        <v>125</v>
      </c>
      <c r="B48" s="249"/>
      <c r="C48" s="249"/>
      <c r="D48" s="250"/>
      <c r="E48" s="249"/>
      <c r="F48" s="249"/>
      <c r="G48" s="249"/>
      <c r="H48" s="249"/>
      <c r="I48" s="249"/>
      <c r="J48" s="249"/>
      <c r="K48" s="261"/>
      <c r="L48" s="250"/>
      <c r="M48" s="250"/>
      <c r="N48" s="250"/>
      <c r="O48" s="250"/>
      <c r="P48" s="250"/>
      <c r="Q48" s="261"/>
      <c r="R48" s="283"/>
      <c r="S48" s="283"/>
      <c r="T48" s="283"/>
      <c r="U48" s="283"/>
      <c r="V48" s="283"/>
      <c r="W48" s="283"/>
      <c r="X48" s="283"/>
      <c r="Y48" s="284"/>
      <c r="Z48" s="284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16"/>
      <c r="AT48" s="316"/>
      <c r="AU48" s="317"/>
    </row>
    <row r="49" spans="1:48" ht="21" customHeight="1" outlineLevel="1">
      <c r="A49" s="215" t="s">
        <v>125</v>
      </c>
      <c r="B49" s="249"/>
      <c r="C49" s="249"/>
      <c r="D49" s="250"/>
      <c r="E49" s="249"/>
      <c r="F49" s="249"/>
      <c r="G49" s="249"/>
      <c r="H49" s="249"/>
      <c r="I49" s="249"/>
      <c r="J49" s="249"/>
      <c r="K49" s="261"/>
      <c r="L49" s="250"/>
      <c r="M49" s="250"/>
      <c r="N49" s="250"/>
      <c r="O49" s="250"/>
      <c r="P49" s="250"/>
      <c r="Q49" s="339" t="s">
        <v>37</v>
      </c>
      <c r="R49" s="283"/>
      <c r="S49" s="283"/>
      <c r="T49" s="283"/>
      <c r="U49" s="283"/>
      <c r="V49" s="283"/>
      <c r="W49" s="283"/>
      <c r="X49" s="283"/>
      <c r="Y49" s="284"/>
      <c r="Z49" s="284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16"/>
      <c r="AT49" s="316"/>
      <c r="AU49" s="317"/>
    </row>
    <row r="50" spans="1:48" s="217" customFormat="1" ht="25.5" customHeight="1" outlineLevel="1">
      <c r="A50" s="215" t="s">
        <v>125</v>
      </c>
      <c r="B50" s="191">
        <v>33</v>
      </c>
      <c r="C50" s="191" t="s">
        <v>196</v>
      </c>
      <c r="D50" s="246" t="s">
        <v>618</v>
      </c>
      <c r="E50" s="191" t="s">
        <v>130</v>
      </c>
      <c r="F50" s="191" t="s">
        <v>649</v>
      </c>
      <c r="G50" s="191" t="s">
        <v>37</v>
      </c>
      <c r="H50" s="191" t="s">
        <v>37</v>
      </c>
      <c r="I50" s="258">
        <v>36</v>
      </c>
      <c r="J50" s="191" t="s">
        <v>80</v>
      </c>
      <c r="K50" s="192" t="s">
        <v>1189</v>
      </c>
      <c r="L50" s="246">
        <v>40019398</v>
      </c>
      <c r="M50" s="861" t="s">
        <v>1604</v>
      </c>
      <c r="N50" s="245"/>
      <c r="O50" s="245" t="s">
        <v>1222</v>
      </c>
      <c r="P50" s="245"/>
      <c r="Q50" s="192" t="s">
        <v>1223</v>
      </c>
      <c r="R50" s="276"/>
      <c r="S50" s="274"/>
      <c r="T50" s="276"/>
      <c r="U50" s="276"/>
      <c r="V50" s="276"/>
      <c r="W50" s="276"/>
      <c r="X50" s="274"/>
      <c r="Y50" s="194">
        <v>220000000</v>
      </c>
      <c r="Z50" s="194">
        <v>0</v>
      </c>
      <c r="AA50" s="296"/>
      <c r="AB50" s="299">
        <v>220000000</v>
      </c>
      <c r="AC50" s="299">
        <f>SUBTOTAL(9,AE50:AP50)</f>
        <v>0</v>
      </c>
      <c r="AD50" s="299">
        <f>+AB50-AC50</f>
        <v>220000000</v>
      </c>
      <c r="AE50" s="297">
        <v>0</v>
      </c>
      <c r="AF50" s="297">
        <v>0</v>
      </c>
      <c r="AG50" s="297">
        <v>0</v>
      </c>
      <c r="AH50" s="297">
        <v>0</v>
      </c>
      <c r="AI50" s="297">
        <v>0</v>
      </c>
      <c r="AJ50" s="297">
        <v>0</v>
      </c>
      <c r="AK50" s="297">
        <v>0</v>
      </c>
      <c r="AL50" s="297">
        <v>0</v>
      </c>
      <c r="AM50" s="297">
        <v>0</v>
      </c>
      <c r="AN50" s="297">
        <v>0</v>
      </c>
      <c r="AO50" s="297">
        <v>0</v>
      </c>
      <c r="AP50" s="299">
        <v>0</v>
      </c>
      <c r="AQ50" s="296"/>
      <c r="AR50" s="299">
        <f>+Y50-Z50-AC50-AD50</f>
        <v>0</v>
      </c>
      <c r="AS50" s="314" t="s">
        <v>203</v>
      </c>
      <c r="AT50" s="313" t="s">
        <v>1481</v>
      </c>
      <c r="AU50" s="192" t="s">
        <v>1488</v>
      </c>
    </row>
    <row r="51" spans="1:48" s="219" customFormat="1" ht="24.75" customHeight="1" outlineLevel="1">
      <c r="A51" s="215" t="s">
        <v>125</v>
      </c>
      <c r="B51" s="251"/>
      <c r="C51" s="249"/>
      <c r="D51" s="250"/>
      <c r="E51" s="249"/>
      <c r="F51" s="249"/>
      <c r="G51" s="249"/>
      <c r="H51" s="249"/>
      <c r="I51" s="249"/>
      <c r="J51" s="251"/>
      <c r="K51" s="263"/>
      <c r="L51" s="252"/>
      <c r="M51" s="252"/>
      <c r="N51" s="252"/>
      <c r="O51" s="252"/>
      <c r="P51" s="252"/>
      <c r="Q51" s="448" t="s">
        <v>1230</v>
      </c>
      <c r="R51" s="289"/>
      <c r="S51" s="289"/>
      <c r="T51" s="289"/>
      <c r="U51" s="289"/>
      <c r="V51" s="289"/>
      <c r="W51" s="405"/>
      <c r="X51" s="290"/>
      <c r="Y51" s="467">
        <f>+Y50</f>
        <v>220000000</v>
      </c>
      <c r="Z51" s="467">
        <f>+Z50</f>
        <v>0</v>
      </c>
      <c r="AA51" s="470"/>
      <c r="AB51" s="467">
        <f t="shared" ref="AB51:AD51" si="18">+AB50</f>
        <v>220000000</v>
      </c>
      <c r="AC51" s="467">
        <f t="shared" si="18"/>
        <v>0</v>
      </c>
      <c r="AD51" s="467">
        <f t="shared" si="18"/>
        <v>220000000</v>
      </c>
      <c r="AE51" s="467" t="e">
        <f>+#REF!+#REF!+#REF!</f>
        <v>#REF!</v>
      </c>
      <c r="AF51" s="467" t="e">
        <f>+#REF!+#REF!+#REF!</f>
        <v>#REF!</v>
      </c>
      <c r="AG51" s="467" t="e">
        <f>+#REF!+#REF!+#REF!</f>
        <v>#REF!</v>
      </c>
      <c r="AH51" s="467" t="e">
        <f>+#REF!+#REF!+#REF!</f>
        <v>#REF!</v>
      </c>
      <c r="AI51" s="467" t="e">
        <f>+#REF!+#REF!+#REF!</f>
        <v>#REF!</v>
      </c>
      <c r="AJ51" s="467" t="e">
        <f>+#REF!+#REF!+#REF!</f>
        <v>#REF!</v>
      </c>
      <c r="AK51" s="467" t="e">
        <f>+#REF!+#REF!+#REF!</f>
        <v>#REF!</v>
      </c>
      <c r="AL51" s="467">
        <v>140167108</v>
      </c>
      <c r="AM51" s="467">
        <v>175426362</v>
      </c>
      <c r="AN51" s="467">
        <v>515059585</v>
      </c>
      <c r="AO51" s="467" t="e">
        <f>+#REF!+#REF!+#REF!</f>
        <v>#REF!</v>
      </c>
      <c r="AP51" s="467" t="e">
        <f>+#REF!+#REF!+#REF!</f>
        <v>#REF!</v>
      </c>
      <c r="AQ51" s="318"/>
      <c r="AR51" s="118">
        <f>+Y51-Z51-AC51-AD51</f>
        <v>0</v>
      </c>
      <c r="AS51" s="333"/>
      <c r="AT51" s="333"/>
      <c r="AU51" s="320"/>
    </row>
    <row r="52" spans="1:48" ht="18.75" customHeight="1" outlineLevel="1">
      <c r="A52" s="215" t="s">
        <v>125</v>
      </c>
      <c r="B52" s="249"/>
      <c r="C52" s="249"/>
      <c r="D52" s="250"/>
      <c r="E52" s="249"/>
      <c r="F52" s="249"/>
      <c r="G52" s="249"/>
      <c r="H52" s="249"/>
      <c r="I52" s="249"/>
      <c r="J52" s="249"/>
      <c r="K52" s="261"/>
      <c r="L52" s="250"/>
      <c r="M52" s="250"/>
      <c r="N52" s="250"/>
      <c r="O52" s="250"/>
      <c r="P52" s="250"/>
      <c r="Q52" s="115"/>
      <c r="R52" s="283"/>
      <c r="S52" s="283"/>
      <c r="T52" s="283"/>
      <c r="U52" s="283"/>
      <c r="V52" s="283"/>
      <c r="W52" s="283"/>
      <c r="X52" s="283"/>
      <c r="Y52" s="284"/>
      <c r="Z52" s="284"/>
      <c r="AA52" s="284"/>
      <c r="AB52" s="284"/>
      <c r="AC52" s="284"/>
      <c r="AD52" s="284"/>
      <c r="AE52" s="284"/>
      <c r="AF52" s="284"/>
      <c r="AG52" s="284"/>
      <c r="AH52" s="284"/>
      <c r="AI52" s="284"/>
      <c r="AJ52" s="284"/>
      <c r="AK52" s="284"/>
      <c r="AL52" s="284"/>
      <c r="AM52" s="284"/>
      <c r="AN52" s="284"/>
      <c r="AO52" s="284"/>
      <c r="AP52" s="284"/>
      <c r="AQ52" s="284"/>
      <c r="AR52" s="284"/>
      <c r="AS52" s="316"/>
      <c r="AT52" s="316"/>
      <c r="AU52" s="317"/>
    </row>
    <row r="53" spans="1:48" s="219" customFormat="1" ht="24.75" customHeight="1">
      <c r="A53" s="215" t="s">
        <v>125</v>
      </c>
      <c r="B53" s="445"/>
      <c r="C53" s="223"/>
      <c r="D53" s="30"/>
      <c r="E53" s="223"/>
      <c r="F53" s="223"/>
      <c r="G53" s="223"/>
      <c r="H53" s="224"/>
      <c r="I53" s="223"/>
      <c r="J53" s="445"/>
      <c r="L53" s="449"/>
      <c r="M53" s="449"/>
      <c r="N53" s="450"/>
      <c r="O53" s="450"/>
      <c r="P53" s="450"/>
      <c r="Q53" s="448" t="s">
        <v>1706</v>
      </c>
      <c r="R53" s="289"/>
      <c r="S53" s="289"/>
      <c r="T53" s="289"/>
      <c r="U53" s="289"/>
      <c r="V53" s="289"/>
      <c r="W53" s="289"/>
      <c r="X53" s="290"/>
      <c r="Y53" s="467">
        <f>+Y35+Y39+Y43+Y47+Y51</f>
        <v>1658000000</v>
      </c>
      <c r="Z53" s="467">
        <f>+Z35+Z39+Z43+Z47+Z51</f>
        <v>0</v>
      </c>
      <c r="AA53" s="470"/>
      <c r="AB53" s="467">
        <f>+AB35+AB39+AB43+AB47+AB51</f>
        <v>1658000000</v>
      </c>
      <c r="AC53" s="467">
        <f>+AC35+AC39+AC43+AC47+AC51</f>
        <v>0</v>
      </c>
      <c r="AD53" s="467">
        <f>+AD35+AD39+AD43+AD47+AD51</f>
        <v>1658000000</v>
      </c>
      <c r="AE53" s="467" t="e">
        <f>+#REF!+#REF!+#REF!+#REF!+#REF!+AE51</f>
        <v>#REF!</v>
      </c>
      <c r="AF53" s="467" t="e">
        <f>+#REF!+#REF!+#REF!+#REF!+#REF!+AF51</f>
        <v>#REF!</v>
      </c>
      <c r="AG53" s="467" t="e">
        <f>+#REF!+#REF!+#REF!+#REF!+#REF!+AG51</f>
        <v>#REF!</v>
      </c>
      <c r="AH53" s="467" t="e">
        <f>+#REF!+#REF!+#REF!+#REF!+#REF!+AH51</f>
        <v>#REF!</v>
      </c>
      <c r="AI53" s="467" t="e">
        <f>+#REF!+#REF!+#REF!+#REF!+#REF!+AI51</f>
        <v>#REF!</v>
      </c>
      <c r="AJ53" s="467" t="e">
        <f>+#REF!+#REF!+#REF!+#REF!+#REF!+AJ51</f>
        <v>#REF!</v>
      </c>
      <c r="AK53" s="467" t="e">
        <f>+#REF!+#REF!+#REF!+#REF!+#REF!+AK51</f>
        <v>#REF!</v>
      </c>
      <c r="AL53" s="467">
        <v>5022881123</v>
      </c>
      <c r="AM53" s="467">
        <v>6520346324</v>
      </c>
      <c r="AN53" s="467">
        <v>6589090637</v>
      </c>
      <c r="AO53" s="467" t="e">
        <f>+#REF!+#REF!+#REF!+#REF!+#REF!+AO51</f>
        <v>#REF!</v>
      </c>
      <c r="AP53" s="467" t="e">
        <f>+#REF!+#REF!+#REF!+#REF!+#REF!+AP51</f>
        <v>#REF!</v>
      </c>
      <c r="AQ53" s="318"/>
      <c r="AR53" s="118">
        <f>+Y53-Z53-AC53-AD53</f>
        <v>0</v>
      </c>
      <c r="AS53" s="477"/>
      <c r="AT53" s="477"/>
    </row>
    <row r="54" spans="1:48" s="232" customFormat="1" ht="21">
      <c r="A54"/>
      <c r="B54" s="223"/>
      <c r="C54" s="223"/>
      <c r="D54" s="30"/>
      <c r="E54" s="223"/>
      <c r="F54" s="223"/>
      <c r="G54" s="223"/>
      <c r="H54" s="224"/>
      <c r="I54" s="223"/>
      <c r="J54" s="223"/>
      <c r="K54"/>
      <c r="L54" s="225"/>
      <c r="M54" s="225"/>
      <c r="N54" s="30"/>
      <c r="O54" s="30"/>
      <c r="P54" s="30"/>
      <c r="Q54"/>
      <c r="R54" s="226"/>
      <c r="S54" s="227"/>
      <c r="T54" s="226"/>
      <c r="U54" s="226"/>
      <c r="V54" s="226"/>
      <c r="W54" s="226"/>
      <c r="X54" s="227"/>
      <c r="Y54" s="228"/>
      <c r="Z54" s="228"/>
      <c r="AA54" s="229"/>
      <c r="AB54" s="475"/>
      <c r="AC54" s="230"/>
      <c r="AD54" s="230"/>
      <c r="AE54" s="230"/>
      <c r="AF54" s="230"/>
      <c r="AG54" s="230"/>
      <c r="AH54" s="230"/>
      <c r="AI54" s="230"/>
      <c r="AJ54" s="230"/>
      <c r="AK54" s="230"/>
      <c r="AL54" s="231"/>
      <c r="AM54" s="231"/>
      <c r="AN54" s="230"/>
      <c r="AO54" s="230"/>
      <c r="AP54" s="230"/>
      <c r="AQ54" s="229"/>
      <c r="AR54" s="230"/>
      <c r="AU54"/>
      <c r="AV54"/>
    </row>
    <row r="55" spans="1:48" s="230" customFormat="1" ht="34.5" customHeight="1">
      <c r="A55"/>
      <c r="B55" s="223"/>
      <c r="C55" s="223"/>
      <c r="D55" s="30"/>
      <c r="E55" s="223"/>
      <c r="F55" s="223"/>
      <c r="G55" s="223"/>
      <c r="H55" s="224"/>
      <c r="I55" s="223"/>
      <c r="J55" s="223"/>
      <c r="K55"/>
      <c r="L55" s="225"/>
      <c r="M55" s="225"/>
      <c r="N55" s="30"/>
      <c r="O55" s="30"/>
      <c r="P55" s="30"/>
      <c r="Q55" s="448" t="s">
        <v>1710</v>
      </c>
      <c r="R55" s="289"/>
      <c r="S55" s="289"/>
      <c r="T55" s="289"/>
      <c r="U55" s="289"/>
      <c r="V55" s="289"/>
      <c r="W55" s="289"/>
      <c r="X55" s="290"/>
      <c r="Y55" s="467">
        <f>+Y29+Y53</f>
        <v>9979979191</v>
      </c>
      <c r="Z55" s="467">
        <f>+Z29+Z53</f>
        <v>0</v>
      </c>
      <c r="AA55" s="470"/>
      <c r="AB55" s="467">
        <f>+AB29+AB53</f>
        <v>9979979191</v>
      </c>
      <c r="AC55" s="467">
        <f t="shared" ref="AC55:AD55" si="19">+AC29+AC53</f>
        <v>0</v>
      </c>
      <c r="AD55" s="467">
        <f t="shared" si="19"/>
        <v>9979979191</v>
      </c>
      <c r="AE55" s="467" t="e">
        <f>+#REF!+#REF!+#REF!+#REF!+#REF!+AE53</f>
        <v>#REF!</v>
      </c>
      <c r="AF55" s="467" t="e">
        <f>+#REF!+#REF!+#REF!+#REF!+#REF!+AF53</f>
        <v>#REF!</v>
      </c>
      <c r="AG55" s="467" t="e">
        <f>+#REF!+#REF!+#REF!+#REF!+#REF!+AG53</f>
        <v>#REF!</v>
      </c>
      <c r="AH55" s="467" t="e">
        <f>+#REF!+#REF!+#REF!+#REF!+#REF!+AH53</f>
        <v>#REF!</v>
      </c>
      <c r="AI55" s="467" t="e">
        <f>+#REF!+#REF!+#REF!+#REF!+#REF!+AI53</f>
        <v>#REF!</v>
      </c>
      <c r="AJ55" s="467" t="e">
        <f>+#REF!+#REF!+#REF!+#REF!+#REF!+AJ53</f>
        <v>#REF!</v>
      </c>
      <c r="AK55" s="467" t="e">
        <f>+#REF!+#REF!+#REF!+#REF!+#REF!+AK53</f>
        <v>#REF!</v>
      </c>
      <c r="AL55" s="467">
        <v>5022881123</v>
      </c>
      <c r="AM55" s="467">
        <v>6520346324</v>
      </c>
      <c r="AN55" s="467">
        <v>6589090637</v>
      </c>
      <c r="AO55" s="467" t="e">
        <f>+#REF!+#REF!+#REF!+#REF!+#REF!+AO53</f>
        <v>#REF!</v>
      </c>
      <c r="AP55" s="467" t="e">
        <f>+#REF!+#REF!+#REF!+#REF!+#REF!+AP53</f>
        <v>#REF!</v>
      </c>
      <c r="AQ55" s="318"/>
      <c r="AR55" s="118">
        <f>+Y55-Z55-AC55-AD55</f>
        <v>0</v>
      </c>
      <c r="AS55" s="232"/>
      <c r="AT55" s="232"/>
      <c r="AU55"/>
      <c r="AV55"/>
    </row>
  </sheetData>
  <autoFilter ref="A2:AU29"/>
  <mergeCells count="2">
    <mergeCell ref="T1:W1"/>
    <mergeCell ref="AB1:AD1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5" orientation="landscape" r:id="rId1"/>
  <headerFooter>
    <oddHeader>&amp;L&amp;14              GOBIERNO REGIONAL DE LOS LAGOS
DIVISIÓN DE PRESUPUESTO E INVERSIÓN REGIONAL&amp;C&amp;36ANEXO
&amp;"-,Negrita"ACUERDO SOCIAL</oddHeader>
    <oddFooter>&amp;C&amp;14&amp;P de &amp;N</oddFooter>
  </headerFooter>
  <rowBreaks count="1" manualBreakCount="1">
    <brk id="29" min="1" max="4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8"/>
  <sheetViews>
    <sheetView view="pageBreakPreview" zoomScale="60" zoomScaleNormal="7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1.25" outlineLevelRow="2"/>
  <cols>
    <col min="1" max="1" width="12.5703125" style="75" customWidth="1"/>
    <col min="2" max="2" width="8.42578125" style="76" customWidth="1"/>
    <col min="3" max="3" width="16.42578125" style="77" customWidth="1"/>
    <col min="4" max="4" width="15.7109375" style="78" hidden="1" customWidth="1"/>
    <col min="5" max="5" width="21.7109375" style="78" hidden="1" customWidth="1"/>
    <col min="6" max="7" width="33.85546875" style="77" hidden="1" customWidth="1"/>
    <col min="8" max="8" width="25.28515625" style="78" hidden="1" customWidth="1"/>
    <col min="9" max="9" width="97.7109375" style="75" customWidth="1"/>
    <col min="10" max="11" width="24.7109375" style="79" customWidth="1"/>
    <col min="12" max="16" width="24.7109375" style="846" hidden="1" customWidth="1"/>
    <col min="17" max="23" width="24.7109375" style="80" hidden="1" customWidth="1"/>
    <col min="24" max="24" width="24.7109375" style="80" customWidth="1"/>
    <col min="25" max="25" width="27" style="80" customWidth="1"/>
    <col min="26" max="26" width="24.7109375" style="81" customWidth="1"/>
    <col min="27" max="27" width="38.7109375" style="77" customWidth="1"/>
    <col min="28" max="16384" width="11.42578125" style="75"/>
  </cols>
  <sheetData>
    <row r="1" spans="1:27" s="57" customFormat="1" ht="66" customHeight="1">
      <c r="A1" s="82" t="s">
        <v>101</v>
      </c>
      <c r="B1" s="83" t="s">
        <v>102</v>
      </c>
      <c r="C1" s="82" t="s">
        <v>109</v>
      </c>
      <c r="D1" s="814" t="s">
        <v>21</v>
      </c>
      <c r="E1" s="812" t="s">
        <v>105</v>
      </c>
      <c r="F1" s="815" t="s">
        <v>1241</v>
      </c>
      <c r="G1" s="816" t="s">
        <v>1485</v>
      </c>
      <c r="H1" s="816" t="s">
        <v>1483</v>
      </c>
      <c r="I1" s="82" t="s">
        <v>113</v>
      </c>
      <c r="J1" s="84" t="s">
        <v>22</v>
      </c>
      <c r="K1" s="84" t="s">
        <v>1242</v>
      </c>
      <c r="L1" s="847" t="s">
        <v>3</v>
      </c>
      <c r="M1" s="847" t="s">
        <v>4</v>
      </c>
      <c r="N1" s="848" t="s">
        <v>5</v>
      </c>
      <c r="O1" s="848" t="s">
        <v>6</v>
      </c>
      <c r="P1" s="848" t="s">
        <v>7</v>
      </c>
      <c r="Q1" s="84" t="s">
        <v>8</v>
      </c>
      <c r="R1" s="84" t="s">
        <v>9</v>
      </c>
      <c r="S1" s="84" t="s">
        <v>10</v>
      </c>
      <c r="T1" s="84" t="s">
        <v>11</v>
      </c>
      <c r="U1" s="84" t="s">
        <v>12</v>
      </c>
      <c r="V1" s="84" t="s">
        <v>13</v>
      </c>
      <c r="W1" s="84" t="s">
        <v>14</v>
      </c>
      <c r="X1" s="84" t="s">
        <v>1243</v>
      </c>
      <c r="Y1" s="84" t="s">
        <v>1244</v>
      </c>
      <c r="Z1" s="84" t="s">
        <v>79</v>
      </c>
      <c r="AA1" s="84" t="s">
        <v>124</v>
      </c>
    </row>
    <row r="2" spans="1:27" s="58" customFormat="1" ht="15" customHeight="1">
      <c r="A2" s="85"/>
      <c r="C2" s="85"/>
      <c r="D2" s="85"/>
      <c r="E2" s="85"/>
      <c r="F2" s="85"/>
      <c r="G2" s="85"/>
      <c r="H2" s="85"/>
      <c r="I2" s="86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</row>
    <row r="3" spans="1:27" s="59" customFormat="1" ht="23.25" outlineLevel="1">
      <c r="A3" s="88"/>
      <c r="B3" s="89"/>
      <c r="C3" s="818"/>
      <c r="D3" s="91"/>
      <c r="E3" s="92"/>
      <c r="F3" s="818"/>
      <c r="G3" s="818"/>
      <c r="H3" s="92"/>
      <c r="I3" s="93" t="s">
        <v>126</v>
      </c>
      <c r="J3" s="94"/>
      <c r="K3" s="94"/>
      <c r="L3" s="828"/>
      <c r="M3" s="828"/>
      <c r="N3" s="828"/>
      <c r="O3" s="828"/>
      <c r="P3" s="828"/>
      <c r="Q3" s="828"/>
      <c r="R3" s="828"/>
      <c r="S3" s="828"/>
      <c r="T3" s="828"/>
      <c r="U3" s="828"/>
      <c r="V3" s="828"/>
      <c r="W3" s="828"/>
      <c r="X3" s="828"/>
      <c r="Y3" s="828"/>
      <c r="Z3" s="94"/>
      <c r="AA3" s="133"/>
    </row>
    <row r="4" spans="1:27" s="61" customFormat="1" ht="23.25" customHeight="1" outlineLevel="2">
      <c r="A4" s="185">
        <v>33125</v>
      </c>
      <c r="B4" s="186" t="s">
        <v>196</v>
      </c>
      <c r="C4" s="187">
        <v>40007275</v>
      </c>
      <c r="D4" s="188" t="s">
        <v>32</v>
      </c>
      <c r="E4" s="188" t="s">
        <v>32</v>
      </c>
      <c r="F4" s="187" t="s">
        <v>1253</v>
      </c>
      <c r="G4" s="187" t="s">
        <v>1484</v>
      </c>
      <c r="H4" s="188">
        <v>2020</v>
      </c>
      <c r="I4" s="831" t="s">
        <v>1254</v>
      </c>
      <c r="J4" s="190">
        <v>95991317</v>
      </c>
      <c r="K4" s="190">
        <v>0</v>
      </c>
      <c r="L4" s="190">
        <v>0</v>
      </c>
      <c r="M4" s="190">
        <v>0</v>
      </c>
      <c r="N4" s="190">
        <v>0</v>
      </c>
      <c r="O4" s="190">
        <v>0</v>
      </c>
      <c r="P4" s="190">
        <v>0</v>
      </c>
      <c r="Q4" s="190">
        <v>0</v>
      </c>
      <c r="R4" s="190">
        <v>0</v>
      </c>
      <c r="S4" s="190">
        <v>0</v>
      </c>
      <c r="T4" s="190">
        <v>0</v>
      </c>
      <c r="U4" s="190">
        <v>0</v>
      </c>
      <c r="V4" s="190">
        <v>0</v>
      </c>
      <c r="W4" s="190">
        <v>0</v>
      </c>
      <c r="X4" s="197">
        <f>SUBTOTAL(9,L4:W4)</f>
        <v>0</v>
      </c>
      <c r="Y4" s="197">
        <f>+L4+M4+N4+O4+P4+Q4+R4+S4+T4+U4+V4+W4</f>
        <v>0</v>
      </c>
      <c r="Z4" s="197">
        <f>+J4-K4-Y4</f>
        <v>95991317</v>
      </c>
      <c r="AA4" s="186" t="s">
        <v>1255</v>
      </c>
    </row>
    <row r="5" spans="1:27" s="59" customFormat="1" ht="23.25" outlineLevel="1">
      <c r="A5" s="88"/>
      <c r="B5" s="89"/>
      <c r="C5" s="818"/>
      <c r="D5" s="91"/>
      <c r="E5" s="92"/>
      <c r="F5" s="818"/>
      <c r="G5" s="818"/>
      <c r="H5" s="92"/>
      <c r="I5" s="117" t="s">
        <v>210</v>
      </c>
      <c r="J5" s="118">
        <f>+J4</f>
        <v>95991317</v>
      </c>
      <c r="K5" s="118">
        <f t="shared" ref="K5:Y5" si="0">+K4</f>
        <v>0</v>
      </c>
      <c r="L5" s="118">
        <f t="shared" si="0"/>
        <v>0</v>
      </c>
      <c r="M5" s="118">
        <f t="shared" si="0"/>
        <v>0</v>
      </c>
      <c r="N5" s="118">
        <f t="shared" si="0"/>
        <v>0</v>
      </c>
      <c r="O5" s="118">
        <f t="shared" si="0"/>
        <v>0</v>
      </c>
      <c r="P5" s="118">
        <f t="shared" si="0"/>
        <v>0</v>
      </c>
      <c r="Q5" s="118">
        <f t="shared" si="0"/>
        <v>0</v>
      </c>
      <c r="R5" s="118">
        <f t="shared" si="0"/>
        <v>0</v>
      </c>
      <c r="S5" s="118">
        <f t="shared" si="0"/>
        <v>0</v>
      </c>
      <c r="T5" s="118">
        <f t="shared" si="0"/>
        <v>0</v>
      </c>
      <c r="U5" s="118">
        <f t="shared" si="0"/>
        <v>0</v>
      </c>
      <c r="V5" s="118">
        <f t="shared" si="0"/>
        <v>0</v>
      </c>
      <c r="W5" s="118">
        <f t="shared" si="0"/>
        <v>0</v>
      </c>
      <c r="X5" s="118">
        <f t="shared" si="0"/>
        <v>0</v>
      </c>
      <c r="Y5" s="118">
        <f t="shared" si="0"/>
        <v>0</v>
      </c>
      <c r="Z5" s="118">
        <f>+J5-Y5</f>
        <v>95991317</v>
      </c>
      <c r="AA5" s="135"/>
    </row>
    <row r="6" spans="1:27" s="63" customFormat="1" ht="15" customHeight="1" outlineLevel="1">
      <c r="A6" s="88"/>
      <c r="B6" s="89"/>
      <c r="C6" s="818"/>
      <c r="D6" s="91"/>
      <c r="E6" s="92"/>
      <c r="F6" s="818"/>
      <c r="G6" s="818"/>
      <c r="H6" s="92"/>
      <c r="I6" s="119"/>
      <c r="J6" s="94"/>
      <c r="K6" s="94"/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94"/>
      <c r="AA6" s="133"/>
    </row>
    <row r="7" spans="1:27" s="64" customFormat="1" ht="23.25" outlineLevel="1">
      <c r="A7" s="88"/>
      <c r="B7" s="89"/>
      <c r="C7" s="818"/>
      <c r="D7" s="91"/>
      <c r="E7" s="92"/>
      <c r="F7" s="818"/>
      <c r="G7" s="818"/>
      <c r="H7" s="92"/>
      <c r="I7" s="93" t="s">
        <v>211</v>
      </c>
      <c r="J7" s="94"/>
      <c r="K7" s="94"/>
      <c r="L7" s="828"/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94"/>
      <c r="AA7" s="133"/>
    </row>
    <row r="8" spans="1:27" s="65" customFormat="1" ht="23.25" customHeight="1" outlineLevel="1">
      <c r="A8" s="185">
        <v>33125</v>
      </c>
      <c r="B8" s="186" t="s">
        <v>196</v>
      </c>
      <c r="C8" s="196">
        <v>40021681</v>
      </c>
      <c r="D8" s="188" t="s">
        <v>32</v>
      </c>
      <c r="E8" s="188" t="s">
        <v>41</v>
      </c>
      <c r="F8" s="811" t="s">
        <v>1253</v>
      </c>
      <c r="G8" s="187" t="s">
        <v>1484</v>
      </c>
      <c r="H8" s="188">
        <v>2020</v>
      </c>
      <c r="I8" s="832" t="s">
        <v>1259</v>
      </c>
      <c r="J8" s="833">
        <v>99346000</v>
      </c>
      <c r="K8" s="190">
        <v>0</v>
      </c>
      <c r="L8" s="190">
        <v>0</v>
      </c>
      <c r="M8" s="190">
        <v>0</v>
      </c>
      <c r="N8" s="190">
        <v>0</v>
      </c>
      <c r="O8" s="190">
        <v>0</v>
      </c>
      <c r="P8" s="190">
        <v>0</v>
      </c>
      <c r="Q8" s="190">
        <v>0</v>
      </c>
      <c r="R8" s="190">
        <v>0</v>
      </c>
      <c r="S8" s="190">
        <v>0</v>
      </c>
      <c r="T8" s="190">
        <v>0</v>
      </c>
      <c r="U8" s="190">
        <v>0</v>
      </c>
      <c r="V8" s="190">
        <v>0</v>
      </c>
      <c r="W8" s="190">
        <v>0</v>
      </c>
      <c r="X8" s="197">
        <f>SUBTOTAL(9,L8:W8)</f>
        <v>0</v>
      </c>
      <c r="Y8" s="197">
        <f>+L8+M8+N8+O8+P8+Q8+R8+S8+T8+U8+V8+W8</f>
        <v>0</v>
      </c>
      <c r="Z8" s="197">
        <f>+J8-K8-Y8</f>
        <v>99346000</v>
      </c>
      <c r="AA8" s="186" t="s">
        <v>1255</v>
      </c>
    </row>
    <row r="9" spans="1:27" s="59" customFormat="1" ht="23.25" outlineLevel="1">
      <c r="A9" s="88"/>
      <c r="B9" s="89"/>
      <c r="C9" s="818"/>
      <c r="D9" s="91"/>
      <c r="E9" s="92"/>
      <c r="F9" s="818"/>
      <c r="G9" s="818"/>
      <c r="H9" s="92"/>
      <c r="I9" s="117" t="s">
        <v>229</v>
      </c>
      <c r="J9" s="118">
        <f>+J8</f>
        <v>99346000</v>
      </c>
      <c r="K9" s="118">
        <f t="shared" ref="K9" si="1">+K8</f>
        <v>0</v>
      </c>
      <c r="L9" s="118">
        <f t="shared" ref="L9" si="2">+L8</f>
        <v>0</v>
      </c>
      <c r="M9" s="118">
        <f t="shared" ref="M9" si="3">+M8</f>
        <v>0</v>
      </c>
      <c r="N9" s="118">
        <f t="shared" ref="N9" si="4">+N8</f>
        <v>0</v>
      </c>
      <c r="O9" s="118">
        <f t="shared" ref="O9" si="5">+O8</f>
        <v>0</v>
      </c>
      <c r="P9" s="118">
        <f t="shared" ref="P9" si="6">+P8</f>
        <v>0</v>
      </c>
      <c r="Q9" s="118">
        <f t="shared" ref="Q9" si="7">+Q8</f>
        <v>0</v>
      </c>
      <c r="R9" s="118">
        <f t="shared" ref="R9" si="8">+R8</f>
        <v>0</v>
      </c>
      <c r="S9" s="118">
        <f t="shared" ref="S9" si="9">+S8</f>
        <v>0</v>
      </c>
      <c r="T9" s="118">
        <f t="shared" ref="T9" si="10">+T8</f>
        <v>0</v>
      </c>
      <c r="U9" s="118">
        <f t="shared" ref="U9" si="11">+U8</f>
        <v>0</v>
      </c>
      <c r="V9" s="118">
        <f t="shared" ref="V9" si="12">+V8</f>
        <v>0</v>
      </c>
      <c r="W9" s="118">
        <f t="shared" ref="W9" si="13">+W8</f>
        <v>0</v>
      </c>
      <c r="X9" s="118">
        <f t="shared" ref="X9" si="14">+X8</f>
        <v>0</v>
      </c>
      <c r="Y9" s="118">
        <f t="shared" ref="Y9" si="15">+Y8</f>
        <v>0</v>
      </c>
      <c r="Z9" s="118">
        <f>+J9-Y9</f>
        <v>99346000</v>
      </c>
      <c r="AA9" s="135"/>
    </row>
    <row r="10" spans="1:27" s="64" customFormat="1" ht="15" customHeight="1" outlineLevel="1">
      <c r="A10" s="88"/>
      <c r="B10" s="89"/>
      <c r="C10" s="818"/>
      <c r="D10" s="91"/>
      <c r="E10" s="92"/>
      <c r="F10" s="818"/>
      <c r="G10" s="818"/>
      <c r="H10" s="92"/>
      <c r="I10" s="130"/>
      <c r="J10" s="94"/>
      <c r="K10" s="94"/>
      <c r="L10" s="828"/>
      <c r="M10" s="828"/>
      <c r="N10" s="828"/>
      <c r="O10" s="828"/>
      <c r="P10" s="828"/>
      <c r="Q10" s="828"/>
      <c r="R10" s="828"/>
      <c r="S10" s="828"/>
      <c r="T10" s="828"/>
      <c r="U10" s="828"/>
      <c r="V10" s="828"/>
      <c r="W10" s="828"/>
      <c r="X10" s="828"/>
      <c r="Y10" s="828"/>
      <c r="Z10" s="94"/>
      <c r="AA10" s="133"/>
    </row>
    <row r="11" spans="1:27" s="59" customFormat="1" ht="23.25" outlineLevel="1">
      <c r="A11" s="88"/>
      <c r="B11" s="89"/>
      <c r="C11" s="818"/>
      <c r="D11" s="91"/>
      <c r="E11" s="92"/>
      <c r="F11" s="818"/>
      <c r="G11" s="818"/>
      <c r="H11" s="92"/>
      <c r="I11" s="93" t="s">
        <v>230</v>
      </c>
      <c r="J11" s="94"/>
      <c r="K11" s="94"/>
      <c r="L11" s="828"/>
      <c r="M11" s="828"/>
      <c r="N11" s="828"/>
      <c r="O11" s="828"/>
      <c r="P11" s="828"/>
      <c r="Q11" s="828"/>
      <c r="R11" s="828"/>
      <c r="S11" s="828"/>
      <c r="T11" s="828"/>
      <c r="U11" s="828"/>
      <c r="V11" s="828"/>
      <c r="W11" s="828"/>
      <c r="X11" s="828"/>
      <c r="Y11" s="828"/>
      <c r="Z11" s="94"/>
      <c r="AA11" s="133"/>
    </row>
    <row r="12" spans="1:27" s="60" customFormat="1" ht="23.25" customHeight="1" outlineLevel="2">
      <c r="A12" s="185">
        <v>33125</v>
      </c>
      <c r="B12" s="186" t="s">
        <v>196</v>
      </c>
      <c r="C12" s="187">
        <v>40019206</v>
      </c>
      <c r="D12" s="188" t="s">
        <v>32</v>
      </c>
      <c r="E12" s="188" t="s">
        <v>42</v>
      </c>
      <c r="F12" s="811" t="s">
        <v>1269</v>
      </c>
      <c r="G12" s="187" t="s">
        <v>1484</v>
      </c>
      <c r="H12" s="188">
        <v>2020</v>
      </c>
      <c r="I12" s="834" t="s">
        <v>1270</v>
      </c>
      <c r="J12" s="190">
        <v>99000000</v>
      </c>
      <c r="K12" s="190">
        <v>0</v>
      </c>
      <c r="L12" s="197"/>
      <c r="M12" s="197"/>
      <c r="N12" s="197"/>
      <c r="O12" s="197">
        <v>0</v>
      </c>
      <c r="P12" s="197">
        <v>0</v>
      </c>
      <c r="Q12" s="197"/>
      <c r="R12" s="197"/>
      <c r="S12" s="197"/>
      <c r="T12" s="197"/>
      <c r="U12" s="197"/>
      <c r="V12" s="197"/>
      <c r="W12" s="197"/>
      <c r="X12" s="197">
        <f>SUBTOTAL(9,L12:W12)</f>
        <v>0</v>
      </c>
      <c r="Y12" s="197">
        <f>+L12+M12+N12+O12+P12+Q12+R12+S12+T12+U12+V12+W12</f>
        <v>0</v>
      </c>
      <c r="Z12" s="197">
        <f t="shared" ref="Z12" si="16">+J12-K12-Y12</f>
        <v>99000000</v>
      </c>
      <c r="AA12" s="835" t="s">
        <v>1255</v>
      </c>
    </row>
    <row r="13" spans="1:27" s="59" customFormat="1" ht="23.25" outlineLevel="1">
      <c r="A13" s="88"/>
      <c r="B13" s="89"/>
      <c r="C13" s="818"/>
      <c r="D13" s="91"/>
      <c r="E13" s="92"/>
      <c r="F13" s="818"/>
      <c r="G13" s="818"/>
      <c r="H13" s="92"/>
      <c r="I13" s="117" t="s">
        <v>267</v>
      </c>
      <c r="J13" s="118">
        <f>+J12</f>
        <v>99000000</v>
      </c>
      <c r="K13" s="118">
        <f t="shared" ref="K13" si="17">+K12</f>
        <v>0</v>
      </c>
      <c r="L13" s="118">
        <f t="shared" ref="L13" si="18">+L12</f>
        <v>0</v>
      </c>
      <c r="M13" s="118">
        <f t="shared" ref="M13" si="19">+M12</f>
        <v>0</v>
      </c>
      <c r="N13" s="118">
        <f t="shared" ref="N13" si="20">+N12</f>
        <v>0</v>
      </c>
      <c r="O13" s="118">
        <f t="shared" ref="O13" si="21">+O12</f>
        <v>0</v>
      </c>
      <c r="P13" s="118">
        <f t="shared" ref="P13" si="22">+P12</f>
        <v>0</v>
      </c>
      <c r="Q13" s="118">
        <f t="shared" ref="Q13" si="23">+Q12</f>
        <v>0</v>
      </c>
      <c r="R13" s="118">
        <f t="shared" ref="R13" si="24">+R12</f>
        <v>0</v>
      </c>
      <c r="S13" s="118">
        <f t="shared" ref="S13" si="25">+S12</f>
        <v>0</v>
      </c>
      <c r="T13" s="118">
        <f t="shared" ref="T13" si="26">+T12</f>
        <v>0</v>
      </c>
      <c r="U13" s="118">
        <f t="shared" ref="U13" si="27">+U12</f>
        <v>0</v>
      </c>
      <c r="V13" s="118">
        <f t="shared" ref="V13" si="28">+V12</f>
        <v>0</v>
      </c>
      <c r="W13" s="118">
        <f t="shared" ref="W13" si="29">+W12</f>
        <v>0</v>
      </c>
      <c r="X13" s="118">
        <f t="shared" ref="X13" si="30">+X12</f>
        <v>0</v>
      </c>
      <c r="Y13" s="118">
        <f t="shared" ref="Y13" si="31">+Y12</f>
        <v>0</v>
      </c>
      <c r="Z13" s="118">
        <f>+J13-Y13</f>
        <v>99000000</v>
      </c>
      <c r="AA13" s="135"/>
    </row>
    <row r="14" spans="1:27" s="63" customFormat="1" ht="15" customHeight="1" outlineLevel="1">
      <c r="A14" s="88"/>
      <c r="B14" s="89"/>
      <c r="C14" s="818"/>
      <c r="D14" s="91"/>
      <c r="E14" s="92"/>
      <c r="F14" s="818"/>
      <c r="G14" s="818"/>
      <c r="H14" s="92"/>
      <c r="I14" s="119"/>
      <c r="J14" s="116"/>
      <c r="K14" s="116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16"/>
      <c r="AA14" s="135"/>
    </row>
    <row r="15" spans="1:27" s="59" customFormat="1" ht="23.25" outlineLevel="1">
      <c r="A15" s="88"/>
      <c r="B15" s="89"/>
      <c r="C15" s="818"/>
      <c r="D15" s="91"/>
      <c r="E15" s="92"/>
      <c r="F15" s="818"/>
      <c r="G15" s="818"/>
      <c r="H15" s="92"/>
      <c r="I15" s="93" t="s">
        <v>268</v>
      </c>
      <c r="J15" s="94"/>
      <c r="K15" s="94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16"/>
      <c r="AA15" s="135"/>
    </row>
    <row r="16" spans="1:27" s="61" customFormat="1" ht="23.25" customHeight="1" outlineLevel="2">
      <c r="A16" s="185">
        <v>33125</v>
      </c>
      <c r="B16" s="186" t="s">
        <v>196</v>
      </c>
      <c r="C16" s="187">
        <v>40020449</v>
      </c>
      <c r="D16" s="188" t="s">
        <v>32</v>
      </c>
      <c r="E16" s="188" t="s">
        <v>43</v>
      </c>
      <c r="F16" s="187" t="s">
        <v>1253</v>
      </c>
      <c r="G16" s="187" t="s">
        <v>1484</v>
      </c>
      <c r="H16" s="188">
        <v>2020</v>
      </c>
      <c r="I16" s="831" t="s">
        <v>1274</v>
      </c>
      <c r="J16" s="190">
        <v>99199986</v>
      </c>
      <c r="K16" s="190">
        <v>0</v>
      </c>
      <c r="L16" s="190">
        <v>0</v>
      </c>
      <c r="M16" s="190">
        <v>0</v>
      </c>
      <c r="N16" s="190"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90">
        <v>0</v>
      </c>
      <c r="U16" s="190">
        <v>0</v>
      </c>
      <c r="V16" s="190">
        <v>0</v>
      </c>
      <c r="W16" s="190">
        <v>0</v>
      </c>
      <c r="X16" s="197">
        <f>SUBTOTAL(9,L16:W16)</f>
        <v>0</v>
      </c>
      <c r="Y16" s="197">
        <f>+L16+M16+N16+O16+P16+Q16+R16+S16+T16+U16+V16+W16</f>
        <v>0</v>
      </c>
      <c r="Z16" s="197">
        <f t="shared" ref="Z16" si="32">+J16-K16-Y16</f>
        <v>99199986</v>
      </c>
      <c r="AA16" s="186" t="s">
        <v>1255</v>
      </c>
    </row>
    <row r="17" spans="1:27" s="59" customFormat="1" ht="23.25" outlineLevel="1">
      <c r="A17" s="88"/>
      <c r="B17" s="89"/>
      <c r="C17" s="818"/>
      <c r="D17" s="91"/>
      <c r="E17" s="92"/>
      <c r="F17" s="818"/>
      <c r="G17" s="818"/>
      <c r="H17" s="92"/>
      <c r="I17" s="117" t="s">
        <v>291</v>
      </c>
      <c r="J17" s="118">
        <f>+J16</f>
        <v>99199986</v>
      </c>
      <c r="K17" s="118">
        <f t="shared" ref="K17" si="33">+K16</f>
        <v>0</v>
      </c>
      <c r="L17" s="118">
        <f t="shared" ref="L17" si="34">+L16</f>
        <v>0</v>
      </c>
      <c r="M17" s="118">
        <f t="shared" ref="M17" si="35">+M16</f>
        <v>0</v>
      </c>
      <c r="N17" s="118">
        <f t="shared" ref="N17" si="36">+N16</f>
        <v>0</v>
      </c>
      <c r="O17" s="118">
        <f t="shared" ref="O17" si="37">+O16</f>
        <v>0</v>
      </c>
      <c r="P17" s="118">
        <f t="shared" ref="P17" si="38">+P16</f>
        <v>0</v>
      </c>
      <c r="Q17" s="118">
        <f t="shared" ref="Q17" si="39">+Q16</f>
        <v>0</v>
      </c>
      <c r="R17" s="118">
        <f t="shared" ref="R17" si="40">+R16</f>
        <v>0</v>
      </c>
      <c r="S17" s="118">
        <f t="shared" ref="S17" si="41">+S16</f>
        <v>0</v>
      </c>
      <c r="T17" s="118">
        <f t="shared" ref="T17" si="42">+T16</f>
        <v>0</v>
      </c>
      <c r="U17" s="118">
        <f t="shared" ref="U17" si="43">+U16</f>
        <v>0</v>
      </c>
      <c r="V17" s="118">
        <f t="shared" ref="V17" si="44">+V16</f>
        <v>0</v>
      </c>
      <c r="W17" s="118">
        <f t="shared" ref="W17" si="45">+W16</f>
        <v>0</v>
      </c>
      <c r="X17" s="118">
        <f t="shared" ref="X17" si="46">+X16</f>
        <v>0</v>
      </c>
      <c r="Y17" s="118">
        <f t="shared" ref="Y17" si="47">+Y16</f>
        <v>0</v>
      </c>
      <c r="Z17" s="118">
        <f>+J17-Y17</f>
        <v>99199986</v>
      </c>
      <c r="AA17" s="135"/>
    </row>
    <row r="18" spans="1:27" s="64" customFormat="1" ht="15" customHeight="1" outlineLevel="1">
      <c r="A18" s="88"/>
      <c r="B18" s="89"/>
      <c r="C18" s="818"/>
      <c r="D18" s="91"/>
      <c r="E18" s="92"/>
      <c r="F18" s="818"/>
      <c r="G18" s="818"/>
      <c r="H18" s="92"/>
      <c r="I18" s="130"/>
      <c r="J18" s="94"/>
      <c r="K18" s="94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94"/>
      <c r="AA18" s="133"/>
    </row>
    <row r="19" spans="1:27" s="59" customFormat="1" ht="23.25" outlineLevel="1">
      <c r="A19" s="88"/>
      <c r="B19" s="89"/>
      <c r="C19" s="818"/>
      <c r="D19" s="91"/>
      <c r="E19" s="92"/>
      <c r="F19" s="818"/>
      <c r="G19" s="818"/>
      <c r="H19" s="92"/>
      <c r="I19" s="93" t="s">
        <v>292</v>
      </c>
      <c r="J19" s="94"/>
      <c r="K19" s="94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94"/>
      <c r="AA19" s="133"/>
    </row>
    <row r="20" spans="1:27" s="60" customFormat="1" ht="23.25" customHeight="1" outlineLevel="2">
      <c r="A20" s="185">
        <v>33125</v>
      </c>
      <c r="B20" s="186" t="s">
        <v>196</v>
      </c>
      <c r="C20" s="187">
        <v>40021434</v>
      </c>
      <c r="D20" s="188" t="s">
        <v>32</v>
      </c>
      <c r="E20" s="188" t="s">
        <v>44</v>
      </c>
      <c r="F20" s="187" t="s">
        <v>1253</v>
      </c>
      <c r="G20" s="187" t="s">
        <v>1484</v>
      </c>
      <c r="H20" s="188">
        <v>2020</v>
      </c>
      <c r="I20" s="834" t="s">
        <v>1279</v>
      </c>
      <c r="J20" s="190">
        <v>99346000</v>
      </c>
      <c r="K20" s="190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f>SUBTOTAL(9,L20:W20)</f>
        <v>0</v>
      </c>
      <c r="Y20" s="197">
        <f>+L20+M20+N20+O20+P20+Q20+R20+S20+T20+U20+V20+W20</f>
        <v>0</v>
      </c>
      <c r="Z20" s="197">
        <f t="shared" ref="Z20" si="48">+J20-K20-Y20</f>
        <v>99346000</v>
      </c>
      <c r="AA20" s="186" t="s">
        <v>1255</v>
      </c>
    </row>
    <row r="21" spans="1:27" s="59" customFormat="1" ht="23.25" outlineLevel="1">
      <c r="A21" s="88"/>
      <c r="B21" s="89"/>
      <c r="C21" s="818"/>
      <c r="D21" s="91"/>
      <c r="E21" s="92"/>
      <c r="F21" s="818"/>
      <c r="G21" s="818"/>
      <c r="H21" s="92"/>
      <c r="I21" s="117" t="s">
        <v>305</v>
      </c>
      <c r="J21" s="118">
        <f>+J20</f>
        <v>99346000</v>
      </c>
      <c r="K21" s="118">
        <f t="shared" ref="K21" si="49">+K20</f>
        <v>0</v>
      </c>
      <c r="L21" s="118">
        <f t="shared" ref="L21" si="50">+L20</f>
        <v>0</v>
      </c>
      <c r="M21" s="118">
        <f t="shared" ref="M21" si="51">+M20</f>
        <v>0</v>
      </c>
      <c r="N21" s="118">
        <f t="shared" ref="N21" si="52">+N20</f>
        <v>0</v>
      </c>
      <c r="O21" s="118">
        <f t="shared" ref="O21" si="53">+O20</f>
        <v>0</v>
      </c>
      <c r="P21" s="118">
        <f t="shared" ref="P21" si="54">+P20</f>
        <v>0</v>
      </c>
      <c r="Q21" s="118">
        <f t="shared" ref="Q21" si="55">+Q20</f>
        <v>0</v>
      </c>
      <c r="R21" s="118">
        <f t="shared" ref="R21" si="56">+R20</f>
        <v>0</v>
      </c>
      <c r="S21" s="118">
        <f t="shared" ref="S21" si="57">+S20</f>
        <v>0</v>
      </c>
      <c r="T21" s="118">
        <f t="shared" ref="T21" si="58">+T20</f>
        <v>0</v>
      </c>
      <c r="U21" s="118">
        <f t="shared" ref="U21" si="59">+U20</f>
        <v>0</v>
      </c>
      <c r="V21" s="118">
        <f t="shared" ref="V21" si="60">+V20</f>
        <v>0</v>
      </c>
      <c r="W21" s="118">
        <f t="shared" ref="W21" si="61">+W20</f>
        <v>0</v>
      </c>
      <c r="X21" s="118">
        <f t="shared" ref="X21" si="62">+X20</f>
        <v>0</v>
      </c>
      <c r="Y21" s="118">
        <f t="shared" ref="Y21" si="63">+Y20</f>
        <v>0</v>
      </c>
      <c r="Z21" s="118">
        <f>+J21-Y21</f>
        <v>99346000</v>
      </c>
      <c r="AA21" s="135"/>
    </row>
    <row r="22" spans="1:27" s="64" customFormat="1" ht="15" customHeight="1" outlineLevel="1">
      <c r="A22" s="88"/>
      <c r="B22" s="89"/>
      <c r="C22" s="818"/>
      <c r="D22" s="91"/>
      <c r="E22" s="92"/>
      <c r="F22" s="818"/>
      <c r="G22" s="818"/>
      <c r="H22" s="92"/>
      <c r="I22" s="130"/>
      <c r="J22" s="94"/>
      <c r="K22" s="94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94"/>
      <c r="AA22" s="133"/>
    </row>
    <row r="23" spans="1:27" s="59" customFormat="1" ht="23.25" outlineLevel="1">
      <c r="A23" s="88"/>
      <c r="B23" s="89"/>
      <c r="C23" s="818"/>
      <c r="D23" s="91"/>
      <c r="E23" s="92"/>
      <c r="F23" s="818"/>
      <c r="G23" s="818"/>
      <c r="H23" s="92"/>
      <c r="I23" s="93" t="s">
        <v>306</v>
      </c>
      <c r="J23" s="94"/>
      <c r="K23" s="94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94"/>
      <c r="AA23" s="133"/>
    </row>
    <row r="24" spans="1:27" s="60" customFormat="1" ht="23.25" customHeight="1" outlineLevel="2">
      <c r="A24" s="185">
        <v>33125</v>
      </c>
      <c r="B24" s="186" t="s">
        <v>196</v>
      </c>
      <c r="C24" s="187">
        <v>40021369</v>
      </c>
      <c r="D24" s="188" t="s">
        <v>32</v>
      </c>
      <c r="E24" s="188" t="s">
        <v>45</v>
      </c>
      <c r="F24" s="187" t="s">
        <v>1576</v>
      </c>
      <c r="G24" s="187" t="s">
        <v>1484</v>
      </c>
      <c r="H24" s="188">
        <v>2020</v>
      </c>
      <c r="I24" s="834" t="s">
        <v>1577</v>
      </c>
      <c r="J24" s="190">
        <v>99346000</v>
      </c>
      <c r="K24" s="190">
        <v>0</v>
      </c>
      <c r="L24" s="197">
        <v>0</v>
      </c>
      <c r="M24" s="197">
        <v>0</v>
      </c>
      <c r="N24" s="197">
        <v>0</v>
      </c>
      <c r="O24" s="197">
        <v>0</v>
      </c>
      <c r="P24" s="197"/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f>SUBTOTAL(9,L24:W24)</f>
        <v>0</v>
      </c>
      <c r="Y24" s="197">
        <f>+L24+M24+N24+O24+P24+Q24+R24+S24+T24+U24+V24+W24</f>
        <v>0</v>
      </c>
      <c r="Z24" s="197">
        <f t="shared" ref="Z24" si="64">+J24-K24-Y24</f>
        <v>99346000</v>
      </c>
      <c r="AA24" s="186" t="s">
        <v>1255</v>
      </c>
    </row>
    <row r="25" spans="1:27" s="59" customFormat="1" ht="23.25" outlineLevel="1">
      <c r="A25" s="88"/>
      <c r="B25" s="89"/>
      <c r="C25" s="818"/>
      <c r="D25" s="91"/>
      <c r="E25" s="92"/>
      <c r="F25" s="818"/>
      <c r="G25" s="818"/>
      <c r="H25" s="92"/>
      <c r="I25" s="117" t="s">
        <v>315</v>
      </c>
      <c r="J25" s="118">
        <f>+J24</f>
        <v>99346000</v>
      </c>
      <c r="K25" s="118">
        <f t="shared" ref="K25" si="65">+K24</f>
        <v>0</v>
      </c>
      <c r="L25" s="118">
        <f t="shared" ref="L25" si="66">+L24</f>
        <v>0</v>
      </c>
      <c r="M25" s="118">
        <f t="shared" ref="M25" si="67">+M24</f>
        <v>0</v>
      </c>
      <c r="N25" s="118">
        <f t="shared" ref="N25" si="68">+N24</f>
        <v>0</v>
      </c>
      <c r="O25" s="118">
        <f t="shared" ref="O25" si="69">+O24</f>
        <v>0</v>
      </c>
      <c r="P25" s="118">
        <f t="shared" ref="P25" si="70">+P24</f>
        <v>0</v>
      </c>
      <c r="Q25" s="118">
        <f t="shared" ref="Q25" si="71">+Q24</f>
        <v>0</v>
      </c>
      <c r="R25" s="118">
        <f t="shared" ref="R25" si="72">+R24</f>
        <v>0</v>
      </c>
      <c r="S25" s="118">
        <f t="shared" ref="S25" si="73">+S24</f>
        <v>0</v>
      </c>
      <c r="T25" s="118">
        <f t="shared" ref="T25" si="74">+T24</f>
        <v>0</v>
      </c>
      <c r="U25" s="118">
        <f t="shared" ref="U25" si="75">+U24</f>
        <v>0</v>
      </c>
      <c r="V25" s="118">
        <f t="shared" ref="V25" si="76">+V24</f>
        <v>0</v>
      </c>
      <c r="W25" s="118">
        <f t="shared" ref="W25" si="77">+W24</f>
        <v>0</v>
      </c>
      <c r="X25" s="118">
        <f t="shared" ref="X25" si="78">+X24</f>
        <v>0</v>
      </c>
      <c r="Y25" s="118">
        <f t="shared" ref="Y25" si="79">+Y24</f>
        <v>0</v>
      </c>
      <c r="Z25" s="118">
        <f>+J25-Y25</f>
        <v>99346000</v>
      </c>
      <c r="AA25" s="135"/>
    </row>
    <row r="26" spans="1:27" s="64" customFormat="1" ht="15" customHeight="1" outlineLevel="1">
      <c r="A26" s="88"/>
      <c r="B26" s="89"/>
      <c r="C26" s="818"/>
      <c r="D26" s="91"/>
      <c r="E26" s="92"/>
      <c r="F26" s="818"/>
      <c r="G26" s="818"/>
      <c r="H26" s="92"/>
      <c r="I26" s="130"/>
      <c r="J26" s="94"/>
      <c r="K26" s="94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94"/>
      <c r="AA26" s="133"/>
    </row>
    <row r="27" spans="1:27" s="59" customFormat="1" ht="23.25" outlineLevel="1">
      <c r="A27" s="88"/>
      <c r="B27" s="89"/>
      <c r="C27" s="818"/>
      <c r="D27" s="91"/>
      <c r="E27" s="92"/>
      <c r="F27" s="818"/>
      <c r="G27" s="818"/>
      <c r="H27" s="92"/>
      <c r="I27" s="93" t="s">
        <v>316</v>
      </c>
      <c r="J27" s="94"/>
      <c r="K27" s="94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94"/>
      <c r="AA27" s="133"/>
    </row>
    <row r="28" spans="1:27" s="60" customFormat="1" ht="23.25" customHeight="1" outlineLevel="2">
      <c r="A28" s="185">
        <v>33125</v>
      </c>
      <c r="B28" s="186" t="s">
        <v>196</v>
      </c>
      <c r="C28" s="187">
        <v>40021106</v>
      </c>
      <c r="D28" s="188" t="s">
        <v>32</v>
      </c>
      <c r="E28" s="188" t="s">
        <v>46</v>
      </c>
      <c r="F28" s="187" t="s">
        <v>1288</v>
      </c>
      <c r="G28" s="187" t="s">
        <v>1484</v>
      </c>
      <c r="H28" s="188">
        <v>2020</v>
      </c>
      <c r="I28" s="836" t="s">
        <v>1289</v>
      </c>
      <c r="J28" s="190">
        <v>72000000</v>
      </c>
      <c r="K28" s="190">
        <v>0</v>
      </c>
      <c r="L28" s="197"/>
      <c r="M28" s="197"/>
      <c r="N28" s="197"/>
      <c r="O28" s="197">
        <v>0</v>
      </c>
      <c r="P28" s="197">
        <v>0</v>
      </c>
      <c r="Q28" s="197"/>
      <c r="R28" s="197"/>
      <c r="S28" s="197"/>
      <c r="T28" s="197"/>
      <c r="U28" s="197"/>
      <c r="V28" s="197"/>
      <c r="W28" s="197"/>
      <c r="X28" s="197">
        <f t="shared" ref="X28:X29" si="80">SUBTOTAL(9,L28:W28)</f>
        <v>0</v>
      </c>
      <c r="Y28" s="197">
        <f t="shared" ref="Y28:Y29" si="81">+L28+M28+N28+O28+P28+Q28+R28+S28+T28+U28+V28+W28</f>
        <v>0</v>
      </c>
      <c r="Z28" s="197">
        <f t="shared" ref="Z28:Z29" si="82">+J28-K28-Y28</f>
        <v>72000000</v>
      </c>
      <c r="AA28" s="835" t="s">
        <v>1255</v>
      </c>
    </row>
    <row r="29" spans="1:27" s="60" customFormat="1" ht="23.25" customHeight="1" outlineLevel="2">
      <c r="A29" s="185">
        <v>33125</v>
      </c>
      <c r="B29" s="186" t="s">
        <v>196</v>
      </c>
      <c r="C29" s="187">
        <v>40021101</v>
      </c>
      <c r="D29" s="188" t="s">
        <v>32</v>
      </c>
      <c r="E29" s="188" t="s">
        <v>46</v>
      </c>
      <c r="F29" s="187" t="s">
        <v>1269</v>
      </c>
      <c r="G29" s="187" t="s">
        <v>1484</v>
      </c>
      <c r="H29" s="188">
        <v>2020</v>
      </c>
      <c r="I29" s="836" t="s">
        <v>1290</v>
      </c>
      <c r="J29" s="190">
        <v>28000000</v>
      </c>
      <c r="K29" s="190">
        <v>0</v>
      </c>
      <c r="L29" s="197"/>
      <c r="M29" s="197"/>
      <c r="N29" s="197"/>
      <c r="O29" s="197">
        <v>0</v>
      </c>
      <c r="P29" s="197">
        <v>0</v>
      </c>
      <c r="Q29" s="197"/>
      <c r="R29" s="197"/>
      <c r="S29" s="197"/>
      <c r="T29" s="197"/>
      <c r="U29" s="197"/>
      <c r="V29" s="197"/>
      <c r="W29" s="197"/>
      <c r="X29" s="197">
        <f t="shared" si="80"/>
        <v>0</v>
      </c>
      <c r="Y29" s="197">
        <f t="shared" si="81"/>
        <v>0</v>
      </c>
      <c r="Z29" s="197">
        <f t="shared" si="82"/>
        <v>28000000</v>
      </c>
      <c r="AA29" s="835" t="s">
        <v>1255</v>
      </c>
    </row>
    <row r="30" spans="1:27" s="59" customFormat="1" ht="23.25" outlineLevel="1">
      <c r="A30" s="88"/>
      <c r="B30" s="89"/>
      <c r="C30" s="818"/>
      <c r="D30" s="91"/>
      <c r="E30" s="92"/>
      <c r="F30" s="818"/>
      <c r="G30" s="818"/>
      <c r="H30" s="92"/>
      <c r="I30" s="117" t="s">
        <v>335</v>
      </c>
      <c r="J30" s="118">
        <f>+J29+J28</f>
        <v>100000000</v>
      </c>
      <c r="K30" s="118">
        <f t="shared" ref="K30:Y30" si="83">+K29+K28</f>
        <v>0</v>
      </c>
      <c r="L30" s="118">
        <f t="shared" si="83"/>
        <v>0</v>
      </c>
      <c r="M30" s="118">
        <f t="shared" si="83"/>
        <v>0</v>
      </c>
      <c r="N30" s="118">
        <f t="shared" si="83"/>
        <v>0</v>
      </c>
      <c r="O30" s="118">
        <f t="shared" si="83"/>
        <v>0</v>
      </c>
      <c r="P30" s="118">
        <f t="shared" si="83"/>
        <v>0</v>
      </c>
      <c r="Q30" s="118">
        <f t="shared" si="83"/>
        <v>0</v>
      </c>
      <c r="R30" s="118">
        <f t="shared" si="83"/>
        <v>0</v>
      </c>
      <c r="S30" s="118">
        <f t="shared" si="83"/>
        <v>0</v>
      </c>
      <c r="T30" s="118">
        <f t="shared" si="83"/>
        <v>0</v>
      </c>
      <c r="U30" s="118">
        <f t="shared" si="83"/>
        <v>0</v>
      </c>
      <c r="V30" s="118">
        <f t="shared" si="83"/>
        <v>0</v>
      </c>
      <c r="W30" s="118">
        <f t="shared" si="83"/>
        <v>0</v>
      </c>
      <c r="X30" s="118">
        <f t="shared" si="83"/>
        <v>0</v>
      </c>
      <c r="Y30" s="118">
        <f t="shared" si="83"/>
        <v>0</v>
      </c>
      <c r="Z30" s="118">
        <f>+J30-Y30</f>
        <v>100000000</v>
      </c>
      <c r="AA30" s="135"/>
    </row>
    <row r="31" spans="1:27" s="64" customFormat="1" ht="15" customHeight="1" outlineLevel="1">
      <c r="A31" s="88"/>
      <c r="B31" s="89"/>
      <c r="C31" s="818"/>
      <c r="D31" s="91"/>
      <c r="E31" s="92"/>
      <c r="F31" s="818"/>
      <c r="G31" s="818"/>
      <c r="H31" s="92"/>
      <c r="I31" s="130"/>
      <c r="J31" s="94"/>
      <c r="K31" s="94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94"/>
      <c r="AA31" s="133"/>
    </row>
    <row r="32" spans="1:27" s="60" customFormat="1" ht="24.95" customHeight="1" outlineLevel="1">
      <c r="A32" s="140"/>
      <c r="B32" s="141"/>
      <c r="C32" s="819"/>
      <c r="D32" s="143"/>
      <c r="E32" s="144"/>
      <c r="F32" s="819"/>
      <c r="G32" s="819"/>
      <c r="H32" s="144"/>
      <c r="I32" s="145" t="s">
        <v>365</v>
      </c>
      <c r="J32" s="146">
        <f>+J5+J9+J13+J17+J21+J25+J30</f>
        <v>692229303</v>
      </c>
      <c r="K32" s="146">
        <f>+K5+K9+K13+K17+K21+K25+K30</f>
        <v>0</v>
      </c>
      <c r="L32" s="146">
        <f>+L5+L9+L13+L17+L21+L25+L30</f>
        <v>0</v>
      </c>
      <c r="M32" s="146">
        <f>+M5+M9+M13+M17+M21+M25+M30</f>
        <v>0</v>
      </c>
      <c r="N32" s="146">
        <f>+N5+N9+N13+N17+N21+N25+N30</f>
        <v>0</v>
      </c>
      <c r="O32" s="146">
        <v>304573746</v>
      </c>
      <c r="P32" s="146">
        <v>10260055</v>
      </c>
      <c r="Q32" s="146">
        <f t="shared" ref="Q32:Z32" si="84">+Q5+Q9+Q13+Q17+Q21+Q25+Q30</f>
        <v>0</v>
      </c>
      <c r="R32" s="146">
        <f t="shared" si="84"/>
        <v>0</v>
      </c>
      <c r="S32" s="146">
        <f t="shared" si="84"/>
        <v>0</v>
      </c>
      <c r="T32" s="146">
        <f t="shared" si="84"/>
        <v>0</v>
      </c>
      <c r="U32" s="146">
        <f t="shared" si="84"/>
        <v>0</v>
      </c>
      <c r="V32" s="146">
        <f t="shared" si="84"/>
        <v>0</v>
      </c>
      <c r="W32" s="146">
        <f t="shared" si="84"/>
        <v>0</v>
      </c>
      <c r="X32" s="146">
        <f t="shared" si="84"/>
        <v>0</v>
      </c>
      <c r="Y32" s="146">
        <f t="shared" si="84"/>
        <v>0</v>
      </c>
      <c r="Z32" s="146">
        <f t="shared" si="84"/>
        <v>692229303</v>
      </c>
      <c r="AA32" s="159"/>
    </row>
    <row r="33" spans="1:27" s="59" customFormat="1" ht="15" customHeight="1" outlineLevel="1">
      <c r="A33" s="88"/>
      <c r="B33" s="89"/>
      <c r="C33" s="818"/>
      <c r="D33" s="91"/>
      <c r="E33" s="92"/>
      <c r="F33" s="818"/>
      <c r="G33" s="818"/>
      <c r="H33" s="92"/>
      <c r="I33" s="119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35"/>
    </row>
    <row r="34" spans="1:27" s="59" customFormat="1" ht="23.25" outlineLevel="1">
      <c r="A34" s="88"/>
      <c r="B34" s="89"/>
      <c r="C34" s="818"/>
      <c r="D34" s="91"/>
      <c r="E34" s="92"/>
      <c r="F34" s="818"/>
      <c r="G34" s="818"/>
      <c r="H34" s="92"/>
      <c r="I34" s="93" t="s">
        <v>366</v>
      </c>
      <c r="J34" s="94"/>
      <c r="K34" s="94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94"/>
      <c r="AA34" s="133"/>
    </row>
    <row r="35" spans="1:27" s="61" customFormat="1" ht="23.25" customHeight="1" outlineLevel="2">
      <c r="A35" s="185">
        <v>33125</v>
      </c>
      <c r="B35" s="186" t="s">
        <v>196</v>
      </c>
      <c r="C35" s="187">
        <v>40022442</v>
      </c>
      <c r="D35" s="188" t="s">
        <v>33</v>
      </c>
      <c r="E35" s="188" t="s">
        <v>54</v>
      </c>
      <c r="F35" s="187" t="s">
        <v>1253</v>
      </c>
      <c r="G35" s="187" t="s">
        <v>1484</v>
      </c>
      <c r="H35" s="188">
        <v>2020</v>
      </c>
      <c r="I35" s="834" t="s">
        <v>1295</v>
      </c>
      <c r="J35" s="190">
        <v>99346000</v>
      </c>
      <c r="K35" s="190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f>SUBTOTAL(9,L35:W35)</f>
        <v>0</v>
      </c>
      <c r="Y35" s="197">
        <f>+L35+M35+N35+O35+P35+Q35+R35+S35+T35+U35+V35+W35</f>
        <v>0</v>
      </c>
      <c r="Z35" s="197">
        <f t="shared" ref="Z35" si="85">+J35-K35-Y35</f>
        <v>99346000</v>
      </c>
      <c r="AA35" s="186" t="s">
        <v>1255</v>
      </c>
    </row>
    <row r="36" spans="1:27" s="59" customFormat="1" ht="23.25" outlineLevel="1">
      <c r="A36" s="88"/>
      <c r="B36" s="89"/>
      <c r="C36" s="818"/>
      <c r="D36" s="91"/>
      <c r="E36" s="92"/>
      <c r="F36" s="818"/>
      <c r="G36" s="818"/>
      <c r="H36" s="92"/>
      <c r="I36" s="117" t="s">
        <v>1296</v>
      </c>
      <c r="J36" s="118">
        <f>+J35</f>
        <v>99346000</v>
      </c>
      <c r="K36" s="118">
        <f t="shared" ref="K36" si="86">+K35</f>
        <v>0</v>
      </c>
      <c r="L36" s="118">
        <f t="shared" ref="L36" si="87">+L35</f>
        <v>0</v>
      </c>
      <c r="M36" s="118">
        <f t="shared" ref="M36" si="88">+M35</f>
        <v>0</v>
      </c>
      <c r="N36" s="118">
        <f t="shared" ref="N36" si="89">+N35</f>
        <v>0</v>
      </c>
      <c r="O36" s="118">
        <f t="shared" ref="O36" si="90">+O35</f>
        <v>0</v>
      </c>
      <c r="P36" s="118">
        <f t="shared" ref="P36" si="91">+P35</f>
        <v>0</v>
      </c>
      <c r="Q36" s="118">
        <f t="shared" ref="Q36" si="92">+Q35</f>
        <v>0</v>
      </c>
      <c r="R36" s="118">
        <f t="shared" ref="R36" si="93">+R35</f>
        <v>0</v>
      </c>
      <c r="S36" s="118">
        <f t="shared" ref="S36" si="94">+S35</f>
        <v>0</v>
      </c>
      <c r="T36" s="118">
        <f t="shared" ref="T36" si="95">+T35</f>
        <v>0</v>
      </c>
      <c r="U36" s="118">
        <f t="shared" ref="U36" si="96">+U35</f>
        <v>0</v>
      </c>
      <c r="V36" s="118">
        <f t="shared" ref="V36" si="97">+V35</f>
        <v>0</v>
      </c>
      <c r="W36" s="118">
        <f t="shared" ref="W36" si="98">+W35</f>
        <v>0</v>
      </c>
      <c r="X36" s="118">
        <f t="shared" ref="X36" si="99">+X35</f>
        <v>0</v>
      </c>
      <c r="Y36" s="118">
        <f t="shared" ref="Y36" si="100">+Y35</f>
        <v>0</v>
      </c>
      <c r="Z36" s="118">
        <f>+J36-Y36</f>
        <v>99346000</v>
      </c>
      <c r="AA36" s="135"/>
    </row>
    <row r="37" spans="1:27" s="63" customFormat="1" ht="15" customHeight="1" outlineLevel="1">
      <c r="A37" s="88"/>
      <c r="B37" s="89"/>
      <c r="C37" s="818"/>
      <c r="D37" s="91"/>
      <c r="E37" s="92"/>
      <c r="F37" s="818"/>
      <c r="G37" s="818"/>
      <c r="H37" s="92"/>
      <c r="I37" s="119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35"/>
    </row>
    <row r="38" spans="1:27" s="59" customFormat="1" ht="23.25" outlineLevel="1">
      <c r="A38" s="88"/>
      <c r="B38" s="89"/>
      <c r="C38" s="818"/>
      <c r="D38" s="91"/>
      <c r="E38" s="92"/>
      <c r="F38" s="818"/>
      <c r="G38" s="818"/>
      <c r="H38" s="92"/>
      <c r="I38" s="93" t="s">
        <v>413</v>
      </c>
      <c r="J38" s="94"/>
      <c r="K38" s="94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94"/>
      <c r="AA38" s="133"/>
    </row>
    <row r="39" spans="1:27" s="60" customFormat="1" ht="23.25" customHeight="1" outlineLevel="2">
      <c r="A39" s="185">
        <v>33125</v>
      </c>
      <c r="B39" s="186" t="s">
        <v>196</v>
      </c>
      <c r="C39" s="837">
        <v>40021128</v>
      </c>
      <c r="D39" s="188" t="s">
        <v>33</v>
      </c>
      <c r="E39" s="188" t="s">
        <v>48</v>
      </c>
      <c r="F39" s="811" t="s">
        <v>1288</v>
      </c>
      <c r="G39" s="187" t="s">
        <v>1484</v>
      </c>
      <c r="H39" s="188">
        <v>2020</v>
      </c>
      <c r="I39" s="189" t="s">
        <v>1302</v>
      </c>
      <c r="J39" s="190">
        <v>99346000</v>
      </c>
      <c r="K39" s="190">
        <v>0</v>
      </c>
      <c r="L39" s="197"/>
      <c r="M39" s="197"/>
      <c r="N39" s="197"/>
      <c r="O39" s="197">
        <v>0</v>
      </c>
      <c r="P39" s="197">
        <v>0</v>
      </c>
      <c r="Q39" s="197"/>
      <c r="R39" s="197"/>
      <c r="S39" s="197"/>
      <c r="T39" s="197"/>
      <c r="U39" s="197"/>
      <c r="V39" s="197"/>
      <c r="W39" s="197"/>
      <c r="X39" s="197">
        <f>SUBTOTAL(9,L39:W39)</f>
        <v>0</v>
      </c>
      <c r="Y39" s="197">
        <f>+L39+M39+N39+O39+P39+Q39+R39+S39+T39+U39+V39+W39</f>
        <v>0</v>
      </c>
      <c r="Z39" s="197">
        <f t="shared" ref="Z39" si="101">+J39-K39-Y39</f>
        <v>99346000</v>
      </c>
      <c r="AA39" s="835" t="s">
        <v>1255</v>
      </c>
    </row>
    <row r="40" spans="1:27" s="59" customFormat="1" ht="23.25" outlineLevel="1">
      <c r="A40" s="88"/>
      <c r="B40" s="89"/>
      <c r="C40" s="818"/>
      <c r="D40" s="91"/>
      <c r="E40" s="92"/>
      <c r="F40" s="818"/>
      <c r="G40" s="818"/>
      <c r="H40" s="92"/>
      <c r="I40" s="117" t="s">
        <v>442</v>
      </c>
      <c r="J40" s="118">
        <f>+J39</f>
        <v>99346000</v>
      </c>
      <c r="K40" s="118">
        <f t="shared" ref="K40" si="102">+K39</f>
        <v>0</v>
      </c>
      <c r="L40" s="118">
        <f t="shared" ref="L40" si="103">+L39</f>
        <v>0</v>
      </c>
      <c r="M40" s="118">
        <f t="shared" ref="M40" si="104">+M39</f>
        <v>0</v>
      </c>
      <c r="N40" s="118">
        <f t="shared" ref="N40" si="105">+N39</f>
        <v>0</v>
      </c>
      <c r="O40" s="118">
        <f t="shared" ref="O40" si="106">+O39</f>
        <v>0</v>
      </c>
      <c r="P40" s="118">
        <f t="shared" ref="P40" si="107">+P39</f>
        <v>0</v>
      </c>
      <c r="Q40" s="118">
        <f t="shared" ref="Q40" si="108">+Q39</f>
        <v>0</v>
      </c>
      <c r="R40" s="118">
        <f t="shared" ref="R40" si="109">+R39</f>
        <v>0</v>
      </c>
      <c r="S40" s="118">
        <f t="shared" ref="S40" si="110">+S39</f>
        <v>0</v>
      </c>
      <c r="T40" s="118">
        <f t="shared" ref="T40" si="111">+T39</f>
        <v>0</v>
      </c>
      <c r="U40" s="118">
        <f t="shared" ref="U40" si="112">+U39</f>
        <v>0</v>
      </c>
      <c r="V40" s="118">
        <f t="shared" ref="V40" si="113">+V39</f>
        <v>0</v>
      </c>
      <c r="W40" s="118">
        <f t="shared" ref="W40" si="114">+W39</f>
        <v>0</v>
      </c>
      <c r="X40" s="118">
        <f t="shared" ref="X40" si="115">+X39</f>
        <v>0</v>
      </c>
      <c r="Y40" s="118">
        <f t="shared" ref="Y40" si="116">+Y39</f>
        <v>0</v>
      </c>
      <c r="Z40" s="118">
        <f>+J40-Y40</f>
        <v>99346000</v>
      </c>
      <c r="AA40" s="135"/>
    </row>
    <row r="41" spans="1:27" s="64" customFormat="1" ht="15" customHeight="1" outlineLevel="1">
      <c r="A41" s="88"/>
      <c r="B41" s="89"/>
      <c r="C41" s="820"/>
      <c r="D41" s="91"/>
      <c r="E41" s="92"/>
      <c r="F41" s="820"/>
      <c r="G41" s="820"/>
      <c r="H41" s="92"/>
      <c r="I41" s="130"/>
      <c r="J41" s="94"/>
      <c r="K41" s="94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94"/>
      <c r="AA41" s="133"/>
    </row>
    <row r="42" spans="1:27" s="59" customFormat="1" ht="23.25" outlineLevel="1">
      <c r="A42" s="88"/>
      <c r="B42" s="89"/>
      <c r="C42" s="818"/>
      <c r="D42" s="91"/>
      <c r="E42" s="92"/>
      <c r="F42" s="818"/>
      <c r="G42" s="818"/>
      <c r="H42" s="92"/>
      <c r="I42" s="93" t="s">
        <v>443</v>
      </c>
      <c r="J42" s="94"/>
      <c r="K42" s="94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94"/>
      <c r="AA42" s="133"/>
    </row>
    <row r="43" spans="1:27" s="67" customFormat="1" ht="23.25" customHeight="1" outlineLevel="2">
      <c r="A43" s="185">
        <v>33125</v>
      </c>
      <c r="B43" s="186" t="s">
        <v>196</v>
      </c>
      <c r="C43" s="187">
        <v>40021665</v>
      </c>
      <c r="D43" s="188" t="s">
        <v>33</v>
      </c>
      <c r="E43" s="188" t="s">
        <v>49</v>
      </c>
      <c r="F43" s="811" t="s">
        <v>1253</v>
      </c>
      <c r="G43" s="187" t="s">
        <v>1484</v>
      </c>
      <c r="H43" s="188">
        <v>2020</v>
      </c>
      <c r="I43" s="834" t="s">
        <v>1306</v>
      </c>
      <c r="J43" s="190">
        <v>99340311</v>
      </c>
      <c r="K43" s="190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f>SUBTOTAL(9,L43:W43)</f>
        <v>0</v>
      </c>
      <c r="Y43" s="197">
        <f>+L43+M43+N43+O43+P43+Q43+R43+S43+T43+U43+V43+W43</f>
        <v>0</v>
      </c>
      <c r="Z43" s="197">
        <f t="shared" ref="Z43" si="117">+J43-K43-Y43</f>
        <v>99340311</v>
      </c>
      <c r="AA43" s="186" t="s">
        <v>1255</v>
      </c>
    </row>
    <row r="44" spans="1:27" s="59" customFormat="1" ht="23.25" outlineLevel="1">
      <c r="A44" s="88"/>
      <c r="B44" s="89"/>
      <c r="C44" s="818"/>
      <c r="D44" s="91"/>
      <c r="E44" s="92"/>
      <c r="F44" s="818"/>
      <c r="G44" s="818"/>
      <c r="H44" s="92"/>
      <c r="I44" s="117" t="s">
        <v>470</v>
      </c>
      <c r="J44" s="118">
        <f>+J43</f>
        <v>99340311</v>
      </c>
      <c r="K44" s="118">
        <f t="shared" ref="K44" si="118">+K43</f>
        <v>0</v>
      </c>
      <c r="L44" s="118">
        <f t="shared" ref="L44" si="119">+L43</f>
        <v>0</v>
      </c>
      <c r="M44" s="118">
        <f t="shared" ref="M44" si="120">+M43</f>
        <v>0</v>
      </c>
      <c r="N44" s="118">
        <f t="shared" ref="N44" si="121">+N43</f>
        <v>0</v>
      </c>
      <c r="O44" s="118">
        <f t="shared" ref="O44" si="122">+O43</f>
        <v>0</v>
      </c>
      <c r="P44" s="118">
        <f t="shared" ref="P44" si="123">+P43</f>
        <v>0</v>
      </c>
      <c r="Q44" s="118">
        <f t="shared" ref="Q44" si="124">+Q43</f>
        <v>0</v>
      </c>
      <c r="R44" s="118">
        <f t="shared" ref="R44" si="125">+R43</f>
        <v>0</v>
      </c>
      <c r="S44" s="118">
        <f t="shared" ref="S44" si="126">+S43</f>
        <v>0</v>
      </c>
      <c r="T44" s="118">
        <f t="shared" ref="T44" si="127">+T43</f>
        <v>0</v>
      </c>
      <c r="U44" s="118">
        <f t="shared" ref="U44" si="128">+U43</f>
        <v>0</v>
      </c>
      <c r="V44" s="118">
        <f t="shared" ref="V44" si="129">+V43</f>
        <v>0</v>
      </c>
      <c r="W44" s="118">
        <f t="shared" ref="W44" si="130">+W43</f>
        <v>0</v>
      </c>
      <c r="X44" s="118">
        <f t="shared" ref="X44" si="131">+X43</f>
        <v>0</v>
      </c>
      <c r="Y44" s="118">
        <f t="shared" ref="Y44" si="132">+Y43</f>
        <v>0</v>
      </c>
      <c r="Z44" s="118">
        <f>+J44-Y44</f>
        <v>99340311</v>
      </c>
      <c r="AA44" s="135"/>
    </row>
    <row r="45" spans="1:27" s="68" customFormat="1" ht="15" customHeight="1" outlineLevel="1">
      <c r="A45" s="88"/>
      <c r="B45" s="89"/>
      <c r="C45" s="818"/>
      <c r="D45" s="91"/>
      <c r="E45" s="92"/>
      <c r="F45" s="818"/>
      <c r="G45" s="818"/>
      <c r="H45" s="92"/>
      <c r="I45" s="119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35"/>
    </row>
    <row r="46" spans="1:27" s="68" customFormat="1" ht="23.25" outlineLevel="1">
      <c r="A46" s="88"/>
      <c r="B46" s="89"/>
      <c r="C46" s="818"/>
      <c r="D46" s="91"/>
      <c r="E46" s="92"/>
      <c r="F46" s="818"/>
      <c r="G46" s="818"/>
      <c r="H46" s="92"/>
      <c r="I46" s="93" t="s">
        <v>471</v>
      </c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35"/>
    </row>
    <row r="47" spans="1:27" s="69" customFormat="1" ht="23.25" customHeight="1">
      <c r="A47" s="185">
        <v>33125</v>
      </c>
      <c r="B47" s="186" t="s">
        <v>196</v>
      </c>
      <c r="C47" s="191">
        <v>40021678</v>
      </c>
      <c r="D47" s="192" t="s">
        <v>33</v>
      </c>
      <c r="E47" s="192" t="s">
        <v>50</v>
      </c>
      <c r="F47" s="811" t="s">
        <v>1269</v>
      </c>
      <c r="G47" s="187" t="s">
        <v>1484</v>
      </c>
      <c r="H47" s="188">
        <v>2020</v>
      </c>
      <c r="I47" s="193" t="s">
        <v>1312</v>
      </c>
      <c r="J47" s="194">
        <v>99000000</v>
      </c>
      <c r="K47" s="190">
        <v>0</v>
      </c>
      <c r="L47" s="197"/>
      <c r="M47" s="197"/>
      <c r="N47" s="197"/>
      <c r="O47" s="197">
        <v>0</v>
      </c>
      <c r="P47" s="197">
        <v>0</v>
      </c>
      <c r="Q47" s="197"/>
      <c r="R47" s="197"/>
      <c r="S47" s="197"/>
      <c r="T47" s="197"/>
      <c r="U47" s="197"/>
      <c r="V47" s="197"/>
      <c r="W47" s="197"/>
      <c r="X47" s="197">
        <f>SUBTOTAL(9,L47:W47)</f>
        <v>0</v>
      </c>
      <c r="Y47" s="197">
        <f>+L47+M47+N47+O47+P47+Q47+R47+S47+T47+U47+V47+W47</f>
        <v>0</v>
      </c>
      <c r="Z47" s="197">
        <f t="shared" ref="Z47" si="133">+J47-K47-Y47</f>
        <v>99000000</v>
      </c>
      <c r="AA47" s="835" t="s">
        <v>1255</v>
      </c>
    </row>
    <row r="48" spans="1:27" s="59" customFormat="1" ht="23.25" outlineLevel="1">
      <c r="A48" s="88"/>
      <c r="B48" s="89"/>
      <c r="C48" s="818"/>
      <c r="D48" s="91"/>
      <c r="E48" s="92"/>
      <c r="F48" s="818"/>
      <c r="G48" s="818"/>
      <c r="H48" s="92"/>
      <c r="I48" s="117" t="s">
        <v>496</v>
      </c>
      <c r="J48" s="118">
        <f>+J47</f>
        <v>99000000</v>
      </c>
      <c r="K48" s="118">
        <f t="shared" ref="K48" si="134">+K47</f>
        <v>0</v>
      </c>
      <c r="L48" s="118">
        <f t="shared" ref="L48" si="135">+L47</f>
        <v>0</v>
      </c>
      <c r="M48" s="118">
        <f t="shared" ref="M48" si="136">+M47</f>
        <v>0</v>
      </c>
      <c r="N48" s="118">
        <f t="shared" ref="N48" si="137">+N47</f>
        <v>0</v>
      </c>
      <c r="O48" s="118">
        <f t="shared" ref="O48" si="138">+O47</f>
        <v>0</v>
      </c>
      <c r="P48" s="118">
        <f t="shared" ref="P48" si="139">+P47</f>
        <v>0</v>
      </c>
      <c r="Q48" s="118">
        <f t="shared" ref="Q48" si="140">+Q47</f>
        <v>0</v>
      </c>
      <c r="R48" s="118">
        <f t="shared" ref="R48" si="141">+R47</f>
        <v>0</v>
      </c>
      <c r="S48" s="118">
        <f t="shared" ref="S48" si="142">+S47</f>
        <v>0</v>
      </c>
      <c r="T48" s="118">
        <f t="shared" ref="T48" si="143">+T47</f>
        <v>0</v>
      </c>
      <c r="U48" s="118">
        <f t="shared" ref="U48" si="144">+U47</f>
        <v>0</v>
      </c>
      <c r="V48" s="118">
        <f t="shared" ref="V48" si="145">+V47</f>
        <v>0</v>
      </c>
      <c r="W48" s="118">
        <f t="shared" ref="W48" si="146">+W47</f>
        <v>0</v>
      </c>
      <c r="X48" s="118">
        <f t="shared" ref="X48" si="147">+X47</f>
        <v>0</v>
      </c>
      <c r="Y48" s="118">
        <f t="shared" ref="Y48" si="148">+Y47</f>
        <v>0</v>
      </c>
      <c r="Z48" s="118">
        <f>+J48-Y48</f>
        <v>99000000</v>
      </c>
      <c r="AA48" s="135"/>
    </row>
    <row r="49" spans="1:27" s="68" customFormat="1" ht="15" customHeight="1" outlineLevel="1">
      <c r="A49" s="88"/>
      <c r="B49" s="89"/>
      <c r="C49" s="818"/>
      <c r="D49" s="91"/>
      <c r="E49" s="92"/>
      <c r="F49" s="818"/>
      <c r="G49" s="818"/>
      <c r="H49" s="92"/>
      <c r="I49" s="119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35"/>
    </row>
    <row r="50" spans="1:27" s="68" customFormat="1" ht="23.25" outlineLevel="1">
      <c r="A50" s="88"/>
      <c r="B50" s="89"/>
      <c r="C50" s="818"/>
      <c r="D50" s="91"/>
      <c r="E50" s="92"/>
      <c r="F50" s="818"/>
      <c r="G50" s="818"/>
      <c r="H50" s="92"/>
      <c r="I50" s="93" t="s">
        <v>497</v>
      </c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35"/>
    </row>
    <row r="51" spans="1:27" s="70" customFormat="1" ht="23.25" customHeight="1" outlineLevel="1">
      <c r="A51" s="185">
        <v>33125</v>
      </c>
      <c r="B51" s="186" t="s">
        <v>196</v>
      </c>
      <c r="C51" s="196">
        <v>40021503</v>
      </c>
      <c r="D51" s="188" t="s">
        <v>33</v>
      </c>
      <c r="E51" s="188" t="s">
        <v>51</v>
      </c>
      <c r="F51" s="187" t="s">
        <v>1288</v>
      </c>
      <c r="G51" s="187" t="s">
        <v>1484</v>
      </c>
      <c r="H51" s="188">
        <v>2020</v>
      </c>
      <c r="I51" s="832" t="s">
        <v>1316</v>
      </c>
      <c r="J51" s="833">
        <v>99345000</v>
      </c>
      <c r="K51" s="190">
        <v>0</v>
      </c>
      <c r="L51" s="197"/>
      <c r="M51" s="197"/>
      <c r="N51" s="197"/>
      <c r="O51" s="197">
        <v>0</v>
      </c>
      <c r="P51" s="197">
        <v>0</v>
      </c>
      <c r="Q51" s="197"/>
      <c r="R51" s="197"/>
      <c r="S51" s="197"/>
      <c r="T51" s="197"/>
      <c r="U51" s="197"/>
      <c r="V51" s="197"/>
      <c r="W51" s="197"/>
      <c r="X51" s="197">
        <f>SUBTOTAL(9,L51:W51)</f>
        <v>0</v>
      </c>
      <c r="Y51" s="197">
        <f>+L51+M51+N51+O51+P51+Q51+R51+S51+T51+U51+V51+W51</f>
        <v>0</v>
      </c>
      <c r="Z51" s="197">
        <f t="shared" ref="Z51" si="149">+J51-K51-Y51</f>
        <v>99345000</v>
      </c>
      <c r="AA51" s="186" t="s">
        <v>1255</v>
      </c>
    </row>
    <row r="52" spans="1:27" s="59" customFormat="1" ht="23.25" outlineLevel="1">
      <c r="A52" s="88"/>
      <c r="B52" s="89"/>
      <c r="C52" s="818"/>
      <c r="D52" s="91"/>
      <c r="E52" s="92"/>
      <c r="F52" s="818"/>
      <c r="G52" s="818"/>
      <c r="H52" s="92"/>
      <c r="I52" s="117" t="s">
        <v>523</v>
      </c>
      <c r="J52" s="118">
        <f>+J51</f>
        <v>99345000</v>
      </c>
      <c r="K52" s="118">
        <f t="shared" ref="K52" si="150">+K51</f>
        <v>0</v>
      </c>
      <c r="L52" s="118">
        <f t="shared" ref="L52" si="151">+L51</f>
        <v>0</v>
      </c>
      <c r="M52" s="118">
        <f t="shared" ref="M52" si="152">+M51</f>
        <v>0</v>
      </c>
      <c r="N52" s="118">
        <f t="shared" ref="N52" si="153">+N51</f>
        <v>0</v>
      </c>
      <c r="O52" s="118">
        <f t="shared" ref="O52" si="154">+O51</f>
        <v>0</v>
      </c>
      <c r="P52" s="118">
        <f t="shared" ref="P52" si="155">+P51</f>
        <v>0</v>
      </c>
      <c r="Q52" s="118">
        <f t="shared" ref="Q52" si="156">+Q51</f>
        <v>0</v>
      </c>
      <c r="R52" s="118">
        <f t="shared" ref="R52" si="157">+R51</f>
        <v>0</v>
      </c>
      <c r="S52" s="118">
        <f t="shared" ref="S52" si="158">+S51</f>
        <v>0</v>
      </c>
      <c r="T52" s="118">
        <f t="shared" ref="T52" si="159">+T51</f>
        <v>0</v>
      </c>
      <c r="U52" s="118">
        <f t="shared" ref="U52" si="160">+U51</f>
        <v>0</v>
      </c>
      <c r="V52" s="118">
        <f t="shared" ref="V52" si="161">+V51</f>
        <v>0</v>
      </c>
      <c r="W52" s="118">
        <f t="shared" ref="W52" si="162">+W51</f>
        <v>0</v>
      </c>
      <c r="X52" s="118">
        <f t="shared" ref="X52" si="163">+X51</f>
        <v>0</v>
      </c>
      <c r="Y52" s="118">
        <f t="shared" ref="Y52" si="164">+Y51</f>
        <v>0</v>
      </c>
      <c r="Z52" s="118">
        <f>+J52-Y52</f>
        <v>99345000</v>
      </c>
      <c r="AA52" s="135"/>
    </row>
    <row r="53" spans="1:27" s="68" customFormat="1" ht="15" customHeight="1" outlineLevel="1">
      <c r="A53" s="88"/>
      <c r="B53" s="89"/>
      <c r="C53" s="818"/>
      <c r="D53" s="91"/>
      <c r="E53" s="92"/>
      <c r="F53" s="818"/>
      <c r="G53" s="818"/>
      <c r="H53" s="92"/>
      <c r="I53" s="119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35"/>
    </row>
    <row r="54" spans="1:27" s="59" customFormat="1" ht="23.25" outlineLevel="1">
      <c r="A54" s="88"/>
      <c r="B54" s="89"/>
      <c r="C54" s="818"/>
      <c r="D54" s="91"/>
      <c r="E54" s="92"/>
      <c r="F54" s="818"/>
      <c r="G54" s="818"/>
      <c r="H54" s="92"/>
      <c r="I54" s="163" t="s">
        <v>524</v>
      </c>
      <c r="J54" s="94"/>
      <c r="K54" s="94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94"/>
      <c r="AA54" s="133"/>
    </row>
    <row r="55" spans="1:27" s="67" customFormat="1" ht="23.25" customHeight="1" outlineLevel="2">
      <c r="A55" s="185">
        <v>33125</v>
      </c>
      <c r="B55" s="186" t="s">
        <v>196</v>
      </c>
      <c r="C55" s="838">
        <v>40021284</v>
      </c>
      <c r="D55" s="188" t="s">
        <v>33</v>
      </c>
      <c r="E55" s="188" t="s">
        <v>33</v>
      </c>
      <c r="F55" s="811" t="s">
        <v>1253</v>
      </c>
      <c r="G55" s="187" t="s">
        <v>1484</v>
      </c>
      <c r="H55" s="188">
        <v>2020</v>
      </c>
      <c r="I55" s="839" t="s">
        <v>1322</v>
      </c>
      <c r="J55" s="840">
        <v>99346000</v>
      </c>
      <c r="K55" s="190">
        <v>0</v>
      </c>
      <c r="L55" s="190">
        <v>0</v>
      </c>
      <c r="M55" s="190">
        <v>0</v>
      </c>
      <c r="N55" s="190">
        <v>0</v>
      </c>
      <c r="O55" s="190">
        <v>0</v>
      </c>
      <c r="P55" s="190">
        <v>0</v>
      </c>
      <c r="Q55" s="190">
        <v>0</v>
      </c>
      <c r="R55" s="190">
        <v>0</v>
      </c>
      <c r="S55" s="190">
        <v>0</v>
      </c>
      <c r="T55" s="190">
        <v>0</v>
      </c>
      <c r="U55" s="190">
        <v>0</v>
      </c>
      <c r="V55" s="190">
        <v>0</v>
      </c>
      <c r="W55" s="190">
        <v>0</v>
      </c>
      <c r="X55" s="197">
        <f>SUBTOTAL(9,L55:W55)</f>
        <v>0</v>
      </c>
      <c r="Y55" s="197">
        <f>+L55+M55+N55+O55+P55+Q55+R55+S55+T55+U55+V55+W55</f>
        <v>0</v>
      </c>
      <c r="Z55" s="197">
        <f t="shared" ref="Z55" si="165">+J55-K55-Y55</f>
        <v>99346000</v>
      </c>
      <c r="AA55" s="186" t="s">
        <v>1255</v>
      </c>
    </row>
    <row r="56" spans="1:27" s="59" customFormat="1" ht="23.25" outlineLevel="1">
      <c r="A56" s="88"/>
      <c r="B56" s="89"/>
      <c r="C56" s="818"/>
      <c r="D56" s="91"/>
      <c r="E56" s="92"/>
      <c r="F56" s="818"/>
      <c r="G56" s="818"/>
      <c r="H56" s="92"/>
      <c r="I56" s="117" t="s">
        <v>535</v>
      </c>
      <c r="J56" s="118">
        <f>+J55</f>
        <v>99346000</v>
      </c>
      <c r="K56" s="118">
        <f t="shared" ref="K56" si="166">+K55</f>
        <v>0</v>
      </c>
      <c r="L56" s="118">
        <f t="shared" ref="L56" si="167">+L55</f>
        <v>0</v>
      </c>
      <c r="M56" s="118">
        <f t="shared" ref="M56" si="168">+M55</f>
        <v>0</v>
      </c>
      <c r="N56" s="118">
        <f t="shared" ref="N56" si="169">+N55</f>
        <v>0</v>
      </c>
      <c r="O56" s="118">
        <f t="shared" ref="O56" si="170">+O55</f>
        <v>0</v>
      </c>
      <c r="P56" s="118">
        <f t="shared" ref="P56" si="171">+P55</f>
        <v>0</v>
      </c>
      <c r="Q56" s="118">
        <f t="shared" ref="Q56" si="172">+Q55</f>
        <v>0</v>
      </c>
      <c r="R56" s="118">
        <f t="shared" ref="R56" si="173">+R55</f>
        <v>0</v>
      </c>
      <c r="S56" s="118">
        <f t="shared" ref="S56" si="174">+S55</f>
        <v>0</v>
      </c>
      <c r="T56" s="118">
        <f t="shared" ref="T56" si="175">+T55</f>
        <v>0</v>
      </c>
      <c r="U56" s="118">
        <f t="shared" ref="U56" si="176">+U55</f>
        <v>0</v>
      </c>
      <c r="V56" s="118">
        <f t="shared" ref="V56" si="177">+V55</f>
        <v>0</v>
      </c>
      <c r="W56" s="118">
        <f t="shared" ref="W56" si="178">+W55</f>
        <v>0</v>
      </c>
      <c r="X56" s="118">
        <f t="shared" ref="X56" si="179">+X55</f>
        <v>0</v>
      </c>
      <c r="Y56" s="118">
        <f t="shared" ref="Y56" si="180">+Y55</f>
        <v>0</v>
      </c>
      <c r="Z56" s="118">
        <f>+J56-Y56</f>
        <v>99346000</v>
      </c>
      <c r="AA56" s="135"/>
    </row>
    <row r="57" spans="1:27" s="71" customFormat="1" ht="15" customHeight="1" outlineLevel="1">
      <c r="A57" s="88"/>
      <c r="B57" s="89"/>
      <c r="C57" s="818"/>
      <c r="D57" s="170"/>
      <c r="E57" s="171"/>
      <c r="F57" s="818"/>
      <c r="G57" s="818"/>
      <c r="H57" s="171"/>
      <c r="I57" s="130"/>
      <c r="J57" s="94"/>
      <c r="K57" s="94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94"/>
      <c r="AA57" s="133"/>
    </row>
    <row r="58" spans="1:27" s="59" customFormat="1" ht="23.25" outlineLevel="1">
      <c r="A58" s="88"/>
      <c r="B58" s="89"/>
      <c r="C58" s="818"/>
      <c r="D58" s="91"/>
      <c r="E58" s="92"/>
      <c r="F58" s="818"/>
      <c r="G58" s="818"/>
      <c r="H58" s="92"/>
      <c r="I58" s="93" t="s">
        <v>536</v>
      </c>
      <c r="J58" s="94"/>
      <c r="K58" s="94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94"/>
      <c r="AA58" s="133"/>
    </row>
    <row r="59" spans="1:27" s="67" customFormat="1" ht="23.25" customHeight="1" outlineLevel="2">
      <c r="A59" s="185">
        <v>33125</v>
      </c>
      <c r="B59" s="186" t="s">
        <v>196</v>
      </c>
      <c r="C59" s="196">
        <v>40020580</v>
      </c>
      <c r="D59" s="845" t="s">
        <v>33</v>
      </c>
      <c r="E59" s="845" t="s">
        <v>52</v>
      </c>
      <c r="F59" s="187" t="s">
        <v>1269</v>
      </c>
      <c r="G59" s="187" t="s">
        <v>1484</v>
      </c>
      <c r="H59" s="188">
        <v>2020</v>
      </c>
      <c r="I59" s="841" t="s">
        <v>1327</v>
      </c>
      <c r="J59" s="842">
        <v>40000000</v>
      </c>
      <c r="K59" s="190">
        <v>0</v>
      </c>
      <c r="L59" s="190">
        <v>0</v>
      </c>
      <c r="M59" s="190">
        <v>0</v>
      </c>
      <c r="N59" s="190">
        <v>0</v>
      </c>
      <c r="O59" s="190">
        <v>0</v>
      </c>
      <c r="P59" s="190">
        <v>0</v>
      </c>
      <c r="Q59" s="190">
        <v>0</v>
      </c>
      <c r="R59" s="190">
        <v>0</v>
      </c>
      <c r="S59" s="190">
        <v>0</v>
      </c>
      <c r="T59" s="190">
        <v>0</v>
      </c>
      <c r="U59" s="190">
        <v>0</v>
      </c>
      <c r="V59" s="190">
        <v>0</v>
      </c>
      <c r="W59" s="190">
        <v>0</v>
      </c>
      <c r="X59" s="197">
        <f t="shared" ref="X59:X60" si="181">SUBTOTAL(9,L59:W59)</f>
        <v>0</v>
      </c>
      <c r="Y59" s="197">
        <f t="shared" ref="Y59:Y60" si="182">+L59+M59+N59+O59+P59+Q59+R59+S59+T59+U59+V59+W59</f>
        <v>0</v>
      </c>
      <c r="Z59" s="197">
        <f t="shared" ref="Z59:Z60" si="183">+J59-K59-Y59</f>
        <v>40000000</v>
      </c>
      <c r="AA59" s="835" t="s">
        <v>1255</v>
      </c>
    </row>
    <row r="60" spans="1:27" s="67" customFormat="1" ht="23.25" customHeight="1" outlineLevel="2">
      <c r="A60" s="185">
        <v>33125</v>
      </c>
      <c r="B60" s="186" t="s">
        <v>196</v>
      </c>
      <c r="C60" s="196">
        <v>40020982</v>
      </c>
      <c r="D60" s="845" t="s">
        <v>33</v>
      </c>
      <c r="E60" s="845" t="s">
        <v>52</v>
      </c>
      <c r="F60" s="187" t="s">
        <v>1269</v>
      </c>
      <c r="G60" s="187" t="s">
        <v>1484</v>
      </c>
      <c r="H60" s="188">
        <v>2020</v>
      </c>
      <c r="I60" s="841" t="s">
        <v>1328</v>
      </c>
      <c r="J60" s="842">
        <v>60000000</v>
      </c>
      <c r="K60" s="190">
        <v>0</v>
      </c>
      <c r="L60" s="190">
        <v>0</v>
      </c>
      <c r="M60" s="190">
        <v>0</v>
      </c>
      <c r="N60" s="190">
        <v>0</v>
      </c>
      <c r="O60" s="190">
        <v>0</v>
      </c>
      <c r="P60" s="190">
        <v>0</v>
      </c>
      <c r="Q60" s="190">
        <v>0</v>
      </c>
      <c r="R60" s="190">
        <v>0</v>
      </c>
      <c r="S60" s="190">
        <v>0</v>
      </c>
      <c r="T60" s="190">
        <v>0</v>
      </c>
      <c r="U60" s="190">
        <v>0</v>
      </c>
      <c r="V60" s="190">
        <v>0</v>
      </c>
      <c r="W60" s="190">
        <v>0</v>
      </c>
      <c r="X60" s="197">
        <f t="shared" si="181"/>
        <v>0</v>
      </c>
      <c r="Y60" s="197">
        <f t="shared" si="182"/>
        <v>0</v>
      </c>
      <c r="Z60" s="197">
        <f t="shared" si="183"/>
        <v>60000000</v>
      </c>
      <c r="AA60" s="835" t="s">
        <v>1255</v>
      </c>
    </row>
    <row r="61" spans="1:27" s="59" customFormat="1" ht="23.25" outlineLevel="1">
      <c r="A61" s="88"/>
      <c r="B61" s="89"/>
      <c r="C61" s="818"/>
      <c r="D61" s="91"/>
      <c r="E61" s="92"/>
      <c r="F61" s="818"/>
      <c r="G61" s="818"/>
      <c r="H61" s="92"/>
      <c r="I61" s="117" t="s">
        <v>574</v>
      </c>
      <c r="J61" s="118">
        <f>+J60+J59</f>
        <v>100000000</v>
      </c>
      <c r="K61" s="118">
        <f t="shared" ref="K61:Y61" si="184">+K60+K59</f>
        <v>0</v>
      </c>
      <c r="L61" s="118">
        <f t="shared" si="184"/>
        <v>0</v>
      </c>
      <c r="M61" s="118">
        <f t="shared" si="184"/>
        <v>0</v>
      </c>
      <c r="N61" s="118">
        <f t="shared" si="184"/>
        <v>0</v>
      </c>
      <c r="O61" s="118">
        <f t="shared" si="184"/>
        <v>0</v>
      </c>
      <c r="P61" s="118">
        <f t="shared" si="184"/>
        <v>0</v>
      </c>
      <c r="Q61" s="118">
        <f t="shared" si="184"/>
        <v>0</v>
      </c>
      <c r="R61" s="118">
        <f t="shared" si="184"/>
        <v>0</v>
      </c>
      <c r="S61" s="118">
        <f t="shared" si="184"/>
        <v>0</v>
      </c>
      <c r="T61" s="118">
        <f t="shared" si="184"/>
        <v>0</v>
      </c>
      <c r="U61" s="118">
        <f t="shared" si="184"/>
        <v>0</v>
      </c>
      <c r="V61" s="118">
        <f t="shared" si="184"/>
        <v>0</v>
      </c>
      <c r="W61" s="118">
        <f t="shared" si="184"/>
        <v>0</v>
      </c>
      <c r="X61" s="118">
        <f t="shared" si="184"/>
        <v>0</v>
      </c>
      <c r="Y61" s="118">
        <f t="shared" si="184"/>
        <v>0</v>
      </c>
      <c r="Z61" s="118">
        <f>+J61-Y61</f>
        <v>100000000</v>
      </c>
      <c r="AA61" s="135"/>
    </row>
    <row r="62" spans="1:27" s="72" customFormat="1" ht="15" customHeight="1" outlineLevel="1">
      <c r="A62" s="88"/>
      <c r="B62" s="89"/>
      <c r="C62" s="818"/>
      <c r="D62" s="170"/>
      <c r="E62" s="171"/>
      <c r="F62" s="818"/>
      <c r="G62" s="818"/>
      <c r="H62" s="171"/>
      <c r="I62" s="119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35"/>
    </row>
    <row r="63" spans="1:27" s="71" customFormat="1" ht="15" customHeight="1" outlineLevel="1">
      <c r="A63" s="88"/>
      <c r="B63" s="89"/>
      <c r="C63" s="818"/>
      <c r="D63" s="170"/>
      <c r="E63" s="171"/>
      <c r="F63" s="818"/>
      <c r="G63" s="818"/>
      <c r="H63" s="171"/>
      <c r="I63" s="130"/>
      <c r="J63" s="94"/>
      <c r="K63" s="94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94"/>
      <c r="AA63" s="133"/>
    </row>
    <row r="64" spans="1:27" s="59" customFormat="1" ht="23.25" outlineLevel="1">
      <c r="A64" s="88"/>
      <c r="B64" s="89"/>
      <c r="C64" s="818"/>
      <c r="D64" s="91"/>
      <c r="E64" s="92"/>
      <c r="F64" s="818"/>
      <c r="G64" s="818"/>
      <c r="H64" s="92"/>
      <c r="I64" s="93" t="s">
        <v>575</v>
      </c>
      <c r="J64" s="94"/>
      <c r="K64" s="94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94"/>
      <c r="AA64" s="133"/>
    </row>
    <row r="65" spans="1:27" s="60" customFormat="1" ht="23.25" customHeight="1" outlineLevel="2">
      <c r="A65" s="185">
        <v>33125</v>
      </c>
      <c r="B65" s="186" t="s">
        <v>128</v>
      </c>
      <c r="C65" s="196">
        <v>40021183</v>
      </c>
      <c r="D65" s="845" t="s">
        <v>33</v>
      </c>
      <c r="E65" s="845" t="s">
        <v>53</v>
      </c>
      <c r="F65" s="187" t="s">
        <v>1269</v>
      </c>
      <c r="G65" s="187" t="s">
        <v>1484</v>
      </c>
      <c r="H65" s="188">
        <v>2020</v>
      </c>
      <c r="I65" s="832" t="s">
        <v>1332</v>
      </c>
      <c r="J65" s="842">
        <v>99315704</v>
      </c>
      <c r="K65" s="190">
        <v>0</v>
      </c>
      <c r="L65" s="197"/>
      <c r="M65" s="197"/>
      <c r="N65" s="197"/>
      <c r="O65" s="197">
        <v>0</v>
      </c>
      <c r="P65" s="197">
        <v>0</v>
      </c>
      <c r="Q65" s="197"/>
      <c r="R65" s="197"/>
      <c r="S65" s="197"/>
      <c r="T65" s="197"/>
      <c r="U65" s="197"/>
      <c r="V65" s="197"/>
      <c r="W65" s="197"/>
      <c r="X65" s="197">
        <f>SUBTOTAL(9,L65:W65)</f>
        <v>0</v>
      </c>
      <c r="Y65" s="197">
        <f>+L65+M65+N65+O65+P65+Q65+R65+S65+T65+U65+V65+W65</f>
        <v>0</v>
      </c>
      <c r="Z65" s="197">
        <f t="shared" ref="Z65" si="185">+J65-K65-Y65</f>
        <v>99315704</v>
      </c>
      <c r="AA65" s="835" t="s">
        <v>1255</v>
      </c>
    </row>
    <row r="66" spans="1:27" s="59" customFormat="1" ht="23.25" outlineLevel="1">
      <c r="A66" s="88"/>
      <c r="B66" s="89"/>
      <c r="C66" s="818"/>
      <c r="D66" s="91"/>
      <c r="E66" s="92"/>
      <c r="F66" s="818"/>
      <c r="G66" s="818"/>
      <c r="H66" s="92"/>
      <c r="I66" s="117" t="s">
        <v>594</v>
      </c>
      <c r="J66" s="118">
        <f>+J65</f>
        <v>99315704</v>
      </c>
      <c r="K66" s="118">
        <f t="shared" ref="K66" si="186">+K65</f>
        <v>0</v>
      </c>
      <c r="L66" s="118">
        <f t="shared" ref="L66" si="187">+L65</f>
        <v>0</v>
      </c>
      <c r="M66" s="118">
        <f t="shared" ref="M66" si="188">+M65</f>
        <v>0</v>
      </c>
      <c r="N66" s="118">
        <f t="shared" ref="N66" si="189">+N65</f>
        <v>0</v>
      </c>
      <c r="O66" s="118">
        <f t="shared" ref="O66" si="190">+O65</f>
        <v>0</v>
      </c>
      <c r="P66" s="118">
        <f t="shared" ref="P66" si="191">+P65</f>
        <v>0</v>
      </c>
      <c r="Q66" s="118">
        <f t="shared" ref="Q66" si="192">+Q65</f>
        <v>0</v>
      </c>
      <c r="R66" s="118">
        <f t="shared" ref="R66" si="193">+R65</f>
        <v>0</v>
      </c>
      <c r="S66" s="118">
        <f t="shared" ref="S66" si="194">+S65</f>
        <v>0</v>
      </c>
      <c r="T66" s="118">
        <f t="shared" ref="T66" si="195">+T65</f>
        <v>0</v>
      </c>
      <c r="U66" s="118">
        <f t="shared" ref="U66" si="196">+U65</f>
        <v>0</v>
      </c>
      <c r="V66" s="118">
        <f t="shared" ref="V66" si="197">+V65</f>
        <v>0</v>
      </c>
      <c r="W66" s="118">
        <f t="shared" ref="W66" si="198">+W65</f>
        <v>0</v>
      </c>
      <c r="X66" s="118">
        <f t="shared" ref="X66" si="199">+X65</f>
        <v>0</v>
      </c>
      <c r="Y66" s="118">
        <f t="shared" ref="Y66" si="200">+Y65</f>
        <v>0</v>
      </c>
      <c r="Z66" s="118">
        <f>+J66-Y66</f>
        <v>99315704</v>
      </c>
      <c r="AA66" s="135"/>
    </row>
    <row r="67" spans="1:27" s="64" customFormat="1" ht="15" customHeight="1" outlineLevel="1">
      <c r="A67" s="88"/>
      <c r="B67" s="89"/>
      <c r="C67" s="818"/>
      <c r="D67" s="91"/>
      <c r="E67" s="92"/>
      <c r="F67" s="818"/>
      <c r="G67" s="818"/>
      <c r="H67" s="92"/>
      <c r="I67" s="130"/>
      <c r="J67" s="94"/>
      <c r="K67" s="94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94"/>
      <c r="AA67" s="133"/>
    </row>
    <row r="68" spans="1:27" s="59" customFormat="1" ht="23.25" outlineLevel="1">
      <c r="A68" s="88"/>
      <c r="B68" s="89"/>
      <c r="C68" s="818"/>
      <c r="D68" s="91"/>
      <c r="E68" s="92"/>
      <c r="F68" s="818"/>
      <c r="G68" s="818"/>
      <c r="H68" s="92"/>
      <c r="I68" s="93" t="s">
        <v>595</v>
      </c>
      <c r="J68" s="94"/>
      <c r="K68" s="94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94"/>
      <c r="AA68" s="133"/>
    </row>
    <row r="69" spans="1:27" s="67" customFormat="1" ht="23.25" customHeight="1" outlineLevel="2">
      <c r="A69" s="185">
        <v>33125</v>
      </c>
      <c r="B69" s="186" t="s">
        <v>196</v>
      </c>
      <c r="C69" s="838">
        <v>40019853</v>
      </c>
      <c r="D69" s="188" t="s">
        <v>33</v>
      </c>
      <c r="E69" s="188" t="s">
        <v>1333</v>
      </c>
      <c r="F69" s="811" t="s">
        <v>1629</v>
      </c>
      <c r="G69" s="187" t="s">
        <v>1484</v>
      </c>
      <c r="H69" s="188">
        <v>2020</v>
      </c>
      <c r="I69" s="843" t="s">
        <v>1630</v>
      </c>
      <c r="J69" s="190">
        <v>75000000</v>
      </c>
      <c r="K69" s="190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f>SUBTOTAL(9,L69:W69)</f>
        <v>0</v>
      </c>
      <c r="Y69" s="197">
        <f>+L69+M69+N69+O69+P69+Q69+R69+S69+T69+U69+V69+W69</f>
        <v>0</v>
      </c>
      <c r="Z69" s="197">
        <f t="shared" ref="Z69" si="201">+J69-K69-Y69</f>
        <v>75000000</v>
      </c>
      <c r="AA69" s="186" t="s">
        <v>1255</v>
      </c>
    </row>
    <row r="70" spans="1:27" s="67" customFormat="1" ht="23.25" customHeight="1" outlineLevel="2">
      <c r="A70" s="185">
        <v>33125</v>
      </c>
      <c r="B70" s="186" t="s">
        <v>196</v>
      </c>
      <c r="C70" s="838">
        <v>40019879</v>
      </c>
      <c r="D70" s="188" t="s">
        <v>33</v>
      </c>
      <c r="E70" s="188" t="s">
        <v>1333</v>
      </c>
      <c r="F70" s="811" t="s">
        <v>1253</v>
      </c>
      <c r="G70" s="187" t="s">
        <v>1484</v>
      </c>
      <c r="H70" s="188">
        <v>2020</v>
      </c>
      <c r="I70" s="843" t="s">
        <v>1338</v>
      </c>
      <c r="J70" s="190">
        <v>25000000</v>
      </c>
      <c r="K70" s="190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f>SUBTOTAL(9,L70:W70)</f>
        <v>0</v>
      </c>
      <c r="Y70" s="197">
        <f>+L70+M70+N70+O70+P70+Q70+R70+S70+T70+U70+V70+W70</f>
        <v>0</v>
      </c>
      <c r="Z70" s="197">
        <f t="shared" ref="Z70" si="202">+J70-K70-Y70</f>
        <v>25000000</v>
      </c>
      <c r="AA70" s="186" t="s">
        <v>1255</v>
      </c>
    </row>
    <row r="71" spans="1:27" s="59" customFormat="1" ht="23.25" outlineLevel="1">
      <c r="A71" s="88"/>
      <c r="B71" s="89"/>
      <c r="C71" s="818"/>
      <c r="D71" s="91"/>
      <c r="E71" s="92"/>
      <c r="F71" s="818"/>
      <c r="G71" s="818"/>
      <c r="H71" s="92"/>
      <c r="I71" s="117" t="s">
        <v>1339</v>
      </c>
      <c r="J71" s="118">
        <f>+J70+J69</f>
        <v>100000000</v>
      </c>
      <c r="K71" s="118">
        <f t="shared" ref="K71:Z71" si="203">+K70+K69</f>
        <v>0</v>
      </c>
      <c r="L71" s="118">
        <f t="shared" si="203"/>
        <v>0</v>
      </c>
      <c r="M71" s="118">
        <f t="shared" si="203"/>
        <v>0</v>
      </c>
      <c r="N71" s="118">
        <f t="shared" si="203"/>
        <v>0</v>
      </c>
      <c r="O71" s="118">
        <f t="shared" si="203"/>
        <v>0</v>
      </c>
      <c r="P71" s="118">
        <f t="shared" si="203"/>
        <v>0</v>
      </c>
      <c r="Q71" s="118">
        <f t="shared" si="203"/>
        <v>0</v>
      </c>
      <c r="R71" s="118">
        <f t="shared" si="203"/>
        <v>0</v>
      </c>
      <c r="S71" s="118">
        <f t="shared" si="203"/>
        <v>0</v>
      </c>
      <c r="T71" s="118">
        <f t="shared" si="203"/>
        <v>0</v>
      </c>
      <c r="U71" s="118">
        <f t="shared" si="203"/>
        <v>0</v>
      </c>
      <c r="V71" s="118">
        <f t="shared" si="203"/>
        <v>0</v>
      </c>
      <c r="W71" s="118">
        <f t="shared" si="203"/>
        <v>0</v>
      </c>
      <c r="X71" s="118">
        <f t="shared" si="203"/>
        <v>0</v>
      </c>
      <c r="Y71" s="118">
        <f t="shared" si="203"/>
        <v>0</v>
      </c>
      <c r="Z71" s="118">
        <f t="shared" si="203"/>
        <v>100000000</v>
      </c>
      <c r="AA71" s="135"/>
    </row>
    <row r="72" spans="1:27" s="59" customFormat="1" ht="15" customHeight="1" outlineLevel="1">
      <c r="A72" s="88"/>
      <c r="B72" s="89"/>
      <c r="C72" s="818"/>
      <c r="D72" s="91"/>
      <c r="E72" s="92"/>
      <c r="F72" s="818"/>
      <c r="G72" s="818"/>
      <c r="H72" s="92"/>
      <c r="I72" s="130"/>
      <c r="J72" s="94"/>
      <c r="K72" s="94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94"/>
      <c r="AA72" s="133"/>
    </row>
    <row r="73" spans="1:27" s="60" customFormat="1" ht="23.25" outlineLevel="1">
      <c r="A73" s="140"/>
      <c r="B73" s="141"/>
      <c r="C73" s="819"/>
      <c r="D73" s="143"/>
      <c r="E73" s="144"/>
      <c r="F73" s="819"/>
      <c r="G73" s="819"/>
      <c r="H73" s="144"/>
      <c r="I73" s="829" t="s">
        <v>650</v>
      </c>
      <c r="J73" s="830">
        <f>+J36+J40+J44+J48+J52+J56+J61+J66+J71</f>
        <v>895039015</v>
      </c>
      <c r="K73" s="830">
        <f>+K36+K40+K44+K48+K52+K56+K61+K66+K71</f>
        <v>0</v>
      </c>
      <c r="L73" s="830">
        <f>+L36+L40+L44+L48+L52+L56+L61+L66+L71</f>
        <v>0</v>
      </c>
      <c r="M73" s="830">
        <f>+M36+M40+M44+M48+M52+M56+M61+M66+M71</f>
        <v>0</v>
      </c>
      <c r="N73" s="830">
        <f>+N36+N40+N44+N48+N52+N56+N61+N66+N71</f>
        <v>0</v>
      </c>
      <c r="O73" s="830">
        <v>326568822</v>
      </c>
      <c r="P73" s="830">
        <v>77017469</v>
      </c>
      <c r="Q73" s="830">
        <f t="shared" ref="Q73:Z73" si="204">+Q36+Q40+Q44+Q48+Q52+Q56+Q61+Q66+Q71</f>
        <v>0</v>
      </c>
      <c r="R73" s="830">
        <f t="shared" si="204"/>
        <v>0</v>
      </c>
      <c r="S73" s="830">
        <f t="shared" si="204"/>
        <v>0</v>
      </c>
      <c r="T73" s="830">
        <f t="shared" si="204"/>
        <v>0</v>
      </c>
      <c r="U73" s="830">
        <f t="shared" si="204"/>
        <v>0</v>
      </c>
      <c r="V73" s="830">
        <f t="shared" si="204"/>
        <v>0</v>
      </c>
      <c r="W73" s="830">
        <f t="shared" si="204"/>
        <v>0</v>
      </c>
      <c r="X73" s="830">
        <f t="shared" si="204"/>
        <v>0</v>
      </c>
      <c r="Y73" s="830">
        <f t="shared" si="204"/>
        <v>0</v>
      </c>
      <c r="Z73" s="830">
        <f t="shared" si="204"/>
        <v>895039015</v>
      </c>
      <c r="AA73" s="159"/>
    </row>
    <row r="74" spans="1:27" s="59" customFormat="1" ht="15" outlineLevel="1">
      <c r="A74" s="88"/>
      <c r="B74" s="89"/>
      <c r="C74" s="818"/>
      <c r="D74" s="91"/>
      <c r="E74" s="92"/>
      <c r="F74" s="818"/>
      <c r="G74" s="818"/>
      <c r="H74" s="92"/>
      <c r="I74" s="130"/>
      <c r="J74" s="94"/>
      <c r="K74" s="94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94"/>
      <c r="AA74" s="133"/>
    </row>
    <row r="75" spans="1:27" s="59" customFormat="1" ht="23.25" outlineLevel="1">
      <c r="A75" s="88"/>
      <c r="B75" s="89"/>
      <c r="C75" s="818"/>
      <c r="D75" s="91"/>
      <c r="E75" s="92"/>
      <c r="F75" s="818"/>
      <c r="G75" s="818"/>
      <c r="H75" s="92"/>
      <c r="I75" s="163" t="s">
        <v>651</v>
      </c>
      <c r="J75" s="94"/>
      <c r="K75" s="94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94"/>
      <c r="AA75" s="133"/>
    </row>
    <row r="76" spans="1:27" s="60" customFormat="1" ht="23.25" customHeight="1" outlineLevel="1">
      <c r="A76" s="185">
        <v>33125</v>
      </c>
      <c r="B76" s="186" t="s">
        <v>196</v>
      </c>
      <c r="C76" s="196">
        <v>40021306</v>
      </c>
      <c r="D76" s="188" t="s">
        <v>34</v>
      </c>
      <c r="E76" s="188" t="s">
        <v>57</v>
      </c>
      <c r="F76" s="811" t="s">
        <v>1269</v>
      </c>
      <c r="G76" s="187" t="s">
        <v>1484</v>
      </c>
      <c r="H76" s="188">
        <v>2020</v>
      </c>
      <c r="I76" s="832" t="s">
        <v>1348</v>
      </c>
      <c r="J76" s="833">
        <v>99346000</v>
      </c>
      <c r="K76" s="190">
        <v>0</v>
      </c>
      <c r="L76" s="197"/>
      <c r="M76" s="197"/>
      <c r="N76" s="197"/>
      <c r="O76" s="197">
        <v>0</v>
      </c>
      <c r="P76" s="197">
        <v>0</v>
      </c>
      <c r="Q76" s="197">
        <v>0</v>
      </c>
      <c r="R76" s="197"/>
      <c r="S76" s="197"/>
      <c r="T76" s="197"/>
      <c r="U76" s="197"/>
      <c r="V76" s="197"/>
      <c r="W76" s="197"/>
      <c r="X76" s="197">
        <f>SUBTOTAL(9,L76:W76)</f>
        <v>0</v>
      </c>
      <c r="Y76" s="197">
        <f>+L76+M76+N76+O76+P76+Q76+R76+S76+T76+U76+V76+W76</f>
        <v>0</v>
      </c>
      <c r="Z76" s="197">
        <f t="shared" ref="Z76" si="205">+J76-K76-Y76</f>
        <v>99346000</v>
      </c>
      <c r="AA76" s="186" t="s">
        <v>1255</v>
      </c>
    </row>
    <row r="77" spans="1:27" s="59" customFormat="1" ht="23.25" outlineLevel="1">
      <c r="A77" s="88"/>
      <c r="B77" s="89"/>
      <c r="C77" s="818"/>
      <c r="D77" s="91"/>
      <c r="E77" s="92"/>
      <c r="F77" s="818"/>
      <c r="G77" s="818"/>
      <c r="H77" s="92"/>
      <c r="I77" s="117" t="s">
        <v>699</v>
      </c>
      <c r="J77" s="118">
        <f>+J76</f>
        <v>99346000</v>
      </c>
      <c r="K77" s="118">
        <f t="shared" ref="K77" si="206">+K76</f>
        <v>0</v>
      </c>
      <c r="L77" s="118">
        <f t="shared" ref="L77" si="207">+L76</f>
        <v>0</v>
      </c>
      <c r="M77" s="118">
        <f t="shared" ref="M77" si="208">+M76</f>
        <v>0</v>
      </c>
      <c r="N77" s="118">
        <f t="shared" ref="N77" si="209">+N76</f>
        <v>0</v>
      </c>
      <c r="O77" s="118">
        <f t="shared" ref="O77" si="210">+O76</f>
        <v>0</v>
      </c>
      <c r="P77" s="118">
        <f t="shared" ref="P77" si="211">+P76</f>
        <v>0</v>
      </c>
      <c r="Q77" s="118">
        <f t="shared" ref="Q77" si="212">+Q76</f>
        <v>0</v>
      </c>
      <c r="R77" s="118">
        <f t="shared" ref="R77" si="213">+R76</f>
        <v>0</v>
      </c>
      <c r="S77" s="118">
        <f t="shared" ref="S77" si="214">+S76</f>
        <v>0</v>
      </c>
      <c r="T77" s="118">
        <f t="shared" ref="T77" si="215">+T76</f>
        <v>0</v>
      </c>
      <c r="U77" s="118">
        <f t="shared" ref="U77" si="216">+U76</f>
        <v>0</v>
      </c>
      <c r="V77" s="118">
        <f t="shared" ref="V77" si="217">+V76</f>
        <v>0</v>
      </c>
      <c r="W77" s="118">
        <f t="shared" ref="W77" si="218">+W76</f>
        <v>0</v>
      </c>
      <c r="X77" s="118">
        <f t="shared" ref="X77" si="219">+X76</f>
        <v>0</v>
      </c>
      <c r="Y77" s="118">
        <f t="shared" ref="Y77" si="220">+Y76</f>
        <v>0</v>
      </c>
      <c r="Z77" s="118">
        <f>+J77-Y77</f>
        <v>99346000</v>
      </c>
      <c r="AA77" s="135"/>
    </row>
    <row r="78" spans="1:27" s="59" customFormat="1" ht="15" outlineLevel="1">
      <c r="A78" s="88"/>
      <c r="B78" s="89"/>
      <c r="C78" s="818"/>
      <c r="D78" s="91"/>
      <c r="E78" s="92"/>
      <c r="F78" s="818"/>
      <c r="G78" s="818"/>
      <c r="H78" s="92"/>
      <c r="I78" s="130"/>
      <c r="J78" s="94"/>
      <c r="K78" s="94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94"/>
      <c r="AA78" s="133"/>
    </row>
    <row r="79" spans="1:27" s="59" customFormat="1" ht="23.25" outlineLevel="1">
      <c r="A79" s="88"/>
      <c r="B79" s="89"/>
      <c r="C79" s="818"/>
      <c r="D79" s="91"/>
      <c r="E79" s="92"/>
      <c r="F79" s="818"/>
      <c r="G79" s="818"/>
      <c r="H79" s="92"/>
      <c r="I79" s="163" t="s">
        <v>700</v>
      </c>
      <c r="J79" s="94"/>
      <c r="K79" s="94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94"/>
      <c r="AA79" s="133"/>
    </row>
    <row r="80" spans="1:27" s="60" customFormat="1" ht="23.25" customHeight="1" outlineLevel="1">
      <c r="A80" s="185">
        <v>33125</v>
      </c>
      <c r="B80" s="186" t="s">
        <v>196</v>
      </c>
      <c r="C80" s="196">
        <v>40021690</v>
      </c>
      <c r="D80" s="188" t="s">
        <v>34</v>
      </c>
      <c r="E80" s="188" t="s">
        <v>58</v>
      </c>
      <c r="F80" s="811" t="s">
        <v>1576</v>
      </c>
      <c r="G80" s="187" t="s">
        <v>1484</v>
      </c>
      <c r="H80" s="188">
        <v>2020</v>
      </c>
      <c r="I80" s="832" t="s">
        <v>1578</v>
      </c>
      <c r="J80" s="833">
        <v>99346000</v>
      </c>
      <c r="K80" s="190">
        <v>0</v>
      </c>
      <c r="L80" s="197"/>
      <c r="M80" s="197"/>
      <c r="N80" s="197"/>
      <c r="O80" s="197">
        <v>0</v>
      </c>
      <c r="P80" s="197"/>
      <c r="Q80" s="197">
        <v>0</v>
      </c>
      <c r="R80" s="197"/>
      <c r="S80" s="197"/>
      <c r="T80" s="197"/>
      <c r="U80" s="197"/>
      <c r="V80" s="197"/>
      <c r="W80" s="197"/>
      <c r="X80" s="197">
        <f>SUBTOTAL(9,L80:W80)</f>
        <v>0</v>
      </c>
      <c r="Y80" s="197">
        <f>+L80+M80+N80+O80+P80+Q80+R80+S80+T80+U80+V80+W80</f>
        <v>0</v>
      </c>
      <c r="Z80" s="197">
        <f t="shared" ref="Z80" si="221">+J80-K80-Y80</f>
        <v>99346000</v>
      </c>
      <c r="AA80" s="186" t="s">
        <v>1255</v>
      </c>
    </row>
    <row r="81" spans="1:27" s="59" customFormat="1" ht="23.25" outlineLevel="1">
      <c r="A81" s="88"/>
      <c r="B81" s="89"/>
      <c r="C81" s="818"/>
      <c r="D81" s="91"/>
      <c r="E81" s="92"/>
      <c r="F81" s="818"/>
      <c r="G81" s="818"/>
      <c r="H81" s="92"/>
      <c r="I81" s="117" t="s">
        <v>729</v>
      </c>
      <c r="J81" s="118">
        <f>+J80</f>
        <v>99346000</v>
      </c>
      <c r="K81" s="118">
        <f t="shared" ref="K81" si="222">+K80</f>
        <v>0</v>
      </c>
      <c r="L81" s="118">
        <f t="shared" ref="L81" si="223">+L80</f>
        <v>0</v>
      </c>
      <c r="M81" s="118">
        <f t="shared" ref="M81" si="224">+M80</f>
        <v>0</v>
      </c>
      <c r="N81" s="118">
        <f t="shared" ref="N81" si="225">+N80</f>
        <v>0</v>
      </c>
      <c r="O81" s="118">
        <f t="shared" ref="O81" si="226">+O80</f>
        <v>0</v>
      </c>
      <c r="P81" s="118">
        <f t="shared" ref="P81" si="227">+P80</f>
        <v>0</v>
      </c>
      <c r="Q81" s="118">
        <f t="shared" ref="Q81" si="228">+Q80</f>
        <v>0</v>
      </c>
      <c r="R81" s="118">
        <f t="shared" ref="R81" si="229">+R80</f>
        <v>0</v>
      </c>
      <c r="S81" s="118">
        <f t="shared" ref="S81" si="230">+S80</f>
        <v>0</v>
      </c>
      <c r="T81" s="118">
        <f t="shared" ref="T81" si="231">+T80</f>
        <v>0</v>
      </c>
      <c r="U81" s="118">
        <f t="shared" ref="U81" si="232">+U80</f>
        <v>0</v>
      </c>
      <c r="V81" s="118">
        <f t="shared" ref="V81" si="233">+V80</f>
        <v>0</v>
      </c>
      <c r="W81" s="118">
        <f t="shared" ref="W81" si="234">+W80</f>
        <v>0</v>
      </c>
      <c r="X81" s="118">
        <f t="shared" ref="X81" si="235">+X80</f>
        <v>0</v>
      </c>
      <c r="Y81" s="118">
        <f t="shared" ref="Y81" si="236">+Y80</f>
        <v>0</v>
      </c>
      <c r="Z81" s="118">
        <f>+J81-Y81</f>
        <v>99346000</v>
      </c>
      <c r="AA81" s="135"/>
    </row>
    <row r="82" spans="1:27" s="59" customFormat="1" ht="15" customHeight="1" outlineLevel="1">
      <c r="A82" s="88"/>
      <c r="B82" s="89"/>
      <c r="C82" s="820"/>
      <c r="D82" s="91"/>
      <c r="E82" s="92"/>
      <c r="F82" s="820"/>
      <c r="G82" s="820"/>
      <c r="H82" s="92"/>
      <c r="I82" s="130"/>
      <c r="J82" s="94"/>
      <c r="K82" s="94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94"/>
      <c r="AA82" s="133"/>
    </row>
    <row r="83" spans="1:27" s="59" customFormat="1" ht="23.25" outlineLevel="1">
      <c r="A83" s="88"/>
      <c r="B83" s="89"/>
      <c r="C83" s="818"/>
      <c r="D83" s="91"/>
      <c r="E83" s="92"/>
      <c r="F83" s="818"/>
      <c r="G83" s="818"/>
      <c r="H83" s="92"/>
      <c r="I83" s="163" t="s">
        <v>730</v>
      </c>
      <c r="J83" s="94"/>
      <c r="K83" s="94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94"/>
      <c r="AA83" s="133"/>
    </row>
    <row r="84" spans="1:27" s="69" customFormat="1" ht="23.25" customHeight="1">
      <c r="A84" s="185">
        <v>33125</v>
      </c>
      <c r="B84" s="186" t="s">
        <v>128</v>
      </c>
      <c r="C84" s="191">
        <v>40021535</v>
      </c>
      <c r="D84" s="192" t="s">
        <v>34</v>
      </c>
      <c r="E84" s="192" t="s">
        <v>59</v>
      </c>
      <c r="F84" s="811" t="s">
        <v>1288</v>
      </c>
      <c r="G84" s="187" t="s">
        <v>1484</v>
      </c>
      <c r="H84" s="188">
        <v>2020</v>
      </c>
      <c r="I84" s="193" t="s">
        <v>1355</v>
      </c>
      <c r="J84" s="194">
        <v>99300000</v>
      </c>
      <c r="K84" s="190">
        <v>0</v>
      </c>
      <c r="L84" s="197"/>
      <c r="M84" s="197"/>
      <c r="N84" s="197"/>
      <c r="O84" s="197">
        <v>0</v>
      </c>
      <c r="P84" s="197">
        <v>0</v>
      </c>
      <c r="Q84" s="197"/>
      <c r="R84" s="197"/>
      <c r="S84" s="197"/>
      <c r="T84" s="197"/>
      <c r="U84" s="197"/>
      <c r="V84" s="197"/>
      <c r="W84" s="197"/>
      <c r="X84" s="197">
        <f>SUBTOTAL(9,L84:W84)</f>
        <v>0</v>
      </c>
      <c r="Y84" s="197">
        <f>+L84+M84+N84+O84+P84+Q84+R84+S84+T84+U84+V84+W84</f>
        <v>0</v>
      </c>
      <c r="Z84" s="197">
        <f t="shared" ref="Z84" si="237">+J84-K84-Y84</f>
        <v>99300000</v>
      </c>
      <c r="AA84" s="835" t="s">
        <v>1255</v>
      </c>
    </row>
    <row r="85" spans="1:27" s="59" customFormat="1" ht="23.25" outlineLevel="1">
      <c r="A85" s="88"/>
      <c r="B85" s="89"/>
      <c r="C85" s="818"/>
      <c r="D85" s="91"/>
      <c r="E85" s="92"/>
      <c r="F85" s="818"/>
      <c r="G85" s="818"/>
      <c r="H85" s="92"/>
      <c r="I85" s="117" t="s">
        <v>762</v>
      </c>
      <c r="J85" s="118">
        <f>+J84</f>
        <v>99300000</v>
      </c>
      <c r="K85" s="118">
        <f t="shared" ref="K85" si="238">+K84</f>
        <v>0</v>
      </c>
      <c r="L85" s="118">
        <f t="shared" ref="L85" si="239">+L84</f>
        <v>0</v>
      </c>
      <c r="M85" s="118">
        <f t="shared" ref="M85" si="240">+M84</f>
        <v>0</v>
      </c>
      <c r="N85" s="118">
        <f t="shared" ref="N85" si="241">+N84</f>
        <v>0</v>
      </c>
      <c r="O85" s="118">
        <f t="shared" ref="O85" si="242">+O84</f>
        <v>0</v>
      </c>
      <c r="P85" s="118">
        <f t="shared" ref="P85" si="243">+P84</f>
        <v>0</v>
      </c>
      <c r="Q85" s="118">
        <f t="shared" ref="Q85" si="244">+Q84</f>
        <v>0</v>
      </c>
      <c r="R85" s="118">
        <f t="shared" ref="R85" si="245">+R84</f>
        <v>0</v>
      </c>
      <c r="S85" s="118">
        <f t="shared" ref="S85" si="246">+S84</f>
        <v>0</v>
      </c>
      <c r="T85" s="118">
        <f t="shared" ref="T85" si="247">+T84</f>
        <v>0</v>
      </c>
      <c r="U85" s="118">
        <f t="shared" ref="U85" si="248">+U84</f>
        <v>0</v>
      </c>
      <c r="V85" s="118">
        <f t="shared" ref="V85" si="249">+V84</f>
        <v>0</v>
      </c>
      <c r="W85" s="118">
        <f t="shared" ref="W85" si="250">+W84</f>
        <v>0</v>
      </c>
      <c r="X85" s="118">
        <f t="shared" ref="X85" si="251">+X84</f>
        <v>0</v>
      </c>
      <c r="Y85" s="118">
        <f t="shared" ref="Y85" si="252">+Y84</f>
        <v>0</v>
      </c>
      <c r="Z85" s="118">
        <f>+J85-Y85</f>
        <v>99300000</v>
      </c>
      <c r="AA85" s="135"/>
    </row>
    <row r="86" spans="1:27" s="59" customFormat="1" ht="15" customHeight="1" outlineLevel="1">
      <c r="A86" s="88"/>
      <c r="B86" s="89"/>
      <c r="C86" s="818"/>
      <c r="D86" s="91"/>
      <c r="E86" s="92"/>
      <c r="F86" s="818"/>
      <c r="G86" s="818"/>
      <c r="H86" s="92"/>
      <c r="I86" s="130"/>
      <c r="J86" s="94"/>
      <c r="K86" s="94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94"/>
      <c r="AA86" s="133"/>
    </row>
    <row r="87" spans="1:27" s="59" customFormat="1" ht="23.25" outlineLevel="1">
      <c r="A87" s="88"/>
      <c r="B87" s="89"/>
      <c r="C87" s="818"/>
      <c r="D87" s="91"/>
      <c r="E87" s="92"/>
      <c r="F87" s="818"/>
      <c r="G87" s="818"/>
      <c r="H87" s="92"/>
      <c r="I87" s="163" t="s">
        <v>763</v>
      </c>
      <c r="J87" s="94"/>
      <c r="K87" s="94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94"/>
      <c r="AA87" s="133"/>
    </row>
    <row r="88" spans="1:27" s="60" customFormat="1" ht="23.25" customHeight="1" outlineLevel="2">
      <c r="A88" s="185">
        <v>33125</v>
      </c>
      <c r="B88" s="186" t="s">
        <v>196</v>
      </c>
      <c r="C88" s="196">
        <v>40021695</v>
      </c>
      <c r="D88" s="188" t="s">
        <v>34</v>
      </c>
      <c r="E88" s="188" t="s">
        <v>60</v>
      </c>
      <c r="F88" s="811" t="s">
        <v>1288</v>
      </c>
      <c r="G88" s="187" t="s">
        <v>1484</v>
      </c>
      <c r="H88" s="188">
        <v>2020</v>
      </c>
      <c r="I88" s="834" t="s">
        <v>1361</v>
      </c>
      <c r="J88" s="190">
        <v>99346000</v>
      </c>
      <c r="K88" s="190">
        <v>0</v>
      </c>
      <c r="L88" s="197"/>
      <c r="M88" s="197"/>
      <c r="N88" s="197"/>
      <c r="O88" s="197">
        <v>0</v>
      </c>
      <c r="P88" s="197">
        <v>0</v>
      </c>
      <c r="Q88" s="197"/>
      <c r="R88" s="197"/>
      <c r="S88" s="197"/>
      <c r="T88" s="197"/>
      <c r="U88" s="197"/>
      <c r="V88" s="197"/>
      <c r="W88" s="197"/>
      <c r="X88" s="197">
        <f>SUBTOTAL(9,L88:W88)</f>
        <v>0</v>
      </c>
      <c r="Y88" s="197">
        <f>+L88+M88+N88+O88+P88+Q88+R88+S88+T88+U88+V88+W88</f>
        <v>0</v>
      </c>
      <c r="Z88" s="197">
        <f t="shared" ref="Z88" si="253">+J88-K88-Y88</f>
        <v>99346000</v>
      </c>
      <c r="AA88" s="835" t="s">
        <v>1255</v>
      </c>
    </row>
    <row r="89" spans="1:27" s="59" customFormat="1" ht="23.25" outlineLevel="1">
      <c r="A89" s="88"/>
      <c r="B89" s="89"/>
      <c r="C89" s="818"/>
      <c r="D89" s="91"/>
      <c r="E89" s="92"/>
      <c r="F89" s="818"/>
      <c r="G89" s="818"/>
      <c r="H89" s="92"/>
      <c r="I89" s="117" t="s">
        <v>1362</v>
      </c>
      <c r="J89" s="118">
        <f>+J88</f>
        <v>99346000</v>
      </c>
      <c r="K89" s="118">
        <f t="shared" ref="K89" si="254">+K88</f>
        <v>0</v>
      </c>
      <c r="L89" s="118">
        <f t="shared" ref="L89" si="255">+L88</f>
        <v>0</v>
      </c>
      <c r="M89" s="118">
        <f t="shared" ref="M89" si="256">+M88</f>
        <v>0</v>
      </c>
      <c r="N89" s="118">
        <f t="shared" ref="N89" si="257">+N88</f>
        <v>0</v>
      </c>
      <c r="O89" s="118">
        <f t="shared" ref="O89" si="258">+O88</f>
        <v>0</v>
      </c>
      <c r="P89" s="118">
        <f t="shared" ref="P89" si="259">+P88</f>
        <v>0</v>
      </c>
      <c r="Q89" s="118">
        <f t="shared" ref="Q89" si="260">+Q88</f>
        <v>0</v>
      </c>
      <c r="R89" s="118">
        <f t="shared" ref="R89" si="261">+R88</f>
        <v>0</v>
      </c>
      <c r="S89" s="118">
        <f t="shared" ref="S89" si="262">+S88</f>
        <v>0</v>
      </c>
      <c r="T89" s="118">
        <f t="shared" ref="T89" si="263">+T88</f>
        <v>0</v>
      </c>
      <c r="U89" s="118">
        <f t="shared" ref="U89" si="264">+U88</f>
        <v>0</v>
      </c>
      <c r="V89" s="118">
        <f t="shared" ref="V89" si="265">+V88</f>
        <v>0</v>
      </c>
      <c r="W89" s="118">
        <f t="shared" ref="W89" si="266">+W88</f>
        <v>0</v>
      </c>
      <c r="X89" s="118">
        <f t="shared" ref="X89" si="267">+X88</f>
        <v>0</v>
      </c>
      <c r="Y89" s="118">
        <f t="shared" ref="Y89" si="268">+Y88</f>
        <v>0</v>
      </c>
      <c r="Z89" s="118">
        <f>+J89-Y89</f>
        <v>99346000</v>
      </c>
      <c r="AA89" s="135"/>
    </row>
    <row r="90" spans="1:27" s="64" customFormat="1" ht="15" customHeight="1" outlineLevel="1">
      <c r="A90" s="88"/>
      <c r="B90" s="89"/>
      <c r="C90" s="818"/>
      <c r="D90" s="91"/>
      <c r="E90" s="92"/>
      <c r="F90" s="818"/>
      <c r="G90" s="818"/>
      <c r="H90" s="92"/>
      <c r="I90" s="130"/>
      <c r="J90" s="94"/>
      <c r="K90" s="94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94"/>
      <c r="AA90" s="133"/>
    </row>
    <row r="91" spans="1:27" s="59" customFormat="1" ht="23.25" outlineLevel="1">
      <c r="A91" s="88"/>
      <c r="B91" s="89"/>
      <c r="C91" s="818"/>
      <c r="D91" s="91"/>
      <c r="E91" s="92"/>
      <c r="F91" s="818"/>
      <c r="G91" s="818"/>
      <c r="H91" s="92"/>
      <c r="I91" s="93" t="s">
        <v>775</v>
      </c>
      <c r="J91" s="94"/>
      <c r="K91" s="94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94"/>
      <c r="AA91" s="133"/>
    </row>
    <row r="92" spans="1:27" s="69" customFormat="1" ht="23.25" customHeight="1">
      <c r="A92" s="185">
        <v>33125</v>
      </c>
      <c r="B92" s="186" t="s">
        <v>196</v>
      </c>
      <c r="C92" s="191">
        <v>40021604</v>
      </c>
      <c r="D92" s="192" t="s">
        <v>34</v>
      </c>
      <c r="E92" s="192" t="s">
        <v>61</v>
      </c>
      <c r="F92" s="811" t="s">
        <v>1269</v>
      </c>
      <c r="G92" s="187" t="s">
        <v>1484</v>
      </c>
      <c r="H92" s="188">
        <v>2020</v>
      </c>
      <c r="I92" s="193" t="s">
        <v>1366</v>
      </c>
      <c r="J92" s="194">
        <v>25000000</v>
      </c>
      <c r="K92" s="190">
        <v>0</v>
      </c>
      <c r="L92" s="197"/>
      <c r="M92" s="197"/>
      <c r="N92" s="197"/>
      <c r="O92" s="197">
        <v>0</v>
      </c>
      <c r="P92" s="197">
        <v>0</v>
      </c>
      <c r="Q92" s="197"/>
      <c r="R92" s="197"/>
      <c r="S92" s="197"/>
      <c r="T92" s="197"/>
      <c r="U92" s="197"/>
      <c r="V92" s="197"/>
      <c r="W92" s="197"/>
      <c r="X92" s="197">
        <f t="shared" ref="X92:X93" si="269">SUBTOTAL(9,L92:W92)</f>
        <v>0</v>
      </c>
      <c r="Y92" s="197">
        <f t="shared" ref="Y92:Y93" si="270">+L92+M92+N92+O92+P92+Q92+R92+S92+T92+U92+V92+W92</f>
        <v>0</v>
      </c>
      <c r="Z92" s="197">
        <f t="shared" ref="Z92:Z93" si="271">+J92-K92-Y92</f>
        <v>25000000</v>
      </c>
      <c r="AA92" s="835" t="s">
        <v>1255</v>
      </c>
    </row>
    <row r="93" spans="1:27" s="69" customFormat="1" ht="23.25" customHeight="1">
      <c r="A93" s="185">
        <v>33125</v>
      </c>
      <c r="B93" s="186" t="s">
        <v>196</v>
      </c>
      <c r="C93" s="191">
        <v>40021490</v>
      </c>
      <c r="D93" s="192" t="s">
        <v>34</v>
      </c>
      <c r="E93" s="192" t="s">
        <v>61</v>
      </c>
      <c r="F93" s="811" t="s">
        <v>1269</v>
      </c>
      <c r="G93" s="187" t="s">
        <v>1484</v>
      </c>
      <c r="H93" s="188">
        <v>2020</v>
      </c>
      <c r="I93" s="193" t="s">
        <v>1367</v>
      </c>
      <c r="J93" s="194">
        <v>75000000</v>
      </c>
      <c r="K93" s="190">
        <v>0</v>
      </c>
      <c r="L93" s="197"/>
      <c r="M93" s="197"/>
      <c r="N93" s="197"/>
      <c r="O93" s="197">
        <v>0</v>
      </c>
      <c r="P93" s="197">
        <v>0</v>
      </c>
      <c r="Q93" s="197"/>
      <c r="R93" s="197"/>
      <c r="S93" s="197"/>
      <c r="T93" s="197"/>
      <c r="U93" s="197"/>
      <c r="V93" s="197"/>
      <c r="W93" s="197"/>
      <c r="X93" s="197">
        <f t="shared" si="269"/>
        <v>0</v>
      </c>
      <c r="Y93" s="197">
        <f t="shared" si="270"/>
        <v>0</v>
      </c>
      <c r="Z93" s="197">
        <f t="shared" si="271"/>
        <v>75000000</v>
      </c>
      <c r="AA93" s="835" t="s">
        <v>1255</v>
      </c>
    </row>
    <row r="94" spans="1:27" s="59" customFormat="1" ht="23.25" outlineLevel="1">
      <c r="A94" s="88"/>
      <c r="B94" s="89"/>
      <c r="C94" s="818"/>
      <c r="D94" s="91"/>
      <c r="E94" s="92"/>
      <c r="F94" s="818"/>
      <c r="G94" s="818"/>
      <c r="H94" s="92"/>
      <c r="I94" s="117" t="s">
        <v>798</v>
      </c>
      <c r="J94" s="118">
        <f>+J93+J92</f>
        <v>100000000</v>
      </c>
      <c r="K94" s="118">
        <f t="shared" ref="K94:Y94" si="272">+K93+K92</f>
        <v>0</v>
      </c>
      <c r="L94" s="118">
        <f t="shared" si="272"/>
        <v>0</v>
      </c>
      <c r="M94" s="118">
        <f t="shared" si="272"/>
        <v>0</v>
      </c>
      <c r="N94" s="118">
        <f t="shared" si="272"/>
        <v>0</v>
      </c>
      <c r="O94" s="118">
        <f t="shared" si="272"/>
        <v>0</v>
      </c>
      <c r="P94" s="118">
        <f t="shared" si="272"/>
        <v>0</v>
      </c>
      <c r="Q94" s="118">
        <f t="shared" si="272"/>
        <v>0</v>
      </c>
      <c r="R94" s="118">
        <f t="shared" si="272"/>
        <v>0</v>
      </c>
      <c r="S94" s="118">
        <f t="shared" si="272"/>
        <v>0</v>
      </c>
      <c r="T94" s="118">
        <f t="shared" si="272"/>
        <v>0</v>
      </c>
      <c r="U94" s="118">
        <f t="shared" si="272"/>
        <v>0</v>
      </c>
      <c r="V94" s="118">
        <f t="shared" si="272"/>
        <v>0</v>
      </c>
      <c r="W94" s="118">
        <f t="shared" si="272"/>
        <v>0</v>
      </c>
      <c r="X94" s="118">
        <f t="shared" si="272"/>
        <v>0</v>
      </c>
      <c r="Y94" s="118">
        <f t="shared" si="272"/>
        <v>0</v>
      </c>
      <c r="Z94" s="118">
        <f>+J94-Y94</f>
        <v>100000000</v>
      </c>
      <c r="AA94" s="135"/>
    </row>
    <row r="95" spans="1:27" s="64" customFormat="1" ht="15" customHeight="1" outlineLevel="1">
      <c r="A95" s="88"/>
      <c r="B95" s="89"/>
      <c r="C95" s="818"/>
      <c r="D95" s="91"/>
      <c r="E95" s="92"/>
      <c r="F95" s="818"/>
      <c r="G95" s="818"/>
      <c r="H95" s="92"/>
      <c r="I95" s="130"/>
      <c r="J95" s="94"/>
      <c r="K95" s="94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94"/>
      <c r="AA95" s="133"/>
    </row>
    <row r="96" spans="1:27" s="59" customFormat="1" ht="23.25" outlineLevel="1">
      <c r="A96" s="88"/>
      <c r="B96" s="89"/>
      <c r="C96" s="818"/>
      <c r="D96" s="91"/>
      <c r="E96" s="92"/>
      <c r="F96" s="818"/>
      <c r="G96" s="818"/>
      <c r="H96" s="92"/>
      <c r="I96" s="93" t="s">
        <v>799</v>
      </c>
      <c r="J96" s="94"/>
      <c r="K96" s="94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94"/>
      <c r="AA96" s="133"/>
    </row>
    <row r="97" spans="1:27" s="60" customFormat="1" ht="23.25" customHeight="1" outlineLevel="2">
      <c r="A97" s="185">
        <v>33125</v>
      </c>
      <c r="B97" s="186" t="s">
        <v>196</v>
      </c>
      <c r="C97" s="838">
        <v>30395772</v>
      </c>
      <c r="D97" s="188" t="s">
        <v>34</v>
      </c>
      <c r="E97" s="188" t="s">
        <v>62</v>
      </c>
      <c r="F97" s="811" t="s">
        <v>1253</v>
      </c>
      <c r="G97" s="187" t="s">
        <v>1484</v>
      </c>
      <c r="H97" s="188">
        <v>2020</v>
      </c>
      <c r="I97" s="839" t="s">
        <v>1370</v>
      </c>
      <c r="J97" s="844">
        <v>99345999</v>
      </c>
      <c r="K97" s="190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f>SUBTOTAL(9,L97:W97)</f>
        <v>0</v>
      </c>
      <c r="Y97" s="197">
        <f>+L97+M97+N97+O97+P97+Q97+R97+S97+T97+U97+V97+W97</f>
        <v>0</v>
      </c>
      <c r="Z97" s="197">
        <f t="shared" ref="Z97" si="273">+J97-K97-Y97</f>
        <v>99345999</v>
      </c>
      <c r="AA97" s="186" t="s">
        <v>1255</v>
      </c>
    </row>
    <row r="98" spans="1:27" s="59" customFormat="1" ht="23.25" outlineLevel="1">
      <c r="A98" s="88"/>
      <c r="B98" s="89"/>
      <c r="C98" s="818"/>
      <c r="D98" s="91"/>
      <c r="E98" s="92"/>
      <c r="F98" s="818"/>
      <c r="G98" s="818"/>
      <c r="H98" s="92"/>
      <c r="I98" s="117" t="s">
        <v>809</v>
      </c>
      <c r="J98" s="118">
        <f>+J97</f>
        <v>99345999</v>
      </c>
      <c r="K98" s="118">
        <f t="shared" ref="K98" si="274">+K97</f>
        <v>0</v>
      </c>
      <c r="L98" s="118">
        <f t="shared" ref="L98" si="275">+L97</f>
        <v>0</v>
      </c>
      <c r="M98" s="118">
        <f t="shared" ref="M98" si="276">+M97</f>
        <v>0</v>
      </c>
      <c r="N98" s="118">
        <f t="shared" ref="N98" si="277">+N97</f>
        <v>0</v>
      </c>
      <c r="O98" s="118">
        <f t="shared" ref="O98" si="278">+O97</f>
        <v>0</v>
      </c>
      <c r="P98" s="118">
        <f t="shared" ref="P98" si="279">+P97</f>
        <v>0</v>
      </c>
      <c r="Q98" s="118">
        <f t="shared" ref="Q98" si="280">+Q97</f>
        <v>0</v>
      </c>
      <c r="R98" s="118">
        <f t="shared" ref="R98" si="281">+R97</f>
        <v>0</v>
      </c>
      <c r="S98" s="118">
        <f t="shared" ref="S98" si="282">+S97</f>
        <v>0</v>
      </c>
      <c r="T98" s="118">
        <f t="shared" ref="T98" si="283">+T97</f>
        <v>0</v>
      </c>
      <c r="U98" s="118">
        <f t="shared" ref="U98" si="284">+U97</f>
        <v>0</v>
      </c>
      <c r="V98" s="118">
        <f t="shared" ref="V98" si="285">+V97</f>
        <v>0</v>
      </c>
      <c r="W98" s="118">
        <f t="shared" ref="W98" si="286">+W97</f>
        <v>0</v>
      </c>
      <c r="X98" s="118">
        <f t="shared" ref="X98" si="287">+X97</f>
        <v>0</v>
      </c>
      <c r="Y98" s="118">
        <f t="shared" ref="Y98" si="288">+Y97</f>
        <v>0</v>
      </c>
      <c r="Z98" s="118">
        <f>+J98-Y98</f>
        <v>99345999</v>
      </c>
      <c r="AA98" s="135"/>
    </row>
    <row r="99" spans="1:27" s="64" customFormat="1" ht="15" customHeight="1" outlineLevel="1">
      <c r="A99" s="88"/>
      <c r="B99" s="89"/>
      <c r="C99" s="818"/>
      <c r="D99" s="91"/>
      <c r="E99" s="92"/>
      <c r="F99" s="818"/>
      <c r="G99" s="818"/>
      <c r="H99" s="92"/>
      <c r="I99" s="130"/>
      <c r="J99" s="94"/>
      <c r="K99" s="94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94"/>
      <c r="AA99" s="133"/>
    </row>
    <row r="100" spans="1:27" s="59" customFormat="1" ht="23.25" outlineLevel="1">
      <c r="A100" s="88"/>
      <c r="B100" s="89"/>
      <c r="C100" s="818"/>
      <c r="D100" s="91"/>
      <c r="E100" s="92"/>
      <c r="F100" s="818"/>
      <c r="G100" s="818"/>
      <c r="H100" s="92"/>
      <c r="I100" s="93" t="s">
        <v>810</v>
      </c>
      <c r="J100" s="94"/>
      <c r="K100" s="94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94"/>
      <c r="AA100" s="133"/>
    </row>
    <row r="101" spans="1:27" s="60" customFormat="1" ht="23.25" customHeight="1" outlineLevel="2">
      <c r="A101" s="185">
        <v>33125</v>
      </c>
      <c r="B101" s="186" t="s">
        <v>128</v>
      </c>
      <c r="C101" s="187">
        <v>40021372</v>
      </c>
      <c r="D101" s="188" t="s">
        <v>34</v>
      </c>
      <c r="E101" s="188" t="s">
        <v>63</v>
      </c>
      <c r="F101" s="187" t="s">
        <v>1288</v>
      </c>
      <c r="G101" s="187" t="s">
        <v>1484</v>
      </c>
      <c r="H101" s="188">
        <v>2020</v>
      </c>
      <c r="I101" s="834" t="s">
        <v>1374</v>
      </c>
      <c r="J101" s="190">
        <v>50000000</v>
      </c>
      <c r="K101" s="190">
        <v>0</v>
      </c>
      <c r="L101" s="197"/>
      <c r="M101" s="197"/>
      <c r="N101" s="197"/>
      <c r="O101" s="197">
        <v>0</v>
      </c>
      <c r="P101" s="197">
        <v>0</v>
      </c>
      <c r="Q101" s="197"/>
      <c r="R101" s="197"/>
      <c r="S101" s="197"/>
      <c r="T101" s="197"/>
      <c r="U101" s="197"/>
      <c r="V101" s="197"/>
      <c r="W101" s="197"/>
      <c r="X101" s="197">
        <f t="shared" ref="X101:X102" si="289">SUBTOTAL(9,L101:W101)</f>
        <v>0</v>
      </c>
      <c r="Y101" s="197">
        <f t="shared" ref="Y101:Y102" si="290">+L101+M101+N101+O101+P101+Q101+R101+S101+T101+U101+V101+W101</f>
        <v>0</v>
      </c>
      <c r="Z101" s="197">
        <f t="shared" ref="Z101:Z102" si="291">+J101-K101-Y101</f>
        <v>50000000</v>
      </c>
      <c r="AA101" s="835" t="s">
        <v>1255</v>
      </c>
    </row>
    <row r="102" spans="1:27" s="60" customFormat="1" ht="23.25" customHeight="1" outlineLevel="2">
      <c r="A102" s="185">
        <v>33125</v>
      </c>
      <c r="B102" s="186" t="s">
        <v>128</v>
      </c>
      <c r="C102" s="187">
        <v>40021371</v>
      </c>
      <c r="D102" s="188" t="s">
        <v>34</v>
      </c>
      <c r="E102" s="188" t="s">
        <v>63</v>
      </c>
      <c r="F102" s="187" t="s">
        <v>1288</v>
      </c>
      <c r="G102" s="187" t="s">
        <v>1484</v>
      </c>
      <c r="H102" s="188">
        <v>2020</v>
      </c>
      <c r="I102" s="834" t="s">
        <v>1375</v>
      </c>
      <c r="J102" s="190">
        <v>50000000</v>
      </c>
      <c r="K102" s="190">
        <v>0</v>
      </c>
      <c r="L102" s="197"/>
      <c r="M102" s="197"/>
      <c r="N102" s="197"/>
      <c r="O102" s="197">
        <v>0</v>
      </c>
      <c r="P102" s="197">
        <v>0</v>
      </c>
      <c r="Q102" s="197"/>
      <c r="R102" s="197"/>
      <c r="S102" s="197"/>
      <c r="T102" s="197"/>
      <c r="U102" s="197"/>
      <c r="V102" s="197"/>
      <c r="W102" s="197"/>
      <c r="X102" s="197">
        <f t="shared" si="289"/>
        <v>0</v>
      </c>
      <c r="Y102" s="197">
        <f t="shared" si="290"/>
        <v>0</v>
      </c>
      <c r="Z102" s="197">
        <f t="shared" si="291"/>
        <v>50000000</v>
      </c>
      <c r="AA102" s="835" t="s">
        <v>1255</v>
      </c>
    </row>
    <row r="103" spans="1:27" s="59" customFormat="1" ht="23.25" outlineLevel="1">
      <c r="A103" s="88"/>
      <c r="B103" s="89"/>
      <c r="C103" s="818"/>
      <c r="D103" s="91"/>
      <c r="E103" s="92"/>
      <c r="F103" s="818"/>
      <c r="G103" s="818"/>
      <c r="H103" s="92"/>
      <c r="I103" s="117" t="s">
        <v>827</v>
      </c>
      <c r="J103" s="118">
        <f>+J102+J101</f>
        <v>100000000</v>
      </c>
      <c r="K103" s="118">
        <f t="shared" ref="K103" si="292">+K102+K101</f>
        <v>0</v>
      </c>
      <c r="L103" s="118">
        <f t="shared" ref="L103" si="293">+L102+L101</f>
        <v>0</v>
      </c>
      <c r="M103" s="118">
        <f t="shared" ref="M103" si="294">+M102+M101</f>
        <v>0</v>
      </c>
      <c r="N103" s="118">
        <f t="shared" ref="N103" si="295">+N102+N101</f>
        <v>0</v>
      </c>
      <c r="O103" s="118">
        <f t="shared" ref="O103" si="296">+O102+O101</f>
        <v>0</v>
      </c>
      <c r="P103" s="118">
        <f t="shared" ref="P103" si="297">+P102+P101</f>
        <v>0</v>
      </c>
      <c r="Q103" s="118">
        <f t="shared" ref="Q103" si="298">+Q102+Q101</f>
        <v>0</v>
      </c>
      <c r="R103" s="118">
        <f t="shared" ref="R103" si="299">+R102+R101</f>
        <v>0</v>
      </c>
      <c r="S103" s="118">
        <f t="shared" ref="S103" si="300">+S102+S101</f>
        <v>0</v>
      </c>
      <c r="T103" s="118">
        <f t="shared" ref="T103" si="301">+T102+T101</f>
        <v>0</v>
      </c>
      <c r="U103" s="118">
        <f t="shared" ref="U103" si="302">+U102+U101</f>
        <v>0</v>
      </c>
      <c r="V103" s="118">
        <f t="shared" ref="V103" si="303">+V102+V101</f>
        <v>0</v>
      </c>
      <c r="W103" s="118">
        <f t="shared" ref="W103" si="304">+W102+W101</f>
        <v>0</v>
      </c>
      <c r="X103" s="118">
        <f t="shared" ref="X103" si="305">+X102+X101</f>
        <v>0</v>
      </c>
      <c r="Y103" s="118">
        <f t="shared" ref="Y103" si="306">+Y102+Y101</f>
        <v>0</v>
      </c>
      <c r="Z103" s="118">
        <f>+J103-Y103</f>
        <v>100000000</v>
      </c>
      <c r="AA103" s="135"/>
    </row>
    <row r="104" spans="1:27" s="64" customFormat="1" ht="15" outlineLevel="1">
      <c r="A104" s="88"/>
      <c r="B104" s="89"/>
      <c r="C104" s="818"/>
      <c r="D104" s="91"/>
      <c r="E104" s="92"/>
      <c r="F104" s="818"/>
      <c r="G104" s="818"/>
      <c r="H104" s="92"/>
      <c r="I104" s="130"/>
      <c r="J104" s="94"/>
      <c r="K104" s="94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94"/>
      <c r="AA104" s="133"/>
    </row>
    <row r="105" spans="1:27" s="59" customFormat="1" ht="23.25" outlineLevel="1">
      <c r="A105" s="88"/>
      <c r="B105" s="89"/>
      <c r="C105" s="818"/>
      <c r="D105" s="91"/>
      <c r="E105" s="92"/>
      <c r="F105" s="818"/>
      <c r="G105" s="818"/>
      <c r="H105" s="92"/>
      <c r="I105" s="93" t="s">
        <v>828</v>
      </c>
      <c r="J105" s="94"/>
      <c r="K105" s="94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94"/>
      <c r="AA105" s="184"/>
    </row>
    <row r="106" spans="1:27" s="60" customFormat="1" ht="23.25" customHeight="1" outlineLevel="2">
      <c r="A106" s="185">
        <v>33125</v>
      </c>
      <c r="B106" s="186" t="s">
        <v>196</v>
      </c>
      <c r="C106" s="187">
        <v>40021119</v>
      </c>
      <c r="D106" s="188" t="s">
        <v>34</v>
      </c>
      <c r="E106" s="188" t="s">
        <v>64</v>
      </c>
      <c r="F106" s="811" t="s">
        <v>1253</v>
      </c>
      <c r="G106" s="187" t="s">
        <v>1484</v>
      </c>
      <c r="H106" s="188">
        <v>2020</v>
      </c>
      <c r="I106" s="834" t="s">
        <v>1379</v>
      </c>
      <c r="J106" s="190">
        <v>99346000</v>
      </c>
      <c r="K106" s="190">
        <v>0</v>
      </c>
      <c r="L106" s="197">
        <v>0</v>
      </c>
      <c r="M106" s="197">
        <v>0</v>
      </c>
      <c r="N106" s="197">
        <v>0</v>
      </c>
      <c r="O106" s="197">
        <v>0</v>
      </c>
      <c r="P106" s="197">
        <v>0</v>
      </c>
      <c r="Q106" s="197">
        <v>0</v>
      </c>
      <c r="R106" s="197">
        <v>0</v>
      </c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>
        <f>SUBTOTAL(9,L106:W106)</f>
        <v>0</v>
      </c>
      <c r="Y106" s="197">
        <f>+L106+M106+N106+O106+P106+Q106+R106+S106+T106+U106+V106+W106</f>
        <v>0</v>
      </c>
      <c r="Z106" s="197">
        <f t="shared" ref="Z106" si="307">+J106-K106-Y106</f>
        <v>99346000</v>
      </c>
      <c r="AA106" s="186" t="s">
        <v>1255</v>
      </c>
    </row>
    <row r="107" spans="1:27" s="59" customFormat="1" ht="23.25" outlineLevel="1">
      <c r="A107" s="88"/>
      <c r="B107" s="89"/>
      <c r="C107" s="818"/>
      <c r="D107" s="91"/>
      <c r="E107" s="92"/>
      <c r="F107" s="818"/>
      <c r="G107" s="818"/>
      <c r="H107" s="92"/>
      <c r="I107" s="117" t="s">
        <v>860</v>
      </c>
      <c r="J107" s="118">
        <f>+J106</f>
        <v>99346000</v>
      </c>
      <c r="K107" s="118">
        <f t="shared" ref="K107" si="308">+K106</f>
        <v>0</v>
      </c>
      <c r="L107" s="118">
        <f t="shared" ref="L107" si="309">+L106</f>
        <v>0</v>
      </c>
      <c r="M107" s="118">
        <f t="shared" ref="M107" si="310">+M106</f>
        <v>0</v>
      </c>
      <c r="N107" s="118">
        <f t="shared" ref="N107" si="311">+N106</f>
        <v>0</v>
      </c>
      <c r="O107" s="118">
        <f t="shared" ref="O107" si="312">+O106</f>
        <v>0</v>
      </c>
      <c r="P107" s="118">
        <f t="shared" ref="P107" si="313">+P106</f>
        <v>0</v>
      </c>
      <c r="Q107" s="118">
        <f t="shared" ref="Q107" si="314">+Q106</f>
        <v>0</v>
      </c>
      <c r="R107" s="118">
        <f t="shared" ref="R107" si="315">+R106</f>
        <v>0</v>
      </c>
      <c r="S107" s="118">
        <f t="shared" ref="S107" si="316">+S106</f>
        <v>0</v>
      </c>
      <c r="T107" s="118">
        <f t="shared" ref="T107" si="317">+T106</f>
        <v>0</v>
      </c>
      <c r="U107" s="118">
        <f t="shared" ref="U107" si="318">+U106</f>
        <v>0</v>
      </c>
      <c r="V107" s="118">
        <f t="shared" ref="V107" si="319">+V106</f>
        <v>0</v>
      </c>
      <c r="W107" s="118">
        <f t="shared" ref="W107" si="320">+W106</f>
        <v>0</v>
      </c>
      <c r="X107" s="118">
        <f t="shared" ref="X107" si="321">+X106</f>
        <v>0</v>
      </c>
      <c r="Y107" s="118">
        <f t="shared" ref="Y107" si="322">+Y106</f>
        <v>0</v>
      </c>
      <c r="Z107" s="118">
        <f>+J107-Y107</f>
        <v>99346000</v>
      </c>
      <c r="AA107" s="135"/>
    </row>
    <row r="108" spans="1:27" s="64" customFormat="1" ht="15" outlineLevel="1">
      <c r="A108" s="88"/>
      <c r="B108" s="89"/>
      <c r="C108" s="818"/>
      <c r="D108" s="91"/>
      <c r="E108" s="92"/>
      <c r="F108" s="818"/>
      <c r="G108" s="818"/>
      <c r="H108" s="92"/>
      <c r="I108" s="130"/>
      <c r="J108" s="94"/>
      <c r="K108" s="94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94"/>
      <c r="AA108" s="133"/>
    </row>
    <row r="109" spans="1:27" s="59" customFormat="1" ht="23.25" outlineLevel="1">
      <c r="A109" s="88"/>
      <c r="B109" s="89"/>
      <c r="C109" s="818"/>
      <c r="D109" s="91"/>
      <c r="E109" s="92"/>
      <c r="F109" s="818"/>
      <c r="G109" s="818"/>
      <c r="H109" s="92"/>
      <c r="I109" s="93" t="s">
        <v>861</v>
      </c>
      <c r="J109" s="94"/>
      <c r="K109" s="94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94"/>
      <c r="AA109" s="184"/>
    </row>
    <row r="110" spans="1:27" s="60" customFormat="1" ht="23.25" customHeight="1" outlineLevel="2">
      <c r="A110" s="185">
        <v>33125</v>
      </c>
      <c r="B110" s="186" t="s">
        <v>128</v>
      </c>
      <c r="C110" s="187">
        <v>40021606</v>
      </c>
      <c r="D110" s="188" t="s">
        <v>34</v>
      </c>
      <c r="E110" s="188" t="s">
        <v>65</v>
      </c>
      <c r="F110" s="811" t="s">
        <v>1288</v>
      </c>
      <c r="G110" s="811" t="s">
        <v>1484</v>
      </c>
      <c r="H110" s="188">
        <v>2020</v>
      </c>
      <c r="I110" s="189" t="s">
        <v>1384</v>
      </c>
      <c r="J110" s="190">
        <v>99342874</v>
      </c>
      <c r="K110" s="190">
        <v>0</v>
      </c>
      <c r="L110" s="197"/>
      <c r="M110" s="197"/>
      <c r="N110" s="197"/>
      <c r="O110" s="197">
        <v>0</v>
      </c>
      <c r="P110" s="197">
        <v>0</v>
      </c>
      <c r="Q110" s="197"/>
      <c r="R110" s="197"/>
      <c r="S110" s="197"/>
      <c r="T110" s="197"/>
      <c r="U110" s="197"/>
      <c r="V110" s="197"/>
      <c r="W110" s="197"/>
      <c r="X110" s="197">
        <f>SUBTOTAL(9,L110:W110)</f>
        <v>0</v>
      </c>
      <c r="Y110" s="197">
        <f>+L110+M110+N110+O110+P110+Q110+R110+S110+T110+U110+V110+W110</f>
        <v>0</v>
      </c>
      <c r="Z110" s="197">
        <f t="shared" ref="Z110" si="323">+J110-K110-Y110</f>
        <v>99342874</v>
      </c>
      <c r="AA110" s="186" t="s">
        <v>1255</v>
      </c>
    </row>
    <row r="111" spans="1:27" s="59" customFormat="1" ht="23.25" outlineLevel="1">
      <c r="A111" s="88"/>
      <c r="B111" s="89"/>
      <c r="C111" s="818"/>
      <c r="D111" s="91"/>
      <c r="E111" s="92"/>
      <c r="F111" s="818"/>
      <c r="G111" s="818"/>
      <c r="H111" s="92"/>
      <c r="I111" s="117" t="s">
        <v>891</v>
      </c>
      <c r="J111" s="118">
        <f>+J110</f>
        <v>99342874</v>
      </c>
      <c r="K111" s="118">
        <f t="shared" ref="K111" si="324">+K110</f>
        <v>0</v>
      </c>
      <c r="L111" s="118">
        <f t="shared" ref="L111" si="325">+L110</f>
        <v>0</v>
      </c>
      <c r="M111" s="118">
        <f t="shared" ref="M111" si="326">+M110</f>
        <v>0</v>
      </c>
      <c r="N111" s="118">
        <f t="shared" ref="N111" si="327">+N110</f>
        <v>0</v>
      </c>
      <c r="O111" s="118">
        <f t="shared" ref="O111" si="328">+O110</f>
        <v>0</v>
      </c>
      <c r="P111" s="118">
        <f t="shared" ref="P111" si="329">+P110</f>
        <v>0</v>
      </c>
      <c r="Q111" s="118">
        <f t="shared" ref="Q111" si="330">+Q110</f>
        <v>0</v>
      </c>
      <c r="R111" s="118">
        <f t="shared" ref="R111" si="331">+R110</f>
        <v>0</v>
      </c>
      <c r="S111" s="118">
        <f t="shared" ref="S111" si="332">+S110</f>
        <v>0</v>
      </c>
      <c r="T111" s="118">
        <f t="shared" ref="T111" si="333">+T110</f>
        <v>0</v>
      </c>
      <c r="U111" s="118">
        <f t="shared" ref="U111" si="334">+U110</f>
        <v>0</v>
      </c>
      <c r="V111" s="118">
        <f t="shared" ref="V111" si="335">+V110</f>
        <v>0</v>
      </c>
      <c r="W111" s="118">
        <f t="shared" ref="W111" si="336">+W110</f>
        <v>0</v>
      </c>
      <c r="X111" s="118">
        <f t="shared" ref="X111" si="337">+X110</f>
        <v>0</v>
      </c>
      <c r="Y111" s="118">
        <f t="shared" ref="Y111" si="338">+Y110</f>
        <v>0</v>
      </c>
      <c r="Z111" s="118">
        <f>+J111-Y111</f>
        <v>99342874</v>
      </c>
      <c r="AA111" s="135"/>
    </row>
    <row r="112" spans="1:27" s="64" customFormat="1" ht="15" customHeight="1" outlineLevel="1">
      <c r="A112" s="88"/>
      <c r="B112" s="89"/>
      <c r="C112" s="818"/>
      <c r="D112" s="91"/>
      <c r="E112" s="92"/>
      <c r="F112" s="818"/>
      <c r="G112" s="818"/>
      <c r="H112" s="92"/>
      <c r="I112" s="130"/>
      <c r="J112" s="94"/>
      <c r="K112" s="94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94"/>
      <c r="AA112" s="133"/>
    </row>
    <row r="113" spans="1:27" s="64" customFormat="1" ht="23.25" outlineLevel="1">
      <c r="A113" s="88"/>
      <c r="B113" s="89"/>
      <c r="C113" s="818"/>
      <c r="D113" s="91"/>
      <c r="E113" s="92"/>
      <c r="F113" s="818"/>
      <c r="G113" s="818"/>
      <c r="H113" s="92"/>
      <c r="I113" s="93" t="s">
        <v>892</v>
      </c>
      <c r="J113" s="94"/>
      <c r="K113" s="94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94"/>
      <c r="AA113" s="133"/>
    </row>
    <row r="114" spans="1:27" s="69" customFormat="1" ht="23.25" customHeight="1">
      <c r="A114" s="185">
        <v>33125</v>
      </c>
      <c r="B114" s="186" t="s">
        <v>128</v>
      </c>
      <c r="C114" s="191">
        <v>40021537</v>
      </c>
      <c r="D114" s="192" t="s">
        <v>34</v>
      </c>
      <c r="E114" s="192" t="s">
        <v>66</v>
      </c>
      <c r="F114" s="187" t="s">
        <v>1288</v>
      </c>
      <c r="G114" s="811" t="s">
        <v>1484</v>
      </c>
      <c r="H114" s="188">
        <v>2020</v>
      </c>
      <c r="I114" s="193" t="s">
        <v>1388</v>
      </c>
      <c r="J114" s="194">
        <v>100000000</v>
      </c>
      <c r="K114" s="190">
        <v>0</v>
      </c>
      <c r="L114" s="197"/>
      <c r="M114" s="197"/>
      <c r="N114" s="197"/>
      <c r="O114" s="197">
        <v>0</v>
      </c>
      <c r="P114" s="197">
        <v>0</v>
      </c>
      <c r="Q114" s="197"/>
      <c r="R114" s="197"/>
      <c r="S114" s="197"/>
      <c r="T114" s="197"/>
      <c r="U114" s="197"/>
      <c r="V114" s="197"/>
      <c r="W114" s="197"/>
      <c r="X114" s="197">
        <f>SUBTOTAL(9,L114:W114)</f>
        <v>0</v>
      </c>
      <c r="Y114" s="197">
        <f>+L114+M114+N114+O114+P114+Q114+R114+S114+T114+U114+V114+W114</f>
        <v>0</v>
      </c>
      <c r="Z114" s="197">
        <f t="shared" ref="Z114" si="339">+J114-K114-Y114</f>
        <v>100000000</v>
      </c>
      <c r="AA114" s="186" t="s">
        <v>1255</v>
      </c>
    </row>
    <row r="115" spans="1:27" s="59" customFormat="1" ht="23.25" outlineLevel="1">
      <c r="A115" s="88"/>
      <c r="B115" s="89"/>
      <c r="C115" s="818"/>
      <c r="D115" s="91"/>
      <c r="E115" s="92"/>
      <c r="F115" s="818"/>
      <c r="G115" s="818"/>
      <c r="H115" s="92"/>
      <c r="I115" s="117" t="s">
        <v>910</v>
      </c>
      <c r="J115" s="118">
        <f>+J114</f>
        <v>100000000</v>
      </c>
      <c r="K115" s="118">
        <f t="shared" ref="K115" si="340">+K114</f>
        <v>0</v>
      </c>
      <c r="L115" s="118">
        <f t="shared" ref="L115" si="341">+L114</f>
        <v>0</v>
      </c>
      <c r="M115" s="118">
        <f t="shared" ref="M115" si="342">+M114</f>
        <v>0</v>
      </c>
      <c r="N115" s="118">
        <f t="shared" ref="N115" si="343">+N114</f>
        <v>0</v>
      </c>
      <c r="O115" s="118">
        <f t="shared" ref="O115" si="344">+O114</f>
        <v>0</v>
      </c>
      <c r="P115" s="118">
        <f t="shared" ref="P115" si="345">+P114</f>
        <v>0</v>
      </c>
      <c r="Q115" s="118">
        <f t="shared" ref="Q115" si="346">+Q114</f>
        <v>0</v>
      </c>
      <c r="R115" s="118">
        <f t="shared" ref="R115" si="347">+R114</f>
        <v>0</v>
      </c>
      <c r="S115" s="118">
        <f t="shared" ref="S115" si="348">+S114</f>
        <v>0</v>
      </c>
      <c r="T115" s="118">
        <f t="shared" ref="T115" si="349">+T114</f>
        <v>0</v>
      </c>
      <c r="U115" s="118">
        <f t="shared" ref="U115" si="350">+U114</f>
        <v>0</v>
      </c>
      <c r="V115" s="118">
        <f t="shared" ref="V115" si="351">+V114</f>
        <v>0</v>
      </c>
      <c r="W115" s="118">
        <f t="shared" ref="W115" si="352">+W114</f>
        <v>0</v>
      </c>
      <c r="X115" s="118">
        <f t="shared" ref="X115" si="353">+X114</f>
        <v>0</v>
      </c>
      <c r="Y115" s="118">
        <f t="shared" ref="Y115" si="354">+Y114</f>
        <v>0</v>
      </c>
      <c r="Z115" s="118">
        <f>+J115-Y115</f>
        <v>100000000</v>
      </c>
      <c r="AA115" s="135"/>
    </row>
    <row r="116" spans="1:27" s="64" customFormat="1" ht="15" customHeight="1" outlineLevel="1">
      <c r="A116" s="88"/>
      <c r="B116" s="89"/>
      <c r="C116" s="818"/>
      <c r="D116" s="91"/>
      <c r="E116" s="92"/>
      <c r="F116" s="818"/>
      <c r="G116" s="818"/>
      <c r="H116" s="92"/>
      <c r="I116" s="130"/>
      <c r="J116" s="94"/>
      <c r="K116" s="94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94"/>
      <c r="AA116" s="133"/>
    </row>
    <row r="117" spans="1:27" s="60" customFormat="1" ht="24.75" customHeight="1" outlineLevel="1">
      <c r="A117" s="140"/>
      <c r="B117" s="141"/>
      <c r="C117" s="819"/>
      <c r="D117" s="143"/>
      <c r="E117" s="144"/>
      <c r="F117" s="819"/>
      <c r="G117" s="819"/>
      <c r="H117" s="144"/>
      <c r="I117" s="145" t="s">
        <v>934</v>
      </c>
      <c r="J117" s="146">
        <f>+J77+J81+J85+J89+J94+J98+J103+J107+J111+J115</f>
        <v>995372873</v>
      </c>
      <c r="K117" s="146">
        <f>+K77+K81+K85+K89+K94+K98+K103+K107+K111+K115</f>
        <v>0</v>
      </c>
      <c r="L117" s="146">
        <f>+L77+L81+L85+L89+L94+L98+L103+L107+L111+L115</f>
        <v>0</v>
      </c>
      <c r="M117" s="146">
        <f>+M77+M81+M85+M89+M94+M98+M103+M107+M111+M115</f>
        <v>0</v>
      </c>
      <c r="N117" s="146">
        <f>+N77+N81+N85+N89+N94+N98+N103+N107+N111+N115</f>
        <v>0</v>
      </c>
      <c r="O117" s="146">
        <v>222515242</v>
      </c>
      <c r="P117" s="146">
        <v>51902701</v>
      </c>
      <c r="Q117" s="146">
        <f t="shared" ref="Q117:Z117" si="355">+Q77+Q81+Q85+Q89+Q94+Q98+Q103+Q107+Q111+Q115</f>
        <v>0</v>
      </c>
      <c r="R117" s="146">
        <f t="shared" si="355"/>
        <v>0</v>
      </c>
      <c r="S117" s="146">
        <f t="shared" si="355"/>
        <v>0</v>
      </c>
      <c r="T117" s="146">
        <f t="shared" si="355"/>
        <v>0</v>
      </c>
      <c r="U117" s="146">
        <f t="shared" si="355"/>
        <v>0</v>
      </c>
      <c r="V117" s="146">
        <f t="shared" si="355"/>
        <v>0</v>
      </c>
      <c r="W117" s="146">
        <f t="shared" si="355"/>
        <v>0</v>
      </c>
      <c r="X117" s="146">
        <f t="shared" si="355"/>
        <v>0</v>
      </c>
      <c r="Y117" s="146">
        <f t="shared" si="355"/>
        <v>0</v>
      </c>
      <c r="Z117" s="146">
        <f t="shared" si="355"/>
        <v>995372873</v>
      </c>
      <c r="AA117" s="159"/>
    </row>
    <row r="118" spans="1:27" s="64" customFormat="1" ht="15" customHeight="1" outlineLevel="1">
      <c r="A118" s="88"/>
      <c r="B118" s="89"/>
      <c r="C118" s="818"/>
      <c r="D118" s="91"/>
      <c r="E118" s="92"/>
      <c r="F118" s="818"/>
      <c r="G118" s="818"/>
      <c r="H118" s="92"/>
      <c r="I118" s="130"/>
      <c r="J118" s="94"/>
      <c r="K118" s="94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94"/>
      <c r="AA118" s="133"/>
    </row>
    <row r="119" spans="1:27" s="59" customFormat="1" ht="23.25" outlineLevel="1">
      <c r="A119" s="88"/>
      <c r="B119" s="89"/>
      <c r="C119" s="818"/>
      <c r="D119" s="91"/>
      <c r="E119" s="92"/>
      <c r="F119" s="818"/>
      <c r="G119" s="818"/>
      <c r="H119" s="92"/>
      <c r="I119" s="93" t="s">
        <v>935</v>
      </c>
      <c r="J119" s="94"/>
      <c r="K119" s="94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94"/>
      <c r="AA119" s="133"/>
    </row>
    <row r="120" spans="1:27" s="69" customFormat="1" ht="23.25" customHeight="1">
      <c r="A120" s="185">
        <v>33125</v>
      </c>
      <c r="B120" s="186" t="s">
        <v>196</v>
      </c>
      <c r="C120" s="191">
        <v>40021608</v>
      </c>
      <c r="D120" s="192" t="s">
        <v>35</v>
      </c>
      <c r="E120" s="192" t="s">
        <v>68</v>
      </c>
      <c r="F120" s="811" t="s">
        <v>1253</v>
      </c>
      <c r="G120" s="187" t="s">
        <v>1484</v>
      </c>
      <c r="H120" s="188">
        <v>2020</v>
      </c>
      <c r="I120" s="193" t="s">
        <v>1392</v>
      </c>
      <c r="J120" s="194">
        <v>99300000</v>
      </c>
      <c r="K120" s="190">
        <v>0</v>
      </c>
      <c r="L120" s="190">
        <v>0</v>
      </c>
      <c r="M120" s="190">
        <v>0</v>
      </c>
      <c r="N120" s="190">
        <v>0</v>
      </c>
      <c r="O120" s="190">
        <v>0</v>
      </c>
      <c r="P120" s="190">
        <v>0</v>
      </c>
      <c r="Q120" s="190">
        <v>0</v>
      </c>
      <c r="R120" s="190">
        <v>0</v>
      </c>
      <c r="S120" s="190">
        <v>0</v>
      </c>
      <c r="T120" s="190">
        <v>0</v>
      </c>
      <c r="U120" s="190">
        <v>0</v>
      </c>
      <c r="V120" s="190">
        <v>0</v>
      </c>
      <c r="W120" s="190">
        <v>0</v>
      </c>
      <c r="X120" s="197">
        <f>SUBTOTAL(9,L120:W120)</f>
        <v>0</v>
      </c>
      <c r="Y120" s="197">
        <f>+L120+M120+N120+O120+P120+Q120+R120+S120+T120+U120+V120+W120</f>
        <v>0</v>
      </c>
      <c r="Z120" s="197">
        <f t="shared" ref="Z120" si="356">+J120-K120-Y120</f>
        <v>99300000</v>
      </c>
      <c r="AA120" s="186" t="s">
        <v>1255</v>
      </c>
    </row>
    <row r="121" spans="1:27" s="59" customFormat="1" ht="23.25" outlineLevel="1">
      <c r="A121" s="88"/>
      <c r="B121" s="89"/>
      <c r="C121" s="818"/>
      <c r="D121" s="91"/>
      <c r="E121" s="92"/>
      <c r="F121" s="818"/>
      <c r="G121" s="818"/>
      <c r="H121" s="92"/>
      <c r="I121" s="117" t="s">
        <v>951</v>
      </c>
      <c r="J121" s="118">
        <f>+J120</f>
        <v>99300000</v>
      </c>
      <c r="K121" s="118">
        <f t="shared" ref="K121" si="357">+K120</f>
        <v>0</v>
      </c>
      <c r="L121" s="118">
        <f t="shared" ref="L121" si="358">+L120</f>
        <v>0</v>
      </c>
      <c r="M121" s="118">
        <f t="shared" ref="M121" si="359">+M120</f>
        <v>0</v>
      </c>
      <c r="N121" s="118">
        <f t="shared" ref="N121" si="360">+N120</f>
        <v>0</v>
      </c>
      <c r="O121" s="118">
        <f t="shared" ref="O121" si="361">+O120</f>
        <v>0</v>
      </c>
      <c r="P121" s="118">
        <f t="shared" ref="P121" si="362">+P120</f>
        <v>0</v>
      </c>
      <c r="Q121" s="118">
        <f t="shared" ref="Q121" si="363">+Q120</f>
        <v>0</v>
      </c>
      <c r="R121" s="118">
        <f t="shared" ref="R121" si="364">+R120</f>
        <v>0</v>
      </c>
      <c r="S121" s="118">
        <f t="shared" ref="S121" si="365">+S120</f>
        <v>0</v>
      </c>
      <c r="T121" s="118">
        <f t="shared" ref="T121" si="366">+T120</f>
        <v>0</v>
      </c>
      <c r="U121" s="118">
        <f t="shared" ref="U121" si="367">+U120</f>
        <v>0</v>
      </c>
      <c r="V121" s="118">
        <f t="shared" ref="V121" si="368">+V120</f>
        <v>0</v>
      </c>
      <c r="W121" s="118">
        <f t="shared" ref="W121" si="369">+W120</f>
        <v>0</v>
      </c>
      <c r="X121" s="118">
        <f t="shared" ref="X121" si="370">+X120</f>
        <v>0</v>
      </c>
      <c r="Y121" s="118">
        <f t="shared" ref="Y121" si="371">+Y120</f>
        <v>0</v>
      </c>
      <c r="Z121" s="118">
        <f>+J121-Y121</f>
        <v>99300000</v>
      </c>
      <c r="AA121" s="135"/>
    </row>
    <row r="122" spans="1:27" s="63" customFormat="1" ht="15" customHeight="1" outlineLevel="1">
      <c r="A122" s="88"/>
      <c r="B122" s="89"/>
      <c r="C122" s="818"/>
      <c r="D122" s="91"/>
      <c r="E122" s="92"/>
      <c r="F122" s="818"/>
      <c r="G122" s="818"/>
      <c r="H122" s="92"/>
      <c r="I122" s="119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35"/>
    </row>
    <row r="123" spans="1:27" s="59" customFormat="1" ht="23.25" outlineLevel="1">
      <c r="A123" s="88"/>
      <c r="B123" s="89"/>
      <c r="C123" s="818"/>
      <c r="D123" s="91"/>
      <c r="E123" s="92"/>
      <c r="F123" s="818"/>
      <c r="G123" s="818"/>
      <c r="H123" s="92"/>
      <c r="I123" s="93" t="s">
        <v>952</v>
      </c>
      <c r="J123" s="94"/>
      <c r="K123" s="94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94"/>
      <c r="AA123" s="133"/>
    </row>
    <row r="124" spans="1:27" s="69" customFormat="1" ht="23.25" customHeight="1">
      <c r="A124" s="185">
        <v>33125</v>
      </c>
      <c r="B124" s="186" t="s">
        <v>128</v>
      </c>
      <c r="C124" s="196">
        <v>40022562</v>
      </c>
      <c r="D124" s="192" t="s">
        <v>35</v>
      </c>
      <c r="E124" s="192" t="s">
        <v>69</v>
      </c>
      <c r="F124" s="187" t="s">
        <v>1288</v>
      </c>
      <c r="G124" s="811" t="s">
        <v>1484</v>
      </c>
      <c r="H124" s="188">
        <v>2020</v>
      </c>
      <c r="I124" s="193" t="s">
        <v>1400</v>
      </c>
      <c r="J124" s="194">
        <v>99346000</v>
      </c>
      <c r="K124" s="190">
        <v>0</v>
      </c>
      <c r="L124" s="197"/>
      <c r="M124" s="197"/>
      <c r="N124" s="197"/>
      <c r="O124" s="197">
        <v>0</v>
      </c>
      <c r="P124" s="197">
        <v>0</v>
      </c>
      <c r="Q124" s="197"/>
      <c r="R124" s="197"/>
      <c r="S124" s="197"/>
      <c r="T124" s="197"/>
      <c r="U124" s="197"/>
      <c r="V124" s="197"/>
      <c r="W124" s="197"/>
      <c r="X124" s="197">
        <f>SUBTOTAL(9,L124:W124)</f>
        <v>0</v>
      </c>
      <c r="Y124" s="197">
        <f>+L124+M124+N124+O124+P124+Q124+R124+S124+T124+U124+V124+W124</f>
        <v>0</v>
      </c>
      <c r="Z124" s="197">
        <f t="shared" ref="Z124" si="372">+J124-K124-Y124</f>
        <v>99346000</v>
      </c>
      <c r="AA124" s="186" t="s">
        <v>1255</v>
      </c>
    </row>
    <row r="125" spans="1:27" s="59" customFormat="1" ht="23.25" outlineLevel="1">
      <c r="A125" s="88"/>
      <c r="B125" s="89"/>
      <c r="C125" s="818"/>
      <c r="D125" s="91"/>
      <c r="E125" s="92"/>
      <c r="F125" s="818"/>
      <c r="G125" s="818"/>
      <c r="H125" s="92"/>
      <c r="I125" s="117" t="s">
        <v>970</v>
      </c>
      <c r="J125" s="118">
        <f>+J124</f>
        <v>99346000</v>
      </c>
      <c r="K125" s="118">
        <f t="shared" ref="K125" si="373">+K124</f>
        <v>0</v>
      </c>
      <c r="L125" s="118">
        <f t="shared" ref="L125" si="374">+L124</f>
        <v>0</v>
      </c>
      <c r="M125" s="118">
        <f t="shared" ref="M125" si="375">+M124</f>
        <v>0</v>
      </c>
      <c r="N125" s="118">
        <f t="shared" ref="N125" si="376">+N124</f>
        <v>0</v>
      </c>
      <c r="O125" s="118">
        <f t="shared" ref="O125" si="377">+O124</f>
        <v>0</v>
      </c>
      <c r="P125" s="118">
        <f t="shared" ref="P125" si="378">+P124</f>
        <v>0</v>
      </c>
      <c r="Q125" s="118">
        <f t="shared" ref="Q125" si="379">+Q124</f>
        <v>0</v>
      </c>
      <c r="R125" s="118">
        <f t="shared" ref="R125" si="380">+R124</f>
        <v>0</v>
      </c>
      <c r="S125" s="118">
        <f t="shared" ref="S125" si="381">+S124</f>
        <v>0</v>
      </c>
      <c r="T125" s="118">
        <f t="shared" ref="T125" si="382">+T124</f>
        <v>0</v>
      </c>
      <c r="U125" s="118">
        <f t="shared" ref="U125" si="383">+U124</f>
        <v>0</v>
      </c>
      <c r="V125" s="118">
        <f t="shared" ref="V125" si="384">+V124</f>
        <v>0</v>
      </c>
      <c r="W125" s="118">
        <f t="shared" ref="W125" si="385">+W124</f>
        <v>0</v>
      </c>
      <c r="X125" s="118">
        <f t="shared" ref="X125" si="386">+X124</f>
        <v>0</v>
      </c>
      <c r="Y125" s="118">
        <f t="shared" ref="Y125" si="387">+Y124</f>
        <v>0</v>
      </c>
      <c r="Z125" s="118">
        <f>+J125-Y125</f>
        <v>99346000</v>
      </c>
      <c r="AA125" s="135"/>
    </row>
    <row r="126" spans="1:27" s="64" customFormat="1" ht="15" customHeight="1" outlineLevel="1">
      <c r="A126" s="88"/>
      <c r="B126" s="89"/>
      <c r="C126" s="818"/>
      <c r="D126" s="91"/>
      <c r="E126" s="92"/>
      <c r="F126" s="818"/>
      <c r="G126" s="818"/>
      <c r="H126" s="92"/>
      <c r="I126" s="130"/>
      <c r="J126" s="94"/>
      <c r="K126" s="94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94"/>
      <c r="AA126" s="133"/>
    </row>
    <row r="127" spans="1:27" s="59" customFormat="1" ht="23.25" outlineLevel="1">
      <c r="A127" s="88"/>
      <c r="B127" s="89"/>
      <c r="C127" s="818"/>
      <c r="D127" s="91"/>
      <c r="E127" s="92"/>
      <c r="F127" s="818"/>
      <c r="G127" s="818"/>
      <c r="H127" s="92"/>
      <c r="I127" s="93" t="s">
        <v>971</v>
      </c>
      <c r="J127" s="94"/>
      <c r="K127" s="94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78"/>
      <c r="Z127" s="94"/>
      <c r="AA127" s="133"/>
    </row>
    <row r="128" spans="1:27" s="69" customFormat="1" ht="23.25" customHeight="1">
      <c r="A128" s="185">
        <v>33125</v>
      </c>
      <c r="B128" s="186" t="s">
        <v>196</v>
      </c>
      <c r="C128" s="191">
        <v>40021719</v>
      </c>
      <c r="D128" s="192" t="s">
        <v>35</v>
      </c>
      <c r="E128" s="188" t="s">
        <v>70</v>
      </c>
      <c r="F128" s="187" t="s">
        <v>1253</v>
      </c>
      <c r="G128" s="187" t="s">
        <v>1484</v>
      </c>
      <c r="H128" s="188">
        <v>2020</v>
      </c>
      <c r="I128" s="193" t="s">
        <v>1403</v>
      </c>
      <c r="J128" s="194">
        <v>99346000</v>
      </c>
      <c r="K128" s="190">
        <v>0</v>
      </c>
      <c r="L128" s="190">
        <v>0</v>
      </c>
      <c r="M128" s="190">
        <v>0</v>
      </c>
      <c r="N128" s="190">
        <v>0</v>
      </c>
      <c r="O128" s="190">
        <v>0</v>
      </c>
      <c r="P128" s="190">
        <v>0</v>
      </c>
      <c r="Q128" s="190">
        <v>0</v>
      </c>
      <c r="R128" s="190">
        <v>0</v>
      </c>
      <c r="S128" s="190">
        <v>0</v>
      </c>
      <c r="T128" s="190">
        <v>0</v>
      </c>
      <c r="U128" s="190">
        <v>0</v>
      </c>
      <c r="V128" s="190">
        <v>0</v>
      </c>
      <c r="W128" s="190">
        <v>0</v>
      </c>
      <c r="X128" s="197">
        <f>SUBTOTAL(9,L128:W128)</f>
        <v>0</v>
      </c>
      <c r="Y128" s="197">
        <f>+L128+M128+N128+O128+P128+Q128+R128+S128+T128+U128+V128+W128</f>
        <v>0</v>
      </c>
      <c r="Z128" s="197">
        <f t="shared" ref="Z128" si="388">+J128-K128-Y128</f>
        <v>99346000</v>
      </c>
      <c r="AA128" s="186" t="s">
        <v>1255</v>
      </c>
    </row>
    <row r="129" spans="1:27" s="59" customFormat="1" ht="23.25" outlineLevel="1">
      <c r="A129" s="88"/>
      <c r="B129" s="89"/>
      <c r="C129" s="818"/>
      <c r="D129" s="91"/>
      <c r="E129" s="92"/>
      <c r="F129" s="818"/>
      <c r="G129" s="818"/>
      <c r="H129" s="92"/>
      <c r="I129" s="117" t="s">
        <v>998</v>
      </c>
      <c r="J129" s="118">
        <f>+J128</f>
        <v>99346000</v>
      </c>
      <c r="K129" s="118">
        <f t="shared" ref="K129" si="389">+K128</f>
        <v>0</v>
      </c>
      <c r="L129" s="118">
        <f t="shared" ref="L129" si="390">+L128</f>
        <v>0</v>
      </c>
      <c r="M129" s="118">
        <f t="shared" ref="M129" si="391">+M128</f>
        <v>0</v>
      </c>
      <c r="N129" s="118">
        <f t="shared" ref="N129" si="392">+N128</f>
        <v>0</v>
      </c>
      <c r="O129" s="118">
        <f t="shared" ref="O129" si="393">+O128</f>
        <v>0</v>
      </c>
      <c r="P129" s="118">
        <f t="shared" ref="P129" si="394">+P128</f>
        <v>0</v>
      </c>
      <c r="Q129" s="118">
        <f t="shared" ref="Q129" si="395">+Q128</f>
        <v>0</v>
      </c>
      <c r="R129" s="118">
        <f t="shared" ref="R129" si="396">+R128</f>
        <v>0</v>
      </c>
      <c r="S129" s="118">
        <f t="shared" ref="S129" si="397">+S128</f>
        <v>0</v>
      </c>
      <c r="T129" s="118">
        <f t="shared" ref="T129" si="398">+T128</f>
        <v>0</v>
      </c>
      <c r="U129" s="118">
        <f t="shared" ref="U129" si="399">+U128</f>
        <v>0</v>
      </c>
      <c r="V129" s="118">
        <f t="shared" ref="V129" si="400">+V128</f>
        <v>0</v>
      </c>
      <c r="W129" s="118">
        <f t="shared" ref="W129" si="401">+W128</f>
        <v>0</v>
      </c>
      <c r="X129" s="118">
        <f t="shared" ref="X129" si="402">+X128</f>
        <v>0</v>
      </c>
      <c r="Y129" s="118">
        <f t="shared" ref="Y129" si="403">+Y128</f>
        <v>0</v>
      </c>
      <c r="Z129" s="118">
        <f>+J129-Y129</f>
        <v>99346000</v>
      </c>
      <c r="AA129" s="135"/>
    </row>
    <row r="130" spans="1:27" s="64" customFormat="1" ht="15" customHeight="1" outlineLevel="1">
      <c r="A130" s="88"/>
      <c r="B130" s="89"/>
      <c r="C130" s="818"/>
      <c r="D130" s="91"/>
      <c r="E130" s="92"/>
      <c r="F130" s="818"/>
      <c r="G130" s="818"/>
      <c r="H130" s="92"/>
      <c r="I130" s="130"/>
      <c r="J130" s="94"/>
      <c r="K130" s="94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94"/>
      <c r="AA130" s="133"/>
    </row>
    <row r="131" spans="1:27" s="59" customFormat="1" ht="23.25" outlineLevel="1">
      <c r="A131" s="88"/>
      <c r="B131" s="89"/>
      <c r="C131" s="818"/>
      <c r="D131" s="91"/>
      <c r="E131" s="92"/>
      <c r="F131" s="818"/>
      <c r="G131" s="818"/>
      <c r="H131" s="92"/>
      <c r="I131" s="93" t="s">
        <v>999</v>
      </c>
      <c r="J131" s="94"/>
      <c r="K131" s="94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94"/>
      <c r="AA131" s="133"/>
    </row>
    <row r="132" spans="1:27" s="60" customFormat="1" ht="23.25" customHeight="1" outlineLevel="2">
      <c r="A132" s="185">
        <v>33125</v>
      </c>
      <c r="B132" s="186" t="s">
        <v>196</v>
      </c>
      <c r="C132" s="196">
        <v>40021008</v>
      </c>
      <c r="D132" s="188" t="s">
        <v>35</v>
      </c>
      <c r="E132" s="188" t="s">
        <v>35</v>
      </c>
      <c r="F132" s="187" t="s">
        <v>1253</v>
      </c>
      <c r="G132" s="187" t="s">
        <v>1484</v>
      </c>
      <c r="H132" s="188">
        <v>2020</v>
      </c>
      <c r="I132" s="831" t="s">
        <v>1407</v>
      </c>
      <c r="J132" s="190">
        <v>99346000</v>
      </c>
      <c r="K132" s="190">
        <v>0</v>
      </c>
      <c r="L132" s="190">
        <v>0</v>
      </c>
      <c r="M132" s="190">
        <v>0</v>
      </c>
      <c r="N132" s="190">
        <v>0</v>
      </c>
      <c r="O132" s="190">
        <v>0</v>
      </c>
      <c r="P132" s="190">
        <v>0</v>
      </c>
      <c r="Q132" s="190">
        <v>0</v>
      </c>
      <c r="R132" s="190">
        <v>0</v>
      </c>
      <c r="S132" s="190">
        <v>0</v>
      </c>
      <c r="T132" s="190">
        <v>0</v>
      </c>
      <c r="U132" s="190">
        <v>0</v>
      </c>
      <c r="V132" s="190">
        <v>0</v>
      </c>
      <c r="W132" s="190">
        <v>0</v>
      </c>
      <c r="X132" s="197">
        <f>SUBTOTAL(9,L132:W132)</f>
        <v>0</v>
      </c>
      <c r="Y132" s="197">
        <f>+L132+M132+N132+O132+P132+Q132+R132+S132+T132+U132+V132+W132</f>
        <v>0</v>
      </c>
      <c r="Z132" s="197">
        <f t="shared" ref="Z132" si="404">+J132-K132-Y132</f>
        <v>99346000</v>
      </c>
      <c r="AA132" s="186" t="s">
        <v>1255</v>
      </c>
    </row>
    <row r="133" spans="1:27" s="59" customFormat="1" ht="23.25" outlineLevel="1">
      <c r="A133" s="88"/>
      <c r="B133" s="89"/>
      <c r="C133" s="818"/>
      <c r="D133" s="91"/>
      <c r="E133" s="92"/>
      <c r="F133" s="818"/>
      <c r="G133" s="818"/>
      <c r="H133" s="92"/>
      <c r="I133" s="117" t="s">
        <v>1024</v>
      </c>
      <c r="J133" s="118">
        <f>+J132</f>
        <v>99346000</v>
      </c>
      <c r="K133" s="118">
        <f t="shared" ref="K133" si="405">+K132</f>
        <v>0</v>
      </c>
      <c r="L133" s="118">
        <f t="shared" ref="L133" si="406">+L132</f>
        <v>0</v>
      </c>
      <c r="M133" s="118">
        <f t="shared" ref="M133" si="407">+M132</f>
        <v>0</v>
      </c>
      <c r="N133" s="118">
        <f t="shared" ref="N133" si="408">+N132</f>
        <v>0</v>
      </c>
      <c r="O133" s="118">
        <f t="shared" ref="O133" si="409">+O132</f>
        <v>0</v>
      </c>
      <c r="P133" s="118">
        <f t="shared" ref="P133" si="410">+P132</f>
        <v>0</v>
      </c>
      <c r="Q133" s="118">
        <f t="shared" ref="Q133" si="411">+Q132</f>
        <v>0</v>
      </c>
      <c r="R133" s="118">
        <f t="shared" ref="R133" si="412">+R132</f>
        <v>0</v>
      </c>
      <c r="S133" s="118">
        <f t="shared" ref="S133" si="413">+S132</f>
        <v>0</v>
      </c>
      <c r="T133" s="118">
        <f t="shared" ref="T133" si="414">+T132</f>
        <v>0</v>
      </c>
      <c r="U133" s="118">
        <f t="shared" ref="U133" si="415">+U132</f>
        <v>0</v>
      </c>
      <c r="V133" s="118">
        <f t="shared" ref="V133" si="416">+V132</f>
        <v>0</v>
      </c>
      <c r="W133" s="118">
        <f t="shared" ref="W133" si="417">+W132</f>
        <v>0</v>
      </c>
      <c r="X133" s="118">
        <f t="shared" ref="X133" si="418">+X132</f>
        <v>0</v>
      </c>
      <c r="Y133" s="118">
        <f t="shared" ref="Y133" si="419">+Y132</f>
        <v>0</v>
      </c>
      <c r="Z133" s="118">
        <f>+J133-Y133</f>
        <v>99346000</v>
      </c>
      <c r="AA133" s="135"/>
    </row>
    <row r="134" spans="1:27" s="63" customFormat="1" ht="15" customHeight="1">
      <c r="A134" s="88"/>
      <c r="B134" s="89"/>
      <c r="C134" s="818"/>
      <c r="D134" s="91"/>
      <c r="E134" s="92"/>
      <c r="F134" s="818"/>
      <c r="G134" s="818"/>
      <c r="H134" s="92"/>
      <c r="I134" s="199"/>
      <c r="J134" s="200"/>
      <c r="K134" s="200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78"/>
      <c r="AA134" s="112"/>
    </row>
    <row r="135" spans="1:27" s="74" customFormat="1" ht="24.95" customHeight="1">
      <c r="A135" s="65"/>
      <c r="B135" s="141"/>
      <c r="C135" s="141"/>
      <c r="D135" s="65"/>
      <c r="E135" s="821"/>
      <c r="F135" s="141"/>
      <c r="G135" s="141"/>
      <c r="H135" s="821"/>
      <c r="I135" s="205" t="s">
        <v>1043</v>
      </c>
      <c r="J135" s="146">
        <f>+J121+J125+J129+J133</f>
        <v>397338000</v>
      </c>
      <c r="K135" s="146">
        <f>+K121+K125+K129+K133</f>
        <v>0</v>
      </c>
      <c r="L135" s="146">
        <f>+L121+L125+L129+L133</f>
        <v>0</v>
      </c>
      <c r="M135" s="146">
        <f>+M121+M125+M129+M133</f>
        <v>0</v>
      </c>
      <c r="N135" s="146">
        <f>+N121+N125+N129+N133</f>
        <v>0</v>
      </c>
      <c r="O135" s="146">
        <v>114177230</v>
      </c>
      <c r="P135" s="146">
        <v>35106063</v>
      </c>
      <c r="Q135" s="146">
        <f t="shared" ref="Q135:Z135" si="420">+Q121+Q125+Q129+Q133</f>
        <v>0</v>
      </c>
      <c r="R135" s="146">
        <f t="shared" si="420"/>
        <v>0</v>
      </c>
      <c r="S135" s="146">
        <f t="shared" si="420"/>
        <v>0</v>
      </c>
      <c r="T135" s="146">
        <f t="shared" si="420"/>
        <v>0</v>
      </c>
      <c r="U135" s="146">
        <f t="shared" si="420"/>
        <v>0</v>
      </c>
      <c r="V135" s="146">
        <f t="shared" si="420"/>
        <v>0</v>
      </c>
      <c r="W135" s="146">
        <f t="shared" si="420"/>
        <v>0</v>
      </c>
      <c r="X135" s="146">
        <f t="shared" si="420"/>
        <v>0</v>
      </c>
      <c r="Y135" s="146">
        <f t="shared" si="420"/>
        <v>0</v>
      </c>
      <c r="Z135" s="146">
        <f t="shared" si="420"/>
        <v>397338000</v>
      </c>
      <c r="AA135" s="212"/>
    </row>
    <row r="136" spans="1:27">
      <c r="A136" s="822"/>
      <c r="B136" s="823"/>
      <c r="C136" s="823"/>
      <c r="D136" s="822"/>
      <c r="E136" s="824"/>
      <c r="F136" s="823"/>
      <c r="G136" s="823"/>
      <c r="H136" s="824"/>
      <c r="I136" s="210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76"/>
    </row>
    <row r="137" spans="1:27" s="74" customFormat="1" ht="24.95" customHeight="1">
      <c r="A137" s="65"/>
      <c r="B137" s="141"/>
      <c r="C137" s="141"/>
      <c r="D137" s="65"/>
      <c r="E137" s="821"/>
      <c r="F137" s="141"/>
      <c r="G137" s="141"/>
      <c r="H137" s="821"/>
      <c r="I137" s="205" t="s">
        <v>1408</v>
      </c>
      <c r="J137" s="146">
        <f>+J135+J117+J73+J32</f>
        <v>2979979191</v>
      </c>
      <c r="K137" s="146">
        <f>+K135+K117+K73+K32</f>
        <v>0</v>
      </c>
      <c r="L137" s="146">
        <f>+L135+L117+L73+L32</f>
        <v>0</v>
      </c>
      <c r="M137" s="146">
        <f>+M135+M117+M73+M32</f>
        <v>0</v>
      </c>
      <c r="N137" s="146">
        <f>+N135+N117+N73+N32</f>
        <v>0</v>
      </c>
      <c r="O137" s="146">
        <v>967835040</v>
      </c>
      <c r="P137" s="146">
        <v>174286288</v>
      </c>
      <c r="Q137" s="146">
        <f t="shared" ref="Q137:Z137" si="421">+Q135+Q117+Q73+Q32</f>
        <v>0</v>
      </c>
      <c r="R137" s="146">
        <f t="shared" si="421"/>
        <v>0</v>
      </c>
      <c r="S137" s="146">
        <f t="shared" si="421"/>
        <v>0</v>
      </c>
      <c r="T137" s="146">
        <f t="shared" si="421"/>
        <v>0</v>
      </c>
      <c r="U137" s="146">
        <f t="shared" si="421"/>
        <v>0</v>
      </c>
      <c r="V137" s="146">
        <f t="shared" si="421"/>
        <v>0</v>
      </c>
      <c r="W137" s="146">
        <f t="shared" si="421"/>
        <v>0</v>
      </c>
      <c r="X137" s="146">
        <f t="shared" si="421"/>
        <v>0</v>
      </c>
      <c r="Y137" s="146">
        <f t="shared" si="421"/>
        <v>0</v>
      </c>
      <c r="Z137" s="146">
        <f t="shared" si="421"/>
        <v>2979979191</v>
      </c>
      <c r="AA137" s="213"/>
    </row>
    <row r="138" spans="1:27">
      <c r="A138" s="825"/>
      <c r="B138" s="826"/>
      <c r="C138" s="826"/>
      <c r="D138" s="827"/>
      <c r="E138" s="827"/>
      <c r="F138" s="826"/>
      <c r="G138" s="826"/>
      <c r="H138" s="827"/>
    </row>
  </sheetData>
  <autoFilter ref="A1:AA137"/>
  <conditionalFormatting sqref="C12">
    <cfRule type="duplicateValues" dxfId="55" priority="35"/>
  </conditionalFormatting>
  <conditionalFormatting sqref="C16">
    <cfRule type="duplicateValues" dxfId="54" priority="14"/>
  </conditionalFormatting>
  <conditionalFormatting sqref="C20">
    <cfRule type="duplicateValues" dxfId="53" priority="13"/>
  </conditionalFormatting>
  <conditionalFormatting sqref="C35">
    <cfRule type="duplicateValues" dxfId="52" priority="12"/>
  </conditionalFormatting>
  <conditionalFormatting sqref="C39">
    <cfRule type="duplicateValues" dxfId="51" priority="30"/>
  </conditionalFormatting>
  <conditionalFormatting sqref="C43">
    <cfRule type="duplicateValues" dxfId="50" priority="11"/>
  </conditionalFormatting>
  <conditionalFormatting sqref="C47">
    <cfRule type="duplicateValues" dxfId="49" priority="34"/>
  </conditionalFormatting>
  <conditionalFormatting sqref="C51">
    <cfRule type="duplicateValues" dxfId="48" priority="29"/>
  </conditionalFormatting>
  <conditionalFormatting sqref="C55">
    <cfRule type="duplicateValues" dxfId="47" priority="10"/>
  </conditionalFormatting>
  <conditionalFormatting sqref="C65">
    <cfRule type="duplicateValues" dxfId="46" priority="33"/>
  </conditionalFormatting>
  <conditionalFormatting sqref="C70">
    <cfRule type="duplicateValues" dxfId="45" priority="9"/>
  </conditionalFormatting>
  <conditionalFormatting sqref="C76">
    <cfRule type="duplicateValues" dxfId="44" priority="32"/>
  </conditionalFormatting>
  <conditionalFormatting sqref="C84">
    <cfRule type="duplicateValues" dxfId="43" priority="28"/>
  </conditionalFormatting>
  <conditionalFormatting sqref="C88">
    <cfRule type="duplicateValues" dxfId="42" priority="27"/>
  </conditionalFormatting>
  <conditionalFormatting sqref="C92">
    <cfRule type="duplicateValues" dxfId="41" priority="26"/>
  </conditionalFormatting>
  <conditionalFormatting sqref="C93">
    <cfRule type="duplicateValues" dxfId="40" priority="31"/>
  </conditionalFormatting>
  <conditionalFormatting sqref="C97">
    <cfRule type="duplicateValues" dxfId="39" priority="8"/>
  </conditionalFormatting>
  <conditionalFormatting sqref="C106">
    <cfRule type="duplicateValues" dxfId="38" priority="7"/>
  </conditionalFormatting>
  <conditionalFormatting sqref="C114">
    <cfRule type="duplicateValues" dxfId="37" priority="25"/>
  </conditionalFormatting>
  <conditionalFormatting sqref="C120">
    <cfRule type="duplicateValues" dxfId="36" priority="6"/>
  </conditionalFormatting>
  <conditionalFormatting sqref="C124">
    <cfRule type="duplicateValues" dxfId="35" priority="24"/>
  </conditionalFormatting>
  <conditionalFormatting sqref="C128">
    <cfRule type="duplicateValues" dxfId="34" priority="5"/>
  </conditionalFormatting>
  <conditionalFormatting sqref="C132">
    <cfRule type="duplicateValues" dxfId="33" priority="4"/>
  </conditionalFormatting>
  <conditionalFormatting sqref="C59:C60">
    <cfRule type="duplicateValues" dxfId="32" priority="36"/>
  </conditionalFormatting>
  <conditionalFormatting sqref="C24">
    <cfRule type="duplicateValues" dxfId="31" priority="3"/>
  </conditionalFormatting>
  <conditionalFormatting sqref="C80">
    <cfRule type="duplicateValues" dxfId="30" priority="2"/>
  </conditionalFormatting>
  <conditionalFormatting sqref="C69">
    <cfRule type="duplicateValues" dxfId="29" priority="1"/>
  </conditionalFormatting>
  <printOptions horizontalCentered="1"/>
  <pageMargins left="0.23622047244094491" right="0.23622047244094491" top="0.98425196850393704" bottom="0.74803149606299213" header="0.31496062992125984" footer="0.31496062992125984"/>
  <pageSetup paperSize="5" scale="50" orientation="landscape" r:id="rId1"/>
  <headerFooter>
    <oddHeader>&amp;L&amp;14              GOBIERNO REGIONAL DE LOS LAGOS
DIVISIÓN DE PRESUPUESTO E INVERSIÓN REGIONAL&amp;C&amp;"-,Negrita"&amp;20 
&amp;"-,Normal"ANEXO&amp;"-,Negrita"
FRIL - ACUERDO SOCIAL</oddHeader>
    <oddFooter>&amp;CESTADO SITUACION FRIL - ANEXO
Página &amp;P</oddFooter>
  </headerFooter>
  <rowBreaks count="3" manualBreakCount="3">
    <brk id="32" max="26" man="1"/>
    <brk id="73" max="20" man="1"/>
    <brk id="117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3:WTT51"/>
  <sheetViews>
    <sheetView view="pageBreakPreview" zoomScale="80" zoomScaleNormal="100" zoomScaleSheetLayoutView="80" workbookViewId="0">
      <selection activeCell="C37" sqref="C37:E42"/>
    </sheetView>
  </sheetViews>
  <sheetFormatPr baseColWidth="10" defaultColWidth="11.42578125" defaultRowHeight="12.75"/>
  <cols>
    <col min="1" max="1" width="13.7109375" style="479" customWidth="1"/>
    <col min="2" max="2" width="12.85546875" style="479" customWidth="1"/>
    <col min="3" max="3" width="19.140625" style="479" customWidth="1"/>
    <col min="4" max="4" width="18.140625" style="479" customWidth="1"/>
    <col min="5" max="5" width="19.140625" style="479" customWidth="1"/>
    <col min="6" max="6" width="16.42578125" style="479" customWidth="1"/>
    <col min="7" max="7" width="8" style="479" customWidth="1"/>
    <col min="8" max="8" width="3.28515625" style="479" customWidth="1"/>
    <col min="9" max="9" width="14.7109375" style="479" customWidth="1"/>
    <col min="10" max="10" width="11.42578125" style="479"/>
    <col min="11" max="11" width="14.7109375" style="479" customWidth="1"/>
    <col min="12" max="12" width="11.42578125" style="479"/>
    <col min="13" max="13" width="18.28515625" style="479" customWidth="1"/>
    <col min="14" max="206" width="11.42578125" style="479"/>
    <col min="207" max="207" width="1.85546875" style="479" customWidth="1"/>
    <col min="208" max="209" width="2" style="479" customWidth="1"/>
    <col min="210" max="210" width="2.5703125" style="479" customWidth="1"/>
    <col min="211" max="211" width="2.28515625" style="479" customWidth="1"/>
    <col min="212" max="212" width="11.42578125" style="479"/>
    <col min="213" max="213" width="1.85546875" style="479" customWidth="1"/>
    <col min="214" max="214" width="2" style="479" customWidth="1"/>
    <col min="215" max="216" width="11.42578125" style="479" hidden="1" customWidth="1"/>
    <col min="217" max="217" width="2.140625" style="479" customWidth="1"/>
    <col min="218" max="218" width="2.28515625" style="479" customWidth="1"/>
    <col min="219" max="219" width="2" style="479" customWidth="1"/>
    <col min="220" max="220" width="1.7109375" style="479" customWidth="1"/>
    <col min="221" max="462" width="11.42578125" style="479"/>
    <col min="463" max="463" width="1.85546875" style="479" customWidth="1"/>
    <col min="464" max="465" width="2" style="479" customWidth="1"/>
    <col min="466" max="466" width="2.5703125" style="479" customWidth="1"/>
    <col min="467" max="467" width="2.28515625" style="479" customWidth="1"/>
    <col min="468" max="468" width="11.42578125" style="479"/>
    <col min="469" max="469" width="1.85546875" style="479" customWidth="1"/>
    <col min="470" max="470" width="2" style="479" customWidth="1"/>
    <col min="471" max="472" width="11.42578125" style="479" hidden="1" customWidth="1"/>
    <col min="473" max="473" width="2.140625" style="479" customWidth="1"/>
    <col min="474" max="474" width="2.28515625" style="479" customWidth="1"/>
    <col min="475" max="475" width="2" style="479" customWidth="1"/>
    <col min="476" max="476" width="1.7109375" style="479" customWidth="1"/>
    <col min="477" max="718" width="11.42578125" style="479"/>
    <col min="719" max="719" width="1.85546875" style="479" customWidth="1"/>
    <col min="720" max="721" width="2" style="479" customWidth="1"/>
    <col min="722" max="722" width="2.5703125" style="479" customWidth="1"/>
    <col min="723" max="723" width="2.28515625" style="479" customWidth="1"/>
    <col min="724" max="724" width="11.42578125" style="479"/>
    <col min="725" max="725" width="1.85546875" style="479" customWidth="1"/>
    <col min="726" max="726" width="2" style="479" customWidth="1"/>
    <col min="727" max="728" width="11.42578125" style="479" hidden="1" customWidth="1"/>
    <col min="729" max="729" width="2.140625" style="479" customWidth="1"/>
    <col min="730" max="730" width="2.28515625" style="479" customWidth="1"/>
    <col min="731" max="731" width="2" style="479" customWidth="1"/>
    <col min="732" max="732" width="1.7109375" style="479" customWidth="1"/>
    <col min="733" max="974" width="11.42578125" style="479"/>
    <col min="975" max="975" width="1.85546875" style="479" customWidth="1"/>
    <col min="976" max="977" width="2" style="479" customWidth="1"/>
    <col min="978" max="978" width="2.5703125" style="479" customWidth="1"/>
    <col min="979" max="979" width="2.28515625" style="479" customWidth="1"/>
    <col min="980" max="980" width="11.42578125" style="479"/>
    <col min="981" max="981" width="1.85546875" style="479" customWidth="1"/>
    <col min="982" max="982" width="2" style="479" customWidth="1"/>
    <col min="983" max="984" width="11.42578125" style="479" hidden="1" customWidth="1"/>
    <col min="985" max="985" width="2.140625" style="479" customWidth="1"/>
    <col min="986" max="986" width="2.28515625" style="479" customWidth="1"/>
    <col min="987" max="987" width="2" style="479" customWidth="1"/>
    <col min="988" max="988" width="1.7109375" style="479" customWidth="1"/>
    <col min="989" max="1230" width="11.42578125" style="479"/>
    <col min="1231" max="1231" width="1.85546875" style="479" customWidth="1"/>
    <col min="1232" max="1233" width="2" style="479" customWidth="1"/>
    <col min="1234" max="1234" width="2.5703125" style="479" customWidth="1"/>
    <col min="1235" max="1235" width="2.28515625" style="479" customWidth="1"/>
    <col min="1236" max="1236" width="11.42578125" style="479"/>
    <col min="1237" max="1237" width="1.85546875" style="479" customWidth="1"/>
    <col min="1238" max="1238" width="2" style="479" customWidth="1"/>
    <col min="1239" max="1240" width="11.42578125" style="479" hidden="1" customWidth="1"/>
    <col min="1241" max="1241" width="2.140625" style="479" customWidth="1"/>
    <col min="1242" max="1242" width="2.28515625" style="479" customWidth="1"/>
    <col min="1243" max="1243" width="2" style="479" customWidth="1"/>
    <col min="1244" max="1244" width="1.7109375" style="479" customWidth="1"/>
    <col min="1245" max="1486" width="11.42578125" style="479"/>
    <col min="1487" max="1487" width="1.85546875" style="479" customWidth="1"/>
    <col min="1488" max="1489" width="2" style="479" customWidth="1"/>
    <col min="1490" max="1490" width="2.5703125" style="479" customWidth="1"/>
    <col min="1491" max="1491" width="2.28515625" style="479" customWidth="1"/>
    <col min="1492" max="1492" width="11.42578125" style="479"/>
    <col min="1493" max="1493" width="1.85546875" style="479" customWidth="1"/>
    <col min="1494" max="1494" width="2" style="479" customWidth="1"/>
    <col min="1495" max="1496" width="11.42578125" style="479" hidden="1" customWidth="1"/>
    <col min="1497" max="1497" width="2.140625" style="479" customWidth="1"/>
    <col min="1498" max="1498" width="2.28515625" style="479" customWidth="1"/>
    <col min="1499" max="1499" width="2" style="479" customWidth="1"/>
    <col min="1500" max="1500" width="1.7109375" style="479" customWidth="1"/>
    <col min="1501" max="1742" width="11.42578125" style="479"/>
    <col min="1743" max="1743" width="1.85546875" style="479" customWidth="1"/>
    <col min="1744" max="1745" width="2" style="479" customWidth="1"/>
    <col min="1746" max="1746" width="2.5703125" style="479" customWidth="1"/>
    <col min="1747" max="1747" width="2.28515625" style="479" customWidth="1"/>
    <col min="1748" max="1748" width="11.42578125" style="479"/>
    <col min="1749" max="1749" width="1.85546875" style="479" customWidth="1"/>
    <col min="1750" max="1750" width="2" style="479" customWidth="1"/>
    <col min="1751" max="1752" width="11.42578125" style="479" hidden="1" customWidth="1"/>
    <col min="1753" max="1753" width="2.140625" style="479" customWidth="1"/>
    <col min="1754" max="1754" width="2.28515625" style="479" customWidth="1"/>
    <col min="1755" max="1755" width="2" style="479" customWidth="1"/>
    <col min="1756" max="1756" width="1.7109375" style="479" customWidth="1"/>
    <col min="1757" max="1998" width="11.42578125" style="479"/>
    <col min="1999" max="1999" width="1.85546875" style="479" customWidth="1"/>
    <col min="2000" max="2001" width="2" style="479" customWidth="1"/>
    <col min="2002" max="2002" width="2.5703125" style="479" customWidth="1"/>
    <col min="2003" max="2003" width="2.28515625" style="479" customWidth="1"/>
    <col min="2004" max="2004" width="11.42578125" style="479"/>
    <col min="2005" max="2005" width="1.85546875" style="479" customWidth="1"/>
    <col min="2006" max="2006" width="2" style="479" customWidth="1"/>
    <col min="2007" max="2008" width="11.42578125" style="479" hidden="1" customWidth="1"/>
    <col min="2009" max="2009" width="2.140625" style="479" customWidth="1"/>
    <col min="2010" max="2010" width="2.28515625" style="479" customWidth="1"/>
    <col min="2011" max="2011" width="2" style="479" customWidth="1"/>
    <col min="2012" max="2012" width="1.7109375" style="479" customWidth="1"/>
    <col min="2013" max="2254" width="11.42578125" style="479"/>
    <col min="2255" max="2255" width="1.85546875" style="479" customWidth="1"/>
    <col min="2256" max="2257" width="2" style="479" customWidth="1"/>
    <col min="2258" max="2258" width="2.5703125" style="479" customWidth="1"/>
    <col min="2259" max="2259" width="2.28515625" style="479" customWidth="1"/>
    <col min="2260" max="2260" width="11.42578125" style="479"/>
    <col min="2261" max="2261" width="1.85546875" style="479" customWidth="1"/>
    <col min="2262" max="2262" width="2" style="479" customWidth="1"/>
    <col min="2263" max="2264" width="11.42578125" style="479" hidden="1" customWidth="1"/>
    <col min="2265" max="2265" width="2.140625" style="479" customWidth="1"/>
    <col min="2266" max="2266" width="2.28515625" style="479" customWidth="1"/>
    <col min="2267" max="2267" width="2" style="479" customWidth="1"/>
    <col min="2268" max="2268" width="1.7109375" style="479" customWidth="1"/>
    <col min="2269" max="2510" width="11.42578125" style="479"/>
    <col min="2511" max="2511" width="1.85546875" style="479" customWidth="1"/>
    <col min="2512" max="2513" width="2" style="479" customWidth="1"/>
    <col min="2514" max="2514" width="2.5703125" style="479" customWidth="1"/>
    <col min="2515" max="2515" width="2.28515625" style="479" customWidth="1"/>
    <col min="2516" max="2516" width="11.42578125" style="479"/>
    <col min="2517" max="2517" width="1.85546875" style="479" customWidth="1"/>
    <col min="2518" max="2518" width="2" style="479" customWidth="1"/>
    <col min="2519" max="2520" width="11.42578125" style="479" hidden="1" customWidth="1"/>
    <col min="2521" max="2521" width="2.140625" style="479" customWidth="1"/>
    <col min="2522" max="2522" width="2.28515625" style="479" customWidth="1"/>
    <col min="2523" max="2523" width="2" style="479" customWidth="1"/>
    <col min="2524" max="2524" width="1.7109375" style="479" customWidth="1"/>
    <col min="2525" max="2766" width="11.42578125" style="479"/>
    <col min="2767" max="2767" width="1.85546875" style="479" customWidth="1"/>
    <col min="2768" max="2769" width="2" style="479" customWidth="1"/>
    <col min="2770" max="2770" width="2.5703125" style="479" customWidth="1"/>
    <col min="2771" max="2771" width="2.28515625" style="479" customWidth="1"/>
    <col min="2772" max="2772" width="11.42578125" style="479"/>
    <col min="2773" max="2773" width="1.85546875" style="479" customWidth="1"/>
    <col min="2774" max="2774" width="2" style="479" customWidth="1"/>
    <col min="2775" max="2776" width="11.42578125" style="479" hidden="1" customWidth="1"/>
    <col min="2777" max="2777" width="2.140625" style="479" customWidth="1"/>
    <col min="2778" max="2778" width="2.28515625" style="479" customWidth="1"/>
    <col min="2779" max="2779" width="2" style="479" customWidth="1"/>
    <col min="2780" max="2780" width="1.7109375" style="479" customWidth="1"/>
    <col min="2781" max="3022" width="11.42578125" style="479"/>
    <col min="3023" max="3023" width="1.85546875" style="479" customWidth="1"/>
    <col min="3024" max="3025" width="2" style="479" customWidth="1"/>
    <col min="3026" max="3026" width="2.5703125" style="479" customWidth="1"/>
    <col min="3027" max="3027" width="2.28515625" style="479" customWidth="1"/>
    <col min="3028" max="3028" width="11.42578125" style="479"/>
    <col min="3029" max="3029" width="1.85546875" style="479" customWidth="1"/>
    <col min="3030" max="3030" width="2" style="479" customWidth="1"/>
    <col min="3031" max="3032" width="11.42578125" style="479" hidden="1" customWidth="1"/>
    <col min="3033" max="3033" width="2.140625" style="479" customWidth="1"/>
    <col min="3034" max="3034" width="2.28515625" style="479" customWidth="1"/>
    <col min="3035" max="3035" width="2" style="479" customWidth="1"/>
    <col min="3036" max="3036" width="1.7109375" style="479" customWidth="1"/>
    <col min="3037" max="3278" width="11.42578125" style="479"/>
    <col min="3279" max="3279" width="1.85546875" style="479" customWidth="1"/>
    <col min="3280" max="3281" width="2" style="479" customWidth="1"/>
    <col min="3282" max="3282" width="2.5703125" style="479" customWidth="1"/>
    <col min="3283" max="3283" width="2.28515625" style="479" customWidth="1"/>
    <col min="3284" max="3284" width="11.42578125" style="479"/>
    <col min="3285" max="3285" width="1.85546875" style="479" customWidth="1"/>
    <col min="3286" max="3286" width="2" style="479" customWidth="1"/>
    <col min="3287" max="3288" width="11.42578125" style="479" hidden="1" customWidth="1"/>
    <col min="3289" max="3289" width="2.140625" style="479" customWidth="1"/>
    <col min="3290" max="3290" width="2.28515625" style="479" customWidth="1"/>
    <col min="3291" max="3291" width="2" style="479" customWidth="1"/>
    <col min="3292" max="3292" width="1.7109375" style="479" customWidth="1"/>
    <col min="3293" max="3534" width="11.42578125" style="479"/>
    <col min="3535" max="3535" width="1.85546875" style="479" customWidth="1"/>
    <col min="3536" max="3537" width="2" style="479" customWidth="1"/>
    <col min="3538" max="3538" width="2.5703125" style="479" customWidth="1"/>
    <col min="3539" max="3539" width="2.28515625" style="479" customWidth="1"/>
    <col min="3540" max="3540" width="11.42578125" style="479"/>
    <col min="3541" max="3541" width="1.85546875" style="479" customWidth="1"/>
    <col min="3542" max="3542" width="2" style="479" customWidth="1"/>
    <col min="3543" max="3544" width="11.42578125" style="479" hidden="1" customWidth="1"/>
    <col min="3545" max="3545" width="2.140625" style="479" customWidth="1"/>
    <col min="3546" max="3546" width="2.28515625" style="479" customWidth="1"/>
    <col min="3547" max="3547" width="2" style="479" customWidth="1"/>
    <col min="3548" max="3548" width="1.7109375" style="479" customWidth="1"/>
    <col min="3549" max="3790" width="11.42578125" style="479"/>
    <col min="3791" max="3791" width="1.85546875" style="479" customWidth="1"/>
    <col min="3792" max="3793" width="2" style="479" customWidth="1"/>
    <col min="3794" max="3794" width="2.5703125" style="479" customWidth="1"/>
    <col min="3795" max="3795" width="2.28515625" style="479" customWidth="1"/>
    <col min="3796" max="3796" width="11.42578125" style="479"/>
    <col min="3797" max="3797" width="1.85546875" style="479" customWidth="1"/>
    <col min="3798" max="3798" width="2" style="479" customWidth="1"/>
    <col min="3799" max="3800" width="11.42578125" style="479" hidden="1" customWidth="1"/>
    <col min="3801" max="3801" width="2.140625" style="479" customWidth="1"/>
    <col min="3802" max="3802" width="2.28515625" style="479" customWidth="1"/>
    <col min="3803" max="3803" width="2" style="479" customWidth="1"/>
    <col min="3804" max="3804" width="1.7109375" style="479" customWidth="1"/>
    <col min="3805" max="4046" width="11.42578125" style="479"/>
    <col min="4047" max="4047" width="1.85546875" style="479" customWidth="1"/>
    <col min="4048" max="4049" width="2" style="479" customWidth="1"/>
    <col min="4050" max="4050" width="2.5703125" style="479" customWidth="1"/>
    <col min="4051" max="4051" width="2.28515625" style="479" customWidth="1"/>
    <col min="4052" max="4052" width="11.42578125" style="479"/>
    <col min="4053" max="4053" width="1.85546875" style="479" customWidth="1"/>
    <col min="4054" max="4054" width="2" style="479" customWidth="1"/>
    <col min="4055" max="4056" width="11.42578125" style="479" hidden="1" customWidth="1"/>
    <col min="4057" max="4057" width="2.140625" style="479" customWidth="1"/>
    <col min="4058" max="4058" width="2.28515625" style="479" customWidth="1"/>
    <col min="4059" max="4059" width="2" style="479" customWidth="1"/>
    <col min="4060" max="4060" width="1.7109375" style="479" customWidth="1"/>
    <col min="4061" max="4302" width="11.42578125" style="479"/>
    <col min="4303" max="4303" width="1.85546875" style="479" customWidth="1"/>
    <col min="4304" max="4305" width="2" style="479" customWidth="1"/>
    <col min="4306" max="4306" width="2.5703125" style="479" customWidth="1"/>
    <col min="4307" max="4307" width="2.28515625" style="479" customWidth="1"/>
    <col min="4308" max="4308" width="11.42578125" style="479"/>
    <col min="4309" max="4309" width="1.85546875" style="479" customWidth="1"/>
    <col min="4310" max="4310" width="2" style="479" customWidth="1"/>
    <col min="4311" max="4312" width="11.42578125" style="479" hidden="1" customWidth="1"/>
    <col min="4313" max="4313" width="2.140625" style="479" customWidth="1"/>
    <col min="4314" max="4314" width="2.28515625" style="479" customWidth="1"/>
    <col min="4315" max="4315" width="2" style="479" customWidth="1"/>
    <col min="4316" max="4316" width="1.7109375" style="479" customWidth="1"/>
    <col min="4317" max="4558" width="11.42578125" style="479"/>
    <col min="4559" max="4559" width="1.85546875" style="479" customWidth="1"/>
    <col min="4560" max="4561" width="2" style="479" customWidth="1"/>
    <col min="4562" max="4562" width="2.5703125" style="479" customWidth="1"/>
    <col min="4563" max="4563" width="2.28515625" style="479" customWidth="1"/>
    <col min="4564" max="4564" width="11.42578125" style="479"/>
    <col min="4565" max="4565" width="1.85546875" style="479" customWidth="1"/>
    <col min="4566" max="4566" width="2" style="479" customWidth="1"/>
    <col min="4567" max="4568" width="11.42578125" style="479" hidden="1" customWidth="1"/>
    <col min="4569" max="4569" width="2.140625" style="479" customWidth="1"/>
    <col min="4570" max="4570" width="2.28515625" style="479" customWidth="1"/>
    <col min="4571" max="4571" width="2" style="479" customWidth="1"/>
    <col min="4572" max="4572" width="1.7109375" style="479" customWidth="1"/>
    <col min="4573" max="4814" width="11.42578125" style="479"/>
    <col min="4815" max="4815" width="1.85546875" style="479" customWidth="1"/>
    <col min="4816" max="4817" width="2" style="479" customWidth="1"/>
    <col min="4818" max="4818" width="2.5703125" style="479" customWidth="1"/>
    <col min="4819" max="4819" width="2.28515625" style="479" customWidth="1"/>
    <col min="4820" max="4820" width="11.42578125" style="479"/>
    <col min="4821" max="4821" width="1.85546875" style="479" customWidth="1"/>
    <col min="4822" max="4822" width="2" style="479" customWidth="1"/>
    <col min="4823" max="4824" width="11.42578125" style="479" hidden="1" customWidth="1"/>
    <col min="4825" max="4825" width="2.140625" style="479" customWidth="1"/>
    <col min="4826" max="4826" width="2.28515625" style="479" customWidth="1"/>
    <col min="4827" max="4827" width="2" style="479" customWidth="1"/>
    <col min="4828" max="4828" width="1.7109375" style="479" customWidth="1"/>
    <col min="4829" max="5070" width="11.42578125" style="479"/>
    <col min="5071" max="5071" width="1.85546875" style="479" customWidth="1"/>
    <col min="5072" max="5073" width="2" style="479" customWidth="1"/>
    <col min="5074" max="5074" width="2.5703125" style="479" customWidth="1"/>
    <col min="5075" max="5075" width="2.28515625" style="479" customWidth="1"/>
    <col min="5076" max="5076" width="11.42578125" style="479"/>
    <col min="5077" max="5077" width="1.85546875" style="479" customWidth="1"/>
    <col min="5078" max="5078" width="2" style="479" customWidth="1"/>
    <col min="5079" max="5080" width="11.42578125" style="479" hidden="1" customWidth="1"/>
    <col min="5081" max="5081" width="2.140625" style="479" customWidth="1"/>
    <col min="5082" max="5082" width="2.28515625" style="479" customWidth="1"/>
    <col min="5083" max="5083" width="2" style="479" customWidth="1"/>
    <col min="5084" max="5084" width="1.7109375" style="479" customWidth="1"/>
    <col min="5085" max="5326" width="11.42578125" style="479"/>
    <col min="5327" max="5327" width="1.85546875" style="479" customWidth="1"/>
    <col min="5328" max="5329" width="2" style="479" customWidth="1"/>
    <col min="5330" max="5330" width="2.5703125" style="479" customWidth="1"/>
    <col min="5331" max="5331" width="2.28515625" style="479" customWidth="1"/>
    <col min="5332" max="5332" width="11.42578125" style="479"/>
    <col min="5333" max="5333" width="1.85546875" style="479" customWidth="1"/>
    <col min="5334" max="5334" width="2" style="479" customWidth="1"/>
    <col min="5335" max="5336" width="11.42578125" style="479" hidden="1" customWidth="1"/>
    <col min="5337" max="5337" width="2.140625" style="479" customWidth="1"/>
    <col min="5338" max="5338" width="2.28515625" style="479" customWidth="1"/>
    <col min="5339" max="5339" width="2" style="479" customWidth="1"/>
    <col min="5340" max="5340" width="1.7109375" style="479" customWidth="1"/>
    <col min="5341" max="5582" width="11.42578125" style="479"/>
    <col min="5583" max="5583" width="1.85546875" style="479" customWidth="1"/>
    <col min="5584" max="5585" width="2" style="479" customWidth="1"/>
    <col min="5586" max="5586" width="2.5703125" style="479" customWidth="1"/>
    <col min="5587" max="5587" width="2.28515625" style="479" customWidth="1"/>
    <col min="5588" max="5588" width="11.42578125" style="479"/>
    <col min="5589" max="5589" width="1.85546875" style="479" customWidth="1"/>
    <col min="5590" max="5590" width="2" style="479" customWidth="1"/>
    <col min="5591" max="5592" width="11.42578125" style="479" hidden="1" customWidth="1"/>
    <col min="5593" max="5593" width="2.140625" style="479" customWidth="1"/>
    <col min="5594" max="5594" width="2.28515625" style="479" customWidth="1"/>
    <col min="5595" max="5595" width="2" style="479" customWidth="1"/>
    <col min="5596" max="5596" width="1.7109375" style="479" customWidth="1"/>
    <col min="5597" max="5838" width="11.42578125" style="479"/>
    <col min="5839" max="5839" width="1.85546875" style="479" customWidth="1"/>
    <col min="5840" max="5841" width="2" style="479" customWidth="1"/>
    <col min="5842" max="5842" width="2.5703125" style="479" customWidth="1"/>
    <col min="5843" max="5843" width="2.28515625" style="479" customWidth="1"/>
    <col min="5844" max="5844" width="11.42578125" style="479"/>
    <col min="5845" max="5845" width="1.85546875" style="479" customWidth="1"/>
    <col min="5846" max="5846" width="2" style="479" customWidth="1"/>
    <col min="5847" max="5848" width="11.42578125" style="479" hidden="1" customWidth="1"/>
    <col min="5849" max="5849" width="2.140625" style="479" customWidth="1"/>
    <col min="5850" max="5850" width="2.28515625" style="479" customWidth="1"/>
    <col min="5851" max="5851" width="2" style="479" customWidth="1"/>
    <col min="5852" max="5852" width="1.7109375" style="479" customWidth="1"/>
    <col min="5853" max="6094" width="11.42578125" style="479"/>
    <col min="6095" max="6095" width="1.85546875" style="479" customWidth="1"/>
    <col min="6096" max="6097" width="2" style="479" customWidth="1"/>
    <col min="6098" max="6098" width="2.5703125" style="479" customWidth="1"/>
    <col min="6099" max="6099" width="2.28515625" style="479" customWidth="1"/>
    <col min="6100" max="6100" width="11.42578125" style="479"/>
    <col min="6101" max="6101" width="1.85546875" style="479" customWidth="1"/>
    <col min="6102" max="6102" width="2" style="479" customWidth="1"/>
    <col min="6103" max="6104" width="11.42578125" style="479" hidden="1" customWidth="1"/>
    <col min="6105" max="6105" width="2.140625" style="479" customWidth="1"/>
    <col min="6106" max="6106" width="2.28515625" style="479" customWidth="1"/>
    <col min="6107" max="6107" width="2" style="479" customWidth="1"/>
    <col min="6108" max="6108" width="1.7109375" style="479" customWidth="1"/>
    <col min="6109" max="6350" width="11.42578125" style="479"/>
    <col min="6351" max="6351" width="1.85546875" style="479" customWidth="1"/>
    <col min="6352" max="6353" width="2" style="479" customWidth="1"/>
    <col min="6354" max="6354" width="2.5703125" style="479" customWidth="1"/>
    <col min="6355" max="6355" width="2.28515625" style="479" customWidth="1"/>
    <col min="6356" max="6356" width="11.42578125" style="479"/>
    <col min="6357" max="6357" width="1.85546875" style="479" customWidth="1"/>
    <col min="6358" max="6358" width="2" style="479" customWidth="1"/>
    <col min="6359" max="6360" width="11.42578125" style="479" hidden="1" customWidth="1"/>
    <col min="6361" max="6361" width="2.140625" style="479" customWidth="1"/>
    <col min="6362" max="6362" width="2.28515625" style="479" customWidth="1"/>
    <col min="6363" max="6363" width="2" style="479" customWidth="1"/>
    <col min="6364" max="6364" width="1.7109375" style="479" customWidth="1"/>
    <col min="6365" max="6606" width="11.42578125" style="479"/>
    <col min="6607" max="6607" width="1.85546875" style="479" customWidth="1"/>
    <col min="6608" max="6609" width="2" style="479" customWidth="1"/>
    <col min="6610" max="6610" width="2.5703125" style="479" customWidth="1"/>
    <col min="6611" max="6611" width="2.28515625" style="479" customWidth="1"/>
    <col min="6612" max="6612" width="11.42578125" style="479"/>
    <col min="6613" max="6613" width="1.85546875" style="479" customWidth="1"/>
    <col min="6614" max="6614" width="2" style="479" customWidth="1"/>
    <col min="6615" max="6616" width="11.42578125" style="479" hidden="1" customWidth="1"/>
    <col min="6617" max="6617" width="2.140625" style="479" customWidth="1"/>
    <col min="6618" max="6618" width="2.28515625" style="479" customWidth="1"/>
    <col min="6619" max="6619" width="2" style="479" customWidth="1"/>
    <col min="6620" max="6620" width="1.7109375" style="479" customWidth="1"/>
    <col min="6621" max="6862" width="11.42578125" style="479"/>
    <col min="6863" max="6863" width="1.85546875" style="479" customWidth="1"/>
    <col min="6864" max="6865" width="2" style="479" customWidth="1"/>
    <col min="6866" max="6866" width="2.5703125" style="479" customWidth="1"/>
    <col min="6867" max="6867" width="2.28515625" style="479" customWidth="1"/>
    <col min="6868" max="6868" width="11.42578125" style="479"/>
    <col min="6869" max="6869" width="1.85546875" style="479" customWidth="1"/>
    <col min="6870" max="6870" width="2" style="479" customWidth="1"/>
    <col min="6871" max="6872" width="11.42578125" style="479" hidden="1" customWidth="1"/>
    <col min="6873" max="6873" width="2.140625" style="479" customWidth="1"/>
    <col min="6874" max="6874" width="2.28515625" style="479" customWidth="1"/>
    <col min="6875" max="6875" width="2" style="479" customWidth="1"/>
    <col min="6876" max="6876" width="1.7109375" style="479" customWidth="1"/>
    <col min="6877" max="7118" width="11.42578125" style="479"/>
    <col min="7119" max="7119" width="1.85546875" style="479" customWidth="1"/>
    <col min="7120" max="7121" width="2" style="479" customWidth="1"/>
    <col min="7122" max="7122" width="2.5703125" style="479" customWidth="1"/>
    <col min="7123" max="7123" width="2.28515625" style="479" customWidth="1"/>
    <col min="7124" max="7124" width="11.42578125" style="479"/>
    <col min="7125" max="7125" width="1.85546875" style="479" customWidth="1"/>
    <col min="7126" max="7126" width="2" style="479" customWidth="1"/>
    <col min="7127" max="7128" width="11.42578125" style="479" hidden="1" customWidth="1"/>
    <col min="7129" max="7129" width="2.140625" style="479" customWidth="1"/>
    <col min="7130" max="7130" width="2.28515625" style="479" customWidth="1"/>
    <col min="7131" max="7131" width="2" style="479" customWidth="1"/>
    <col min="7132" max="7132" width="1.7109375" style="479" customWidth="1"/>
    <col min="7133" max="7374" width="11.42578125" style="479"/>
    <col min="7375" max="7375" width="1.85546875" style="479" customWidth="1"/>
    <col min="7376" max="7377" width="2" style="479" customWidth="1"/>
    <col min="7378" max="7378" width="2.5703125" style="479" customWidth="1"/>
    <col min="7379" max="7379" width="2.28515625" style="479" customWidth="1"/>
    <col min="7380" max="7380" width="11.42578125" style="479"/>
    <col min="7381" max="7381" width="1.85546875" style="479" customWidth="1"/>
    <col min="7382" max="7382" width="2" style="479" customWidth="1"/>
    <col min="7383" max="7384" width="11.42578125" style="479" hidden="1" customWidth="1"/>
    <col min="7385" max="7385" width="2.140625" style="479" customWidth="1"/>
    <col min="7386" max="7386" width="2.28515625" style="479" customWidth="1"/>
    <col min="7387" max="7387" width="2" style="479" customWidth="1"/>
    <col min="7388" max="7388" width="1.7109375" style="479" customWidth="1"/>
    <col min="7389" max="7630" width="11.42578125" style="479"/>
    <col min="7631" max="7631" width="1.85546875" style="479" customWidth="1"/>
    <col min="7632" max="7633" width="2" style="479" customWidth="1"/>
    <col min="7634" max="7634" width="2.5703125" style="479" customWidth="1"/>
    <col min="7635" max="7635" width="2.28515625" style="479" customWidth="1"/>
    <col min="7636" max="7636" width="11.42578125" style="479"/>
    <col min="7637" max="7637" width="1.85546875" style="479" customWidth="1"/>
    <col min="7638" max="7638" width="2" style="479" customWidth="1"/>
    <col min="7639" max="7640" width="11.42578125" style="479" hidden="1" customWidth="1"/>
    <col min="7641" max="7641" width="2.140625" style="479" customWidth="1"/>
    <col min="7642" max="7642" width="2.28515625" style="479" customWidth="1"/>
    <col min="7643" max="7643" width="2" style="479" customWidth="1"/>
    <col min="7644" max="7644" width="1.7109375" style="479" customWidth="1"/>
    <col min="7645" max="7886" width="11.42578125" style="479"/>
    <col min="7887" max="7887" width="1.85546875" style="479" customWidth="1"/>
    <col min="7888" max="7889" width="2" style="479" customWidth="1"/>
    <col min="7890" max="7890" width="2.5703125" style="479" customWidth="1"/>
    <col min="7891" max="7891" width="2.28515625" style="479" customWidth="1"/>
    <col min="7892" max="7892" width="11.42578125" style="479"/>
    <col min="7893" max="7893" width="1.85546875" style="479" customWidth="1"/>
    <col min="7894" max="7894" width="2" style="479" customWidth="1"/>
    <col min="7895" max="7896" width="11.42578125" style="479" hidden="1" customWidth="1"/>
    <col min="7897" max="7897" width="2.140625" style="479" customWidth="1"/>
    <col min="7898" max="7898" width="2.28515625" style="479" customWidth="1"/>
    <col min="7899" max="7899" width="2" style="479" customWidth="1"/>
    <col min="7900" max="7900" width="1.7109375" style="479" customWidth="1"/>
    <col min="7901" max="8142" width="11.42578125" style="479"/>
    <col min="8143" max="8143" width="1.85546875" style="479" customWidth="1"/>
    <col min="8144" max="8145" width="2" style="479" customWidth="1"/>
    <col min="8146" max="8146" width="2.5703125" style="479" customWidth="1"/>
    <col min="8147" max="8147" width="2.28515625" style="479" customWidth="1"/>
    <col min="8148" max="8148" width="11.42578125" style="479"/>
    <col min="8149" max="8149" width="1.85546875" style="479" customWidth="1"/>
    <col min="8150" max="8150" width="2" style="479" customWidth="1"/>
    <col min="8151" max="8152" width="11.42578125" style="479" hidden="1" customWidth="1"/>
    <col min="8153" max="8153" width="2.140625" style="479" customWidth="1"/>
    <col min="8154" max="8154" width="2.28515625" style="479" customWidth="1"/>
    <col min="8155" max="8155" width="2" style="479" customWidth="1"/>
    <col min="8156" max="8156" width="1.7109375" style="479" customWidth="1"/>
    <col min="8157" max="8398" width="11.42578125" style="479"/>
    <col min="8399" max="8399" width="1.85546875" style="479" customWidth="1"/>
    <col min="8400" max="8401" width="2" style="479" customWidth="1"/>
    <col min="8402" max="8402" width="2.5703125" style="479" customWidth="1"/>
    <col min="8403" max="8403" width="2.28515625" style="479" customWidth="1"/>
    <col min="8404" max="8404" width="11.42578125" style="479"/>
    <col min="8405" max="8405" width="1.85546875" style="479" customWidth="1"/>
    <col min="8406" max="8406" width="2" style="479" customWidth="1"/>
    <col min="8407" max="8408" width="11.42578125" style="479" hidden="1" customWidth="1"/>
    <col min="8409" max="8409" width="2.140625" style="479" customWidth="1"/>
    <col min="8410" max="8410" width="2.28515625" style="479" customWidth="1"/>
    <col min="8411" max="8411" width="2" style="479" customWidth="1"/>
    <col min="8412" max="8412" width="1.7109375" style="479" customWidth="1"/>
    <col min="8413" max="8654" width="11.42578125" style="479"/>
    <col min="8655" max="8655" width="1.85546875" style="479" customWidth="1"/>
    <col min="8656" max="8657" width="2" style="479" customWidth="1"/>
    <col min="8658" max="8658" width="2.5703125" style="479" customWidth="1"/>
    <col min="8659" max="8659" width="2.28515625" style="479" customWidth="1"/>
    <col min="8660" max="8660" width="11.42578125" style="479"/>
    <col min="8661" max="8661" width="1.85546875" style="479" customWidth="1"/>
    <col min="8662" max="8662" width="2" style="479" customWidth="1"/>
    <col min="8663" max="8664" width="11.42578125" style="479" hidden="1" customWidth="1"/>
    <col min="8665" max="8665" width="2.140625" style="479" customWidth="1"/>
    <col min="8666" max="8666" width="2.28515625" style="479" customWidth="1"/>
    <col min="8667" max="8667" width="2" style="479" customWidth="1"/>
    <col min="8668" max="8668" width="1.7109375" style="479" customWidth="1"/>
    <col min="8669" max="8910" width="11.42578125" style="479"/>
    <col min="8911" max="8911" width="1.85546875" style="479" customWidth="1"/>
    <col min="8912" max="8913" width="2" style="479" customWidth="1"/>
    <col min="8914" max="8914" width="2.5703125" style="479" customWidth="1"/>
    <col min="8915" max="8915" width="2.28515625" style="479" customWidth="1"/>
    <col min="8916" max="8916" width="11.42578125" style="479"/>
    <col min="8917" max="8917" width="1.85546875" style="479" customWidth="1"/>
    <col min="8918" max="8918" width="2" style="479" customWidth="1"/>
    <col min="8919" max="8920" width="11.42578125" style="479" hidden="1" customWidth="1"/>
    <col min="8921" max="8921" width="2.140625" style="479" customWidth="1"/>
    <col min="8922" max="8922" width="2.28515625" style="479" customWidth="1"/>
    <col min="8923" max="8923" width="2" style="479" customWidth="1"/>
    <col min="8924" max="8924" width="1.7109375" style="479" customWidth="1"/>
    <col min="8925" max="9166" width="11.42578125" style="479"/>
    <col min="9167" max="9167" width="1.85546875" style="479" customWidth="1"/>
    <col min="9168" max="9169" width="2" style="479" customWidth="1"/>
    <col min="9170" max="9170" width="2.5703125" style="479" customWidth="1"/>
    <col min="9171" max="9171" width="2.28515625" style="479" customWidth="1"/>
    <col min="9172" max="9172" width="11.42578125" style="479"/>
    <col min="9173" max="9173" width="1.85546875" style="479" customWidth="1"/>
    <col min="9174" max="9174" width="2" style="479" customWidth="1"/>
    <col min="9175" max="9176" width="11.42578125" style="479" hidden="1" customWidth="1"/>
    <col min="9177" max="9177" width="2.140625" style="479" customWidth="1"/>
    <col min="9178" max="9178" width="2.28515625" style="479" customWidth="1"/>
    <col min="9179" max="9179" width="2" style="479" customWidth="1"/>
    <col min="9180" max="9180" width="1.7109375" style="479" customWidth="1"/>
    <col min="9181" max="9422" width="11.42578125" style="479"/>
    <col min="9423" max="9423" width="1.85546875" style="479" customWidth="1"/>
    <col min="9424" max="9425" width="2" style="479" customWidth="1"/>
    <col min="9426" max="9426" width="2.5703125" style="479" customWidth="1"/>
    <col min="9427" max="9427" width="2.28515625" style="479" customWidth="1"/>
    <col min="9428" max="9428" width="11.42578125" style="479"/>
    <col min="9429" max="9429" width="1.85546875" style="479" customWidth="1"/>
    <col min="9430" max="9430" width="2" style="479" customWidth="1"/>
    <col min="9431" max="9432" width="11.42578125" style="479" hidden="1" customWidth="1"/>
    <col min="9433" max="9433" width="2.140625" style="479" customWidth="1"/>
    <col min="9434" max="9434" width="2.28515625" style="479" customWidth="1"/>
    <col min="9435" max="9435" width="2" style="479" customWidth="1"/>
    <col min="9436" max="9436" width="1.7109375" style="479" customWidth="1"/>
    <col min="9437" max="9678" width="11.42578125" style="479"/>
    <col min="9679" max="9679" width="1.85546875" style="479" customWidth="1"/>
    <col min="9680" max="9681" width="2" style="479" customWidth="1"/>
    <col min="9682" max="9682" width="2.5703125" style="479" customWidth="1"/>
    <col min="9683" max="9683" width="2.28515625" style="479" customWidth="1"/>
    <col min="9684" max="9684" width="11.42578125" style="479"/>
    <col min="9685" max="9685" width="1.85546875" style="479" customWidth="1"/>
    <col min="9686" max="9686" width="2" style="479" customWidth="1"/>
    <col min="9687" max="9688" width="11.42578125" style="479" hidden="1" customWidth="1"/>
    <col min="9689" max="9689" width="2.140625" style="479" customWidth="1"/>
    <col min="9690" max="9690" width="2.28515625" style="479" customWidth="1"/>
    <col min="9691" max="9691" width="2" style="479" customWidth="1"/>
    <col min="9692" max="9692" width="1.7109375" style="479" customWidth="1"/>
    <col min="9693" max="9934" width="11.42578125" style="479"/>
    <col min="9935" max="9935" width="1.85546875" style="479" customWidth="1"/>
    <col min="9936" max="9937" width="2" style="479" customWidth="1"/>
    <col min="9938" max="9938" width="2.5703125" style="479" customWidth="1"/>
    <col min="9939" max="9939" width="2.28515625" style="479" customWidth="1"/>
    <col min="9940" max="9940" width="11.42578125" style="479"/>
    <col min="9941" max="9941" width="1.85546875" style="479" customWidth="1"/>
    <col min="9942" max="9942" width="2" style="479" customWidth="1"/>
    <col min="9943" max="9944" width="11.42578125" style="479" hidden="1" customWidth="1"/>
    <col min="9945" max="9945" width="2.140625" style="479" customWidth="1"/>
    <col min="9946" max="9946" width="2.28515625" style="479" customWidth="1"/>
    <col min="9947" max="9947" width="2" style="479" customWidth="1"/>
    <col min="9948" max="9948" width="1.7109375" style="479" customWidth="1"/>
    <col min="9949" max="10190" width="11.42578125" style="479"/>
    <col min="10191" max="10191" width="1.85546875" style="479" customWidth="1"/>
    <col min="10192" max="10193" width="2" style="479" customWidth="1"/>
    <col min="10194" max="10194" width="2.5703125" style="479" customWidth="1"/>
    <col min="10195" max="10195" width="2.28515625" style="479" customWidth="1"/>
    <col min="10196" max="10196" width="11.42578125" style="479"/>
    <col min="10197" max="10197" width="1.85546875" style="479" customWidth="1"/>
    <col min="10198" max="10198" width="2" style="479" customWidth="1"/>
    <col min="10199" max="10200" width="11.42578125" style="479" hidden="1" customWidth="1"/>
    <col min="10201" max="10201" width="2.140625" style="479" customWidth="1"/>
    <col min="10202" max="10202" width="2.28515625" style="479" customWidth="1"/>
    <col min="10203" max="10203" width="2" style="479" customWidth="1"/>
    <col min="10204" max="10204" width="1.7109375" style="479" customWidth="1"/>
    <col min="10205" max="10446" width="11.42578125" style="479"/>
    <col min="10447" max="10447" width="1.85546875" style="479" customWidth="1"/>
    <col min="10448" max="10449" width="2" style="479" customWidth="1"/>
    <col min="10450" max="10450" width="2.5703125" style="479" customWidth="1"/>
    <col min="10451" max="10451" width="2.28515625" style="479" customWidth="1"/>
    <col min="10452" max="10452" width="11.42578125" style="479"/>
    <col min="10453" max="10453" width="1.85546875" style="479" customWidth="1"/>
    <col min="10454" max="10454" width="2" style="479" customWidth="1"/>
    <col min="10455" max="10456" width="11.42578125" style="479" hidden="1" customWidth="1"/>
    <col min="10457" max="10457" width="2.140625" style="479" customWidth="1"/>
    <col min="10458" max="10458" width="2.28515625" style="479" customWidth="1"/>
    <col min="10459" max="10459" width="2" style="479" customWidth="1"/>
    <col min="10460" max="10460" width="1.7109375" style="479" customWidth="1"/>
    <col min="10461" max="10702" width="11.42578125" style="479"/>
    <col min="10703" max="10703" width="1.85546875" style="479" customWidth="1"/>
    <col min="10704" max="10705" width="2" style="479" customWidth="1"/>
    <col min="10706" max="10706" width="2.5703125" style="479" customWidth="1"/>
    <col min="10707" max="10707" width="2.28515625" style="479" customWidth="1"/>
    <col min="10708" max="10708" width="11.42578125" style="479"/>
    <col min="10709" max="10709" width="1.85546875" style="479" customWidth="1"/>
    <col min="10710" max="10710" width="2" style="479" customWidth="1"/>
    <col min="10711" max="10712" width="11.42578125" style="479" hidden="1" customWidth="1"/>
    <col min="10713" max="10713" width="2.140625" style="479" customWidth="1"/>
    <col min="10714" max="10714" width="2.28515625" style="479" customWidth="1"/>
    <col min="10715" max="10715" width="2" style="479" customWidth="1"/>
    <col min="10716" max="10716" width="1.7109375" style="479" customWidth="1"/>
    <col min="10717" max="10958" width="11.42578125" style="479"/>
    <col min="10959" max="10959" width="1.85546875" style="479" customWidth="1"/>
    <col min="10960" max="10961" width="2" style="479" customWidth="1"/>
    <col min="10962" max="10962" width="2.5703125" style="479" customWidth="1"/>
    <col min="10963" max="10963" width="2.28515625" style="479" customWidth="1"/>
    <col min="10964" max="10964" width="11.42578125" style="479"/>
    <col min="10965" max="10965" width="1.85546875" style="479" customWidth="1"/>
    <col min="10966" max="10966" width="2" style="479" customWidth="1"/>
    <col min="10967" max="10968" width="11.42578125" style="479" hidden="1" customWidth="1"/>
    <col min="10969" max="10969" width="2.140625" style="479" customWidth="1"/>
    <col min="10970" max="10970" width="2.28515625" style="479" customWidth="1"/>
    <col min="10971" max="10971" width="2" style="479" customWidth="1"/>
    <col min="10972" max="10972" width="1.7109375" style="479" customWidth="1"/>
    <col min="10973" max="11214" width="11.42578125" style="479"/>
    <col min="11215" max="11215" width="1.85546875" style="479" customWidth="1"/>
    <col min="11216" max="11217" width="2" style="479" customWidth="1"/>
    <col min="11218" max="11218" width="2.5703125" style="479" customWidth="1"/>
    <col min="11219" max="11219" width="2.28515625" style="479" customWidth="1"/>
    <col min="11220" max="11220" width="11.42578125" style="479"/>
    <col min="11221" max="11221" width="1.85546875" style="479" customWidth="1"/>
    <col min="11222" max="11222" width="2" style="479" customWidth="1"/>
    <col min="11223" max="11224" width="11.42578125" style="479" hidden="1" customWidth="1"/>
    <col min="11225" max="11225" width="2.140625" style="479" customWidth="1"/>
    <col min="11226" max="11226" width="2.28515625" style="479" customWidth="1"/>
    <col min="11227" max="11227" width="2" style="479" customWidth="1"/>
    <col min="11228" max="11228" width="1.7109375" style="479" customWidth="1"/>
    <col min="11229" max="11470" width="11.42578125" style="479"/>
    <col min="11471" max="11471" width="1.85546875" style="479" customWidth="1"/>
    <col min="11472" max="11473" width="2" style="479" customWidth="1"/>
    <col min="11474" max="11474" width="2.5703125" style="479" customWidth="1"/>
    <col min="11475" max="11475" width="2.28515625" style="479" customWidth="1"/>
    <col min="11476" max="11476" width="11.42578125" style="479"/>
    <col min="11477" max="11477" width="1.85546875" style="479" customWidth="1"/>
    <col min="11478" max="11478" width="2" style="479" customWidth="1"/>
    <col min="11479" max="11480" width="11.42578125" style="479" hidden="1" customWidth="1"/>
    <col min="11481" max="11481" width="2.140625" style="479" customWidth="1"/>
    <col min="11482" max="11482" width="2.28515625" style="479" customWidth="1"/>
    <col min="11483" max="11483" width="2" style="479" customWidth="1"/>
    <col min="11484" max="11484" width="1.7109375" style="479" customWidth="1"/>
    <col min="11485" max="11726" width="11.42578125" style="479"/>
    <col min="11727" max="11727" width="1.85546875" style="479" customWidth="1"/>
    <col min="11728" max="11729" width="2" style="479" customWidth="1"/>
    <col min="11730" max="11730" width="2.5703125" style="479" customWidth="1"/>
    <col min="11731" max="11731" width="2.28515625" style="479" customWidth="1"/>
    <col min="11732" max="11732" width="11.42578125" style="479"/>
    <col min="11733" max="11733" width="1.85546875" style="479" customWidth="1"/>
    <col min="11734" max="11734" width="2" style="479" customWidth="1"/>
    <col min="11735" max="11736" width="11.42578125" style="479" hidden="1" customWidth="1"/>
    <col min="11737" max="11737" width="2.140625" style="479" customWidth="1"/>
    <col min="11738" max="11738" width="2.28515625" style="479" customWidth="1"/>
    <col min="11739" max="11739" width="2" style="479" customWidth="1"/>
    <col min="11740" max="11740" width="1.7109375" style="479" customWidth="1"/>
    <col min="11741" max="11982" width="11.42578125" style="479"/>
    <col min="11983" max="11983" width="1.85546875" style="479" customWidth="1"/>
    <col min="11984" max="11985" width="2" style="479" customWidth="1"/>
    <col min="11986" max="11986" width="2.5703125" style="479" customWidth="1"/>
    <col min="11987" max="11987" width="2.28515625" style="479" customWidth="1"/>
    <col min="11988" max="11988" width="11.42578125" style="479"/>
    <col min="11989" max="11989" width="1.85546875" style="479" customWidth="1"/>
    <col min="11990" max="11990" width="2" style="479" customWidth="1"/>
    <col min="11991" max="11992" width="11.42578125" style="479" hidden="1" customWidth="1"/>
    <col min="11993" max="11993" width="2.140625" style="479" customWidth="1"/>
    <col min="11994" max="11994" width="2.28515625" style="479" customWidth="1"/>
    <col min="11995" max="11995" width="2" style="479" customWidth="1"/>
    <col min="11996" max="11996" width="1.7109375" style="479" customWidth="1"/>
    <col min="11997" max="12238" width="11.42578125" style="479"/>
    <col min="12239" max="12239" width="1.85546875" style="479" customWidth="1"/>
    <col min="12240" max="12241" width="2" style="479" customWidth="1"/>
    <col min="12242" max="12242" width="2.5703125" style="479" customWidth="1"/>
    <col min="12243" max="12243" width="2.28515625" style="479" customWidth="1"/>
    <col min="12244" max="12244" width="11.42578125" style="479"/>
    <col min="12245" max="12245" width="1.85546875" style="479" customWidth="1"/>
    <col min="12246" max="12246" width="2" style="479" customWidth="1"/>
    <col min="12247" max="12248" width="11.42578125" style="479" hidden="1" customWidth="1"/>
    <col min="12249" max="12249" width="2.140625" style="479" customWidth="1"/>
    <col min="12250" max="12250" width="2.28515625" style="479" customWidth="1"/>
    <col min="12251" max="12251" width="2" style="479" customWidth="1"/>
    <col min="12252" max="12252" width="1.7109375" style="479" customWidth="1"/>
    <col min="12253" max="12494" width="11.42578125" style="479"/>
    <col min="12495" max="12495" width="1.85546875" style="479" customWidth="1"/>
    <col min="12496" max="12497" width="2" style="479" customWidth="1"/>
    <col min="12498" max="12498" width="2.5703125" style="479" customWidth="1"/>
    <col min="12499" max="12499" width="2.28515625" style="479" customWidth="1"/>
    <col min="12500" max="12500" width="11.42578125" style="479"/>
    <col min="12501" max="12501" width="1.85546875" style="479" customWidth="1"/>
    <col min="12502" max="12502" width="2" style="479" customWidth="1"/>
    <col min="12503" max="12504" width="11.42578125" style="479" hidden="1" customWidth="1"/>
    <col min="12505" max="12505" width="2.140625" style="479" customWidth="1"/>
    <col min="12506" max="12506" width="2.28515625" style="479" customWidth="1"/>
    <col min="12507" max="12507" width="2" style="479" customWidth="1"/>
    <col min="12508" max="12508" width="1.7109375" style="479" customWidth="1"/>
    <col min="12509" max="12750" width="11.42578125" style="479"/>
    <col min="12751" max="12751" width="1.85546875" style="479" customWidth="1"/>
    <col min="12752" max="12753" width="2" style="479" customWidth="1"/>
    <col min="12754" max="12754" width="2.5703125" style="479" customWidth="1"/>
    <col min="12755" max="12755" width="2.28515625" style="479" customWidth="1"/>
    <col min="12756" max="12756" width="11.42578125" style="479"/>
    <col min="12757" max="12757" width="1.85546875" style="479" customWidth="1"/>
    <col min="12758" max="12758" width="2" style="479" customWidth="1"/>
    <col min="12759" max="12760" width="11.42578125" style="479" hidden="1" customWidth="1"/>
    <col min="12761" max="12761" width="2.140625" style="479" customWidth="1"/>
    <col min="12762" max="12762" width="2.28515625" style="479" customWidth="1"/>
    <col min="12763" max="12763" width="2" style="479" customWidth="1"/>
    <col min="12764" max="12764" width="1.7109375" style="479" customWidth="1"/>
    <col min="12765" max="13006" width="11.42578125" style="479"/>
    <col min="13007" max="13007" width="1.85546875" style="479" customWidth="1"/>
    <col min="13008" max="13009" width="2" style="479" customWidth="1"/>
    <col min="13010" max="13010" width="2.5703125" style="479" customWidth="1"/>
    <col min="13011" max="13011" width="2.28515625" style="479" customWidth="1"/>
    <col min="13012" max="13012" width="11.42578125" style="479"/>
    <col min="13013" max="13013" width="1.85546875" style="479" customWidth="1"/>
    <col min="13014" max="13014" width="2" style="479" customWidth="1"/>
    <col min="13015" max="13016" width="11.42578125" style="479" hidden="1" customWidth="1"/>
    <col min="13017" max="13017" width="2.140625" style="479" customWidth="1"/>
    <col min="13018" max="13018" width="2.28515625" style="479" customWidth="1"/>
    <col min="13019" max="13019" width="2" style="479" customWidth="1"/>
    <col min="13020" max="13020" width="1.7109375" style="479" customWidth="1"/>
    <col min="13021" max="13262" width="11.42578125" style="479"/>
    <col min="13263" max="13263" width="1.85546875" style="479" customWidth="1"/>
    <col min="13264" max="13265" width="2" style="479" customWidth="1"/>
    <col min="13266" max="13266" width="2.5703125" style="479" customWidth="1"/>
    <col min="13267" max="13267" width="2.28515625" style="479" customWidth="1"/>
    <col min="13268" max="13268" width="11.42578125" style="479"/>
    <col min="13269" max="13269" width="1.85546875" style="479" customWidth="1"/>
    <col min="13270" max="13270" width="2" style="479" customWidth="1"/>
    <col min="13271" max="13272" width="11.42578125" style="479" hidden="1" customWidth="1"/>
    <col min="13273" max="13273" width="2.140625" style="479" customWidth="1"/>
    <col min="13274" max="13274" width="2.28515625" style="479" customWidth="1"/>
    <col min="13275" max="13275" width="2" style="479" customWidth="1"/>
    <col min="13276" max="13276" width="1.7109375" style="479" customWidth="1"/>
    <col min="13277" max="13518" width="11.42578125" style="479"/>
    <col min="13519" max="13519" width="1.85546875" style="479" customWidth="1"/>
    <col min="13520" max="13521" width="2" style="479" customWidth="1"/>
    <col min="13522" max="13522" width="2.5703125" style="479" customWidth="1"/>
    <col min="13523" max="13523" width="2.28515625" style="479" customWidth="1"/>
    <col min="13524" max="13524" width="11.42578125" style="479"/>
    <col min="13525" max="13525" width="1.85546875" style="479" customWidth="1"/>
    <col min="13526" max="13526" width="2" style="479" customWidth="1"/>
    <col min="13527" max="13528" width="11.42578125" style="479" hidden="1" customWidth="1"/>
    <col min="13529" max="13529" width="2.140625" style="479" customWidth="1"/>
    <col min="13530" max="13530" width="2.28515625" style="479" customWidth="1"/>
    <col min="13531" max="13531" width="2" style="479" customWidth="1"/>
    <col min="13532" max="13532" width="1.7109375" style="479" customWidth="1"/>
    <col min="13533" max="13774" width="11.42578125" style="479"/>
    <col min="13775" max="13775" width="1.85546875" style="479" customWidth="1"/>
    <col min="13776" max="13777" width="2" style="479" customWidth="1"/>
    <col min="13778" max="13778" width="2.5703125" style="479" customWidth="1"/>
    <col min="13779" max="13779" width="2.28515625" style="479" customWidth="1"/>
    <col min="13780" max="13780" width="11.42578125" style="479"/>
    <col min="13781" max="13781" width="1.85546875" style="479" customWidth="1"/>
    <col min="13782" max="13782" width="2" style="479" customWidth="1"/>
    <col min="13783" max="13784" width="11.42578125" style="479" hidden="1" customWidth="1"/>
    <col min="13785" max="13785" width="2.140625" style="479" customWidth="1"/>
    <col min="13786" max="13786" width="2.28515625" style="479" customWidth="1"/>
    <col min="13787" max="13787" width="2" style="479" customWidth="1"/>
    <col min="13788" max="13788" width="1.7109375" style="479" customWidth="1"/>
    <col min="13789" max="14030" width="11.42578125" style="479"/>
    <col min="14031" max="14031" width="1.85546875" style="479" customWidth="1"/>
    <col min="14032" max="14033" width="2" style="479" customWidth="1"/>
    <col min="14034" max="14034" width="2.5703125" style="479" customWidth="1"/>
    <col min="14035" max="14035" width="2.28515625" style="479" customWidth="1"/>
    <col min="14036" max="14036" width="11.42578125" style="479"/>
    <col min="14037" max="14037" width="1.85546875" style="479" customWidth="1"/>
    <col min="14038" max="14038" width="2" style="479" customWidth="1"/>
    <col min="14039" max="14040" width="11.42578125" style="479" hidden="1" customWidth="1"/>
    <col min="14041" max="14041" width="2.140625" style="479" customWidth="1"/>
    <col min="14042" max="14042" width="2.28515625" style="479" customWidth="1"/>
    <col min="14043" max="14043" width="2" style="479" customWidth="1"/>
    <col min="14044" max="14044" width="1.7109375" style="479" customWidth="1"/>
    <col min="14045" max="14286" width="11.42578125" style="479"/>
    <col min="14287" max="14287" width="1.85546875" style="479" customWidth="1"/>
    <col min="14288" max="14289" width="2" style="479" customWidth="1"/>
    <col min="14290" max="14290" width="2.5703125" style="479" customWidth="1"/>
    <col min="14291" max="14291" width="2.28515625" style="479" customWidth="1"/>
    <col min="14292" max="14292" width="11.42578125" style="479"/>
    <col min="14293" max="14293" width="1.85546875" style="479" customWidth="1"/>
    <col min="14294" max="14294" width="2" style="479" customWidth="1"/>
    <col min="14295" max="14296" width="11.42578125" style="479" hidden="1" customWidth="1"/>
    <col min="14297" max="14297" width="2.140625" style="479" customWidth="1"/>
    <col min="14298" max="14298" width="2.28515625" style="479" customWidth="1"/>
    <col min="14299" max="14299" width="2" style="479" customWidth="1"/>
    <col min="14300" max="14300" width="1.7109375" style="479" customWidth="1"/>
    <col min="14301" max="14542" width="11.42578125" style="479"/>
    <col min="14543" max="14543" width="1.85546875" style="479" customWidth="1"/>
    <col min="14544" max="14545" width="2" style="479" customWidth="1"/>
    <col min="14546" max="14546" width="2.5703125" style="479" customWidth="1"/>
    <col min="14547" max="14547" width="2.28515625" style="479" customWidth="1"/>
    <col min="14548" max="14548" width="11.42578125" style="479"/>
    <col min="14549" max="14549" width="1.85546875" style="479" customWidth="1"/>
    <col min="14550" max="14550" width="2" style="479" customWidth="1"/>
    <col min="14551" max="14552" width="11.42578125" style="479" hidden="1" customWidth="1"/>
    <col min="14553" max="14553" width="2.140625" style="479" customWidth="1"/>
    <col min="14554" max="14554" width="2.28515625" style="479" customWidth="1"/>
    <col min="14555" max="14555" width="2" style="479" customWidth="1"/>
    <col min="14556" max="14556" width="1.7109375" style="479" customWidth="1"/>
    <col min="14557" max="14798" width="11.42578125" style="479"/>
    <col min="14799" max="14799" width="1.85546875" style="479" customWidth="1"/>
    <col min="14800" max="14801" width="2" style="479" customWidth="1"/>
    <col min="14802" max="14802" width="2.5703125" style="479" customWidth="1"/>
    <col min="14803" max="14803" width="2.28515625" style="479" customWidth="1"/>
    <col min="14804" max="14804" width="11.42578125" style="479"/>
    <col min="14805" max="14805" width="1.85546875" style="479" customWidth="1"/>
    <col min="14806" max="14806" width="2" style="479" customWidth="1"/>
    <col min="14807" max="14808" width="11.42578125" style="479" hidden="1" customWidth="1"/>
    <col min="14809" max="14809" width="2.140625" style="479" customWidth="1"/>
    <col min="14810" max="14810" width="2.28515625" style="479" customWidth="1"/>
    <col min="14811" max="14811" width="2" style="479" customWidth="1"/>
    <col min="14812" max="14812" width="1.7109375" style="479" customWidth="1"/>
    <col min="14813" max="15054" width="11.42578125" style="479"/>
    <col min="15055" max="15055" width="1.85546875" style="479" customWidth="1"/>
    <col min="15056" max="15057" width="2" style="479" customWidth="1"/>
    <col min="15058" max="15058" width="2.5703125" style="479" customWidth="1"/>
    <col min="15059" max="15059" width="2.28515625" style="479" customWidth="1"/>
    <col min="15060" max="15060" width="11.42578125" style="479"/>
    <col min="15061" max="15061" width="1.85546875" style="479" customWidth="1"/>
    <col min="15062" max="15062" width="2" style="479" customWidth="1"/>
    <col min="15063" max="15064" width="11.42578125" style="479" hidden="1" customWidth="1"/>
    <col min="15065" max="15065" width="2.140625" style="479" customWidth="1"/>
    <col min="15066" max="15066" width="2.28515625" style="479" customWidth="1"/>
    <col min="15067" max="15067" width="2" style="479" customWidth="1"/>
    <col min="15068" max="15068" width="1.7109375" style="479" customWidth="1"/>
    <col min="15069" max="15310" width="11.42578125" style="479"/>
    <col min="15311" max="15311" width="1.85546875" style="479" customWidth="1"/>
    <col min="15312" max="15313" width="2" style="479" customWidth="1"/>
    <col min="15314" max="15314" width="2.5703125" style="479" customWidth="1"/>
    <col min="15315" max="15315" width="2.28515625" style="479" customWidth="1"/>
    <col min="15316" max="15316" width="11.42578125" style="479"/>
    <col min="15317" max="15317" width="1.85546875" style="479" customWidth="1"/>
    <col min="15318" max="15318" width="2" style="479" customWidth="1"/>
    <col min="15319" max="15320" width="11.42578125" style="479" hidden="1" customWidth="1"/>
    <col min="15321" max="15321" width="2.140625" style="479" customWidth="1"/>
    <col min="15322" max="15322" width="2.28515625" style="479" customWidth="1"/>
    <col min="15323" max="15323" width="2" style="479" customWidth="1"/>
    <col min="15324" max="15324" width="1.7109375" style="479" customWidth="1"/>
    <col min="15325" max="15566" width="11.42578125" style="479"/>
    <col min="15567" max="15567" width="1.85546875" style="479" customWidth="1"/>
    <col min="15568" max="15569" width="2" style="479" customWidth="1"/>
    <col min="15570" max="15570" width="2.5703125" style="479" customWidth="1"/>
    <col min="15571" max="15571" width="2.28515625" style="479" customWidth="1"/>
    <col min="15572" max="15572" width="11.42578125" style="479"/>
    <col min="15573" max="15573" width="1.85546875" style="479" customWidth="1"/>
    <col min="15574" max="15574" width="2" style="479" customWidth="1"/>
    <col min="15575" max="15576" width="11.42578125" style="479" hidden="1" customWidth="1"/>
    <col min="15577" max="15577" width="2.140625" style="479" customWidth="1"/>
    <col min="15578" max="15578" width="2.28515625" style="479" customWidth="1"/>
    <col min="15579" max="15579" width="2" style="479" customWidth="1"/>
    <col min="15580" max="15580" width="1.7109375" style="479" customWidth="1"/>
    <col min="15581" max="15822" width="11.42578125" style="479"/>
    <col min="15823" max="15823" width="1.85546875" style="479" customWidth="1"/>
    <col min="15824" max="15825" width="2" style="479" customWidth="1"/>
    <col min="15826" max="15826" width="2.5703125" style="479" customWidth="1"/>
    <col min="15827" max="15827" width="2.28515625" style="479" customWidth="1"/>
    <col min="15828" max="15828" width="11.42578125" style="479"/>
    <col min="15829" max="15829" width="1.85546875" style="479" customWidth="1"/>
    <col min="15830" max="15830" width="2" style="479" customWidth="1"/>
    <col min="15831" max="15832" width="11.42578125" style="479" hidden="1" customWidth="1"/>
    <col min="15833" max="15833" width="2.140625" style="479" customWidth="1"/>
    <col min="15834" max="15834" width="2.28515625" style="479" customWidth="1"/>
    <col min="15835" max="15835" width="2" style="479" customWidth="1"/>
    <col min="15836" max="15836" width="1.7109375" style="479" customWidth="1"/>
    <col min="15837" max="16078" width="11.42578125" style="479"/>
    <col min="16079" max="16079" width="1.85546875" style="479" customWidth="1"/>
    <col min="16080" max="16081" width="2" style="479" customWidth="1"/>
    <col min="16082" max="16082" width="2.5703125" style="479" customWidth="1"/>
    <col min="16083" max="16083" width="2.28515625" style="479" customWidth="1"/>
    <col min="16084" max="16084" width="11.42578125" style="479"/>
    <col min="16085" max="16085" width="1.85546875" style="479" customWidth="1"/>
    <col min="16086" max="16086" width="2" style="479" customWidth="1"/>
    <col min="16087" max="16088" width="11.42578125" style="479" hidden="1" customWidth="1"/>
    <col min="16089" max="16089" width="2.140625" style="479" customWidth="1"/>
    <col min="16090" max="16090" width="2.28515625" style="479" customWidth="1"/>
    <col min="16091" max="16091" width="2" style="479" customWidth="1"/>
    <col min="16092" max="16092" width="1.7109375" style="479" customWidth="1"/>
    <col min="16093" max="16384" width="11.42578125" style="479"/>
  </cols>
  <sheetData>
    <row r="3" ht="12" customHeight="1"/>
    <row r="4" hidden="1"/>
    <row r="5" hidden="1"/>
    <row r="6" ht="78" customHeight="1"/>
    <row r="7" ht="46.5" customHeight="1"/>
    <row r="36" spans="1:10">
      <c r="B36" s="630"/>
      <c r="C36" s="782" t="s">
        <v>0</v>
      </c>
      <c r="D36" s="782" t="s">
        <v>1</v>
      </c>
      <c r="E36" s="923" t="s">
        <v>2</v>
      </c>
    </row>
    <row r="37" spans="1:10">
      <c r="A37" s="511"/>
      <c r="B37" s="783" t="s">
        <v>3</v>
      </c>
      <c r="C37" s="784">
        <v>80474279</v>
      </c>
      <c r="D37" s="532">
        <v>5523424.2520000003</v>
      </c>
      <c r="E37" s="924">
        <f>+D37</f>
        <v>5523424.2520000003</v>
      </c>
      <c r="F37" s="511"/>
      <c r="I37" s="511"/>
      <c r="J37" s="511"/>
    </row>
    <row r="38" spans="1:10">
      <c r="A38" s="511"/>
      <c r="B38" s="783" t="s">
        <v>4</v>
      </c>
      <c r="C38" s="784">
        <v>83942858</v>
      </c>
      <c r="D38" s="532">
        <v>7082868.5310000004</v>
      </c>
      <c r="E38" s="924">
        <f t="shared" ref="E38:E42" si="0">+E37+D38</f>
        <v>12606292.783</v>
      </c>
      <c r="F38" s="511"/>
      <c r="I38" s="511"/>
      <c r="J38" s="511"/>
    </row>
    <row r="39" spans="1:10">
      <c r="A39" s="511"/>
      <c r="B39" s="783" t="s">
        <v>5</v>
      </c>
      <c r="C39" s="784">
        <v>83398189</v>
      </c>
      <c r="D39" s="532">
        <v>6589090.6370000001</v>
      </c>
      <c r="E39" s="924">
        <f t="shared" si="0"/>
        <v>19195383.420000002</v>
      </c>
      <c r="F39" s="511"/>
      <c r="I39" s="511"/>
      <c r="J39" s="511"/>
    </row>
    <row r="40" spans="1:10">
      <c r="A40" s="511"/>
      <c r="B40" s="783" t="s">
        <v>6</v>
      </c>
      <c r="C40" s="784">
        <v>79761344</v>
      </c>
      <c r="D40" s="916">
        <f>+'ESTADO SITUACION'!AM910/1000</f>
        <v>6520346.324</v>
      </c>
      <c r="E40" s="924">
        <f t="shared" si="0"/>
        <v>25715729.744000003</v>
      </c>
      <c r="F40" s="785"/>
      <c r="I40" s="511"/>
      <c r="J40" s="511"/>
    </row>
    <row r="41" spans="1:10">
      <c r="A41" s="511"/>
      <c r="B41" s="783" t="s">
        <v>7</v>
      </c>
      <c r="C41" s="784">
        <v>76043871</v>
      </c>
      <c r="D41" s="916">
        <f>+'ESTADO SITUACION'!AL908/1000</f>
        <v>5022881.1229999997</v>
      </c>
      <c r="E41" s="924">
        <f t="shared" si="0"/>
        <v>30738610.867000002</v>
      </c>
      <c r="F41" s="755"/>
      <c r="I41" s="511"/>
      <c r="J41" s="511"/>
    </row>
    <row r="42" spans="1:10">
      <c r="A42" s="511"/>
      <c r="B42" s="783" t="s">
        <v>8</v>
      </c>
      <c r="C42" s="784">
        <v>77158129</v>
      </c>
      <c r="D42" s="532">
        <f>+'ESTADO SITUACION'!AK910/1000</f>
        <v>5684834.7139999997</v>
      </c>
      <c r="E42" s="924">
        <f t="shared" si="0"/>
        <v>36423445.581</v>
      </c>
      <c r="F42" s="779"/>
      <c r="G42" s="764"/>
      <c r="I42" s="511"/>
      <c r="J42" s="511"/>
    </row>
    <row r="43" spans="1:10">
      <c r="A43" s="511"/>
      <c r="B43" s="783" t="s">
        <v>9</v>
      </c>
      <c r="C43" s="784">
        <v>73848948</v>
      </c>
      <c r="D43" s="532">
        <f>+'ESTADO SITUACION'!AJ908/1000</f>
        <v>3666740.6880000001</v>
      </c>
      <c r="E43" s="924">
        <f>+E42+D43</f>
        <v>40090186.269000001</v>
      </c>
      <c r="F43" s="511"/>
      <c r="I43" s="511"/>
      <c r="J43" s="511"/>
    </row>
    <row r="44" spans="1:10">
      <c r="A44" s="511"/>
      <c r="B44" s="783" t="s">
        <v>10</v>
      </c>
      <c r="C44" s="784"/>
      <c r="D44" s="786"/>
      <c r="E44" s="924"/>
      <c r="F44" s="787"/>
      <c r="I44" s="511"/>
      <c r="J44" s="511"/>
    </row>
    <row r="45" spans="1:10">
      <c r="A45" s="511"/>
      <c r="B45" s="783" t="s">
        <v>11</v>
      </c>
      <c r="C45" s="784"/>
      <c r="D45" s="786"/>
      <c r="E45" s="924"/>
      <c r="F45" s="787"/>
      <c r="I45" s="511"/>
      <c r="J45" s="511"/>
    </row>
    <row r="46" spans="1:10">
      <c r="B46" s="783" t="s">
        <v>12</v>
      </c>
      <c r="C46" s="784"/>
      <c r="D46" s="786"/>
      <c r="E46" s="924"/>
      <c r="F46" s="511"/>
      <c r="I46" s="511"/>
      <c r="J46" s="511"/>
    </row>
    <row r="47" spans="1:10">
      <c r="B47" s="783" t="s">
        <v>13</v>
      </c>
      <c r="C47" s="784"/>
      <c r="D47" s="786"/>
      <c r="E47" s="924"/>
      <c r="F47" s="511"/>
      <c r="I47" s="511"/>
    </row>
    <row r="48" spans="1:10">
      <c r="B48" s="783" t="s">
        <v>14</v>
      </c>
      <c r="C48" s="784"/>
      <c r="D48" s="786"/>
      <c r="E48" s="924"/>
      <c r="F48" s="779"/>
    </row>
    <row r="50" spans="6:9">
      <c r="F50" s="788"/>
      <c r="I50" s="788"/>
    </row>
    <row r="51" spans="6:9">
      <c r="I51" s="789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5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3"/>
  <sheetViews>
    <sheetView view="pageBreakPreview" topLeftCell="B1" zoomScale="50" zoomScaleNormal="50" zoomScaleSheetLayoutView="50" workbookViewId="0">
      <pane ySplit="2" topLeftCell="A25" activePane="bottomLeft" state="frozen"/>
      <selection pane="bottomLeft" activeCell="AC46" sqref="AC46"/>
    </sheetView>
  </sheetViews>
  <sheetFormatPr baseColWidth="10" defaultColWidth="11" defaultRowHeight="15" outlineLevelRow="2"/>
  <cols>
    <col min="1" max="1" width="0" hidden="1" customWidth="1"/>
    <col min="2" max="2" width="12.7109375" style="223" customWidth="1"/>
    <col min="3" max="3" width="9.42578125" style="223" hidden="1" customWidth="1"/>
    <col min="4" max="4" width="19.140625" style="30" hidden="1" customWidth="1"/>
    <col min="5" max="5" width="17.85546875" style="223" hidden="1" customWidth="1"/>
    <col min="6" max="6" width="32.7109375" style="223" hidden="1" customWidth="1"/>
    <col min="7" max="7" width="16" style="223" hidden="1" customWidth="1"/>
    <col min="8" max="8" width="28.42578125" style="224" hidden="1" customWidth="1"/>
    <col min="9" max="9" width="14.28515625" style="223" hidden="1" customWidth="1"/>
    <col min="10" max="10" width="11.85546875" style="223" hidden="1" customWidth="1"/>
    <col min="11" max="11" width="17.7109375" hidden="1" customWidth="1"/>
    <col min="12" max="12" width="16.42578125" style="225" customWidth="1"/>
    <col min="13" max="13" width="22.42578125" style="225" hidden="1" customWidth="1"/>
    <col min="14" max="16" width="31.140625" style="30" hidden="1" customWidth="1"/>
    <col min="17" max="17" width="127.42578125" customWidth="1"/>
    <col min="18" max="18" width="26.140625" style="226" hidden="1" customWidth="1"/>
    <col min="19" max="19" width="2.7109375" style="227" hidden="1" customWidth="1"/>
    <col min="20" max="23" width="26.140625" style="226" hidden="1" customWidth="1"/>
    <col min="24" max="24" width="2.7109375" style="227" hidden="1" customWidth="1"/>
    <col min="25" max="25" width="24.42578125" style="228" customWidth="1"/>
    <col min="26" max="26" width="27.28515625" style="228" hidden="1" customWidth="1"/>
    <col min="27" max="27" width="2.7109375" style="229" hidden="1" customWidth="1"/>
    <col min="28" max="28" width="26.5703125" style="230" customWidth="1"/>
    <col min="29" max="29" width="25.28515625" style="230" customWidth="1"/>
    <col min="30" max="30" width="24.140625" style="230" customWidth="1"/>
    <col min="31" max="32" width="25.28515625" style="230" hidden="1" customWidth="1"/>
    <col min="33" max="34" width="24.7109375" style="230" hidden="1" customWidth="1"/>
    <col min="35" max="35" width="24.28515625" style="230" hidden="1" customWidth="1"/>
    <col min="36" max="37" width="26.140625" style="230" hidden="1" customWidth="1"/>
    <col min="38" max="39" width="26.140625" style="231" hidden="1" customWidth="1"/>
    <col min="40" max="42" width="26.140625" style="230" hidden="1" customWidth="1"/>
    <col min="43" max="43" width="2.7109375" style="229" hidden="1" customWidth="1"/>
    <col min="44" max="44" width="27.28515625" style="230" customWidth="1"/>
    <col min="45" max="45" width="11.28515625" style="232" customWidth="1"/>
    <col min="46" max="46" width="14.28515625" style="232" hidden="1" customWidth="1"/>
    <col min="47" max="47" width="42.7109375" customWidth="1"/>
    <col min="48" max="48" width="2.7109375" customWidth="1"/>
    <col min="49" max="49" width="17.28515625" customWidth="1"/>
  </cols>
  <sheetData>
    <row r="1" spans="1:48" s="20" customFormat="1" ht="56.25" customHeight="1">
      <c r="B1" s="233"/>
      <c r="C1" s="233"/>
      <c r="D1" s="233"/>
      <c r="E1" s="850"/>
      <c r="F1" s="850"/>
      <c r="G1" s="850"/>
      <c r="H1" s="906"/>
      <c r="I1" s="850"/>
      <c r="J1" s="233"/>
      <c r="K1" s="233"/>
      <c r="L1" s="253"/>
      <c r="M1" s="903"/>
      <c r="N1" s="903"/>
      <c r="O1" s="903"/>
      <c r="P1" s="903"/>
      <c r="Q1" s="233"/>
      <c r="R1" s="907"/>
      <c r="S1" s="265"/>
      <c r="T1" s="993" t="s">
        <v>98</v>
      </c>
      <c r="U1" s="994"/>
      <c r="V1" s="994"/>
      <c r="W1" s="995"/>
      <c r="X1" s="265"/>
      <c r="Y1" s="266"/>
      <c r="Z1" s="266"/>
      <c r="AA1" s="267"/>
      <c r="AB1" s="996" t="s">
        <v>99</v>
      </c>
      <c r="AC1" s="997"/>
      <c r="AD1" s="997"/>
      <c r="AE1" s="910"/>
      <c r="AF1" s="910"/>
      <c r="AG1" s="910"/>
      <c r="AH1" s="910"/>
      <c r="AI1" s="910"/>
      <c r="AJ1" s="910"/>
      <c r="AK1" s="910"/>
      <c r="AL1" s="910"/>
      <c r="AM1" s="910"/>
      <c r="AN1" s="910"/>
      <c r="AO1" s="910"/>
      <c r="AP1" s="910"/>
      <c r="AQ1" s="306"/>
      <c r="AR1" s="307"/>
      <c r="AS1" s="233"/>
      <c r="AT1" s="903"/>
      <c r="AU1" s="233"/>
    </row>
    <row r="2" spans="1:48" s="214" customFormat="1" ht="167.25" customHeight="1">
      <c r="A2" s="234" t="s">
        <v>100</v>
      </c>
      <c r="B2" s="235" t="s">
        <v>101</v>
      </c>
      <c r="C2" s="236" t="s">
        <v>102</v>
      </c>
      <c r="D2" s="237" t="s">
        <v>91</v>
      </c>
      <c r="E2" s="905" t="s">
        <v>103</v>
      </c>
      <c r="F2" s="904" t="s">
        <v>104</v>
      </c>
      <c r="G2" s="904" t="s">
        <v>21</v>
      </c>
      <c r="H2" s="904" t="s">
        <v>105</v>
      </c>
      <c r="I2" s="904" t="s">
        <v>106</v>
      </c>
      <c r="J2" s="235" t="s">
        <v>107</v>
      </c>
      <c r="K2" s="237" t="s">
        <v>108</v>
      </c>
      <c r="L2" s="235" t="s">
        <v>109</v>
      </c>
      <c r="M2" s="905" t="s">
        <v>1607</v>
      </c>
      <c r="N2" s="904" t="s">
        <v>110</v>
      </c>
      <c r="O2" s="905" t="s">
        <v>111</v>
      </c>
      <c r="P2" s="904" t="s">
        <v>112</v>
      </c>
      <c r="Q2" s="237" t="s">
        <v>113</v>
      </c>
      <c r="R2" s="908" t="s">
        <v>114</v>
      </c>
      <c r="S2" s="267">
        <v>5</v>
      </c>
      <c r="T2" s="909" t="s">
        <v>115</v>
      </c>
      <c r="U2" s="909" t="s">
        <v>116</v>
      </c>
      <c r="V2" s="909" t="s">
        <v>117</v>
      </c>
      <c r="W2" s="908" t="s">
        <v>118</v>
      </c>
      <c r="X2" s="267">
        <v>1</v>
      </c>
      <c r="Y2" s="268" t="s">
        <v>22</v>
      </c>
      <c r="Z2" s="292" t="s">
        <v>24</v>
      </c>
      <c r="AA2" s="293">
        <v>2</v>
      </c>
      <c r="AB2" s="292" t="s">
        <v>75</v>
      </c>
      <c r="AC2" s="292" t="s">
        <v>1711</v>
      </c>
      <c r="AD2" s="292" t="s">
        <v>119</v>
      </c>
      <c r="AE2" s="911" t="s">
        <v>120</v>
      </c>
      <c r="AF2" s="911" t="s">
        <v>121</v>
      </c>
      <c r="AG2" s="911" t="s">
        <v>12</v>
      </c>
      <c r="AH2" s="911" t="s">
        <v>11</v>
      </c>
      <c r="AI2" s="911" t="s">
        <v>10</v>
      </c>
      <c r="AJ2" s="911" t="s">
        <v>9</v>
      </c>
      <c r="AK2" s="911" t="s">
        <v>8</v>
      </c>
      <c r="AL2" s="911" t="s">
        <v>7</v>
      </c>
      <c r="AM2" s="911" t="s">
        <v>6</v>
      </c>
      <c r="AN2" s="911" t="s">
        <v>5</v>
      </c>
      <c r="AO2" s="911" t="s">
        <v>4</v>
      </c>
      <c r="AP2" s="911" t="s">
        <v>3</v>
      </c>
      <c r="AQ2" s="293">
        <v>3</v>
      </c>
      <c r="AR2" s="292" t="s">
        <v>122</v>
      </c>
      <c r="AS2" s="235" t="s">
        <v>123</v>
      </c>
      <c r="AT2" s="905" t="s">
        <v>1603</v>
      </c>
      <c r="AU2" s="292" t="s">
        <v>124</v>
      </c>
      <c r="AV2" s="308">
        <v>4</v>
      </c>
    </row>
    <row r="3" spans="1:48" s="965" customFormat="1" ht="23.25">
      <c r="A3" s="959"/>
      <c r="B3" s="960"/>
      <c r="C3" s="961"/>
      <c r="D3" s="962"/>
      <c r="E3" s="953"/>
      <c r="F3" s="954"/>
      <c r="G3" s="954"/>
      <c r="H3" s="954"/>
      <c r="I3" s="954"/>
      <c r="J3" s="960"/>
      <c r="K3" s="962"/>
      <c r="L3" s="960"/>
      <c r="M3" s="953"/>
      <c r="N3" s="954"/>
      <c r="O3" s="953"/>
      <c r="P3" s="954"/>
      <c r="Q3" s="962"/>
      <c r="R3" s="955"/>
      <c r="S3" s="240"/>
      <c r="T3" s="956"/>
      <c r="U3" s="956"/>
      <c r="V3" s="956"/>
      <c r="W3" s="955"/>
      <c r="X3" s="240"/>
      <c r="Y3" s="963"/>
      <c r="Z3" s="957"/>
      <c r="AA3" s="957"/>
      <c r="AB3" s="957"/>
      <c r="AC3" s="957"/>
      <c r="AD3" s="957"/>
      <c r="AE3" s="958"/>
      <c r="AF3" s="958"/>
      <c r="AG3" s="958"/>
      <c r="AH3" s="958"/>
      <c r="AI3" s="958"/>
      <c r="AJ3" s="958"/>
      <c r="AK3" s="958"/>
      <c r="AL3" s="958"/>
      <c r="AM3" s="958"/>
      <c r="AN3" s="958"/>
      <c r="AO3" s="958"/>
      <c r="AP3" s="958"/>
      <c r="AQ3" s="957"/>
      <c r="AR3" s="957"/>
      <c r="AS3" s="960"/>
      <c r="AT3" s="953"/>
      <c r="AU3" s="957"/>
      <c r="AV3" s="964"/>
    </row>
    <row r="4" spans="1:48" s="965" customFormat="1" ht="46.5">
      <c r="A4" s="959"/>
      <c r="B4" s="960"/>
      <c r="C4" s="961"/>
      <c r="D4" s="962"/>
      <c r="E4" s="953"/>
      <c r="F4" s="954"/>
      <c r="G4" s="954"/>
      <c r="H4" s="954"/>
      <c r="I4" s="954"/>
      <c r="J4" s="960"/>
      <c r="K4" s="962"/>
      <c r="L4" s="960"/>
      <c r="M4" s="953"/>
      <c r="N4" s="954"/>
      <c r="O4" s="953"/>
      <c r="P4" s="954"/>
      <c r="Q4" s="948" t="s">
        <v>1704</v>
      </c>
      <c r="R4" s="955"/>
      <c r="S4" s="240"/>
      <c r="T4" s="956"/>
      <c r="U4" s="956"/>
      <c r="V4" s="956"/>
      <c r="W4" s="955"/>
      <c r="X4" s="240"/>
      <c r="Y4" s="963"/>
      <c r="Z4" s="957"/>
      <c r="AA4" s="957"/>
      <c r="AB4" s="957"/>
      <c r="AC4" s="957"/>
      <c r="AD4" s="957"/>
      <c r="AE4" s="958"/>
      <c r="AF4" s="958"/>
      <c r="AG4" s="958"/>
      <c r="AH4" s="958"/>
      <c r="AI4" s="958"/>
      <c r="AJ4" s="958"/>
      <c r="AK4" s="958"/>
      <c r="AL4" s="958"/>
      <c r="AM4" s="958"/>
      <c r="AN4" s="958"/>
      <c r="AO4" s="958"/>
      <c r="AP4" s="958"/>
      <c r="AQ4" s="957"/>
      <c r="AR4" s="957"/>
      <c r="AS4" s="960"/>
      <c r="AT4" s="953"/>
      <c r="AU4" s="957"/>
      <c r="AV4" s="964"/>
    </row>
    <row r="5" spans="1:48" s="215" customFormat="1" ht="23.25" customHeight="1">
      <c r="A5" s="215" t="s">
        <v>125</v>
      </c>
      <c r="B5" s="238"/>
      <c r="C5" s="239"/>
      <c r="D5" s="240"/>
      <c r="E5" s="238"/>
      <c r="F5" s="240"/>
      <c r="G5" s="240"/>
      <c r="H5" s="241"/>
      <c r="I5" s="240"/>
      <c r="J5" s="238"/>
      <c r="K5" s="240"/>
      <c r="L5" s="241"/>
      <c r="M5" s="241"/>
      <c r="N5" s="240"/>
      <c r="O5" s="240"/>
      <c r="P5" s="240"/>
      <c r="Q5" s="240"/>
      <c r="R5" s="269"/>
      <c r="S5" s="269"/>
      <c r="T5" s="269"/>
      <c r="U5" s="269"/>
      <c r="V5" s="269"/>
      <c r="W5" s="269"/>
      <c r="X5" s="269"/>
      <c r="Y5" s="270"/>
      <c r="Z5" s="270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38"/>
      <c r="AT5" s="238"/>
      <c r="AU5" s="294"/>
    </row>
    <row r="6" spans="1:48" ht="26.25" customHeight="1" outlineLevel="1">
      <c r="A6" s="215" t="s">
        <v>125</v>
      </c>
      <c r="B6" s="249"/>
      <c r="C6" s="249"/>
      <c r="D6" s="250"/>
      <c r="E6" s="249"/>
      <c r="F6" s="249"/>
      <c r="G6" s="249"/>
      <c r="H6" s="249"/>
      <c r="I6" s="249"/>
      <c r="J6" s="249"/>
      <c r="K6" s="261"/>
      <c r="L6" s="250"/>
      <c r="M6" s="250"/>
      <c r="N6" s="250"/>
      <c r="O6" s="250"/>
      <c r="P6" s="250"/>
      <c r="Q6" s="264" t="s">
        <v>443</v>
      </c>
      <c r="R6" s="283"/>
      <c r="S6" s="283"/>
      <c r="T6" s="283"/>
      <c r="U6" s="283"/>
      <c r="V6" s="283"/>
      <c r="W6" s="283"/>
      <c r="X6" s="283"/>
      <c r="Y6" s="284"/>
      <c r="Z6" s="284"/>
      <c r="AA6" s="301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316"/>
      <c r="AT6" s="316"/>
      <c r="AU6" s="317"/>
    </row>
    <row r="7" spans="1:48" s="217" customFormat="1" ht="25.5" customHeight="1" outlineLevel="1">
      <c r="A7" s="215" t="s">
        <v>125</v>
      </c>
      <c r="B7" s="321">
        <v>31</v>
      </c>
      <c r="C7" s="321" t="s">
        <v>196</v>
      </c>
      <c r="D7" s="322" t="s">
        <v>251</v>
      </c>
      <c r="E7" s="321" t="s">
        <v>169</v>
      </c>
      <c r="F7" s="321" t="s">
        <v>251</v>
      </c>
      <c r="G7" s="321" t="s">
        <v>33</v>
      </c>
      <c r="H7" s="321" t="s">
        <v>49</v>
      </c>
      <c r="I7" s="324">
        <v>11</v>
      </c>
      <c r="J7" s="321" t="s">
        <v>80</v>
      </c>
      <c r="K7" s="325" t="s">
        <v>132</v>
      </c>
      <c r="L7" s="322">
        <v>40019107</v>
      </c>
      <c r="M7" s="862" t="s">
        <v>1605</v>
      </c>
      <c r="N7" s="322"/>
      <c r="O7" s="245" t="s">
        <v>468</v>
      </c>
      <c r="P7" s="389"/>
      <c r="Q7" s="870" t="s">
        <v>1579</v>
      </c>
      <c r="R7" s="328" t="s">
        <v>1580</v>
      </c>
      <c r="S7" s="329"/>
      <c r="T7" s="328"/>
      <c r="U7" s="328"/>
      <c r="V7" s="328"/>
      <c r="W7" s="328"/>
      <c r="X7" s="329"/>
      <c r="Y7" s="869">
        <v>769101000</v>
      </c>
      <c r="Z7" s="330">
        <v>0</v>
      </c>
      <c r="AA7" s="331"/>
      <c r="AB7" s="330">
        <v>766527000</v>
      </c>
      <c r="AC7" s="332">
        <f t="shared" ref="AC7" si="0">SUBTOTAL(9,AE7:AP7)</f>
        <v>0</v>
      </c>
      <c r="AD7" s="332">
        <f t="shared" ref="AD7" si="1">+AB7-AC7</f>
        <v>766527000</v>
      </c>
      <c r="AE7" s="332">
        <v>0</v>
      </c>
      <c r="AF7" s="332">
        <v>0</v>
      </c>
      <c r="AG7" s="332">
        <v>0</v>
      </c>
      <c r="AH7" s="332">
        <v>0</v>
      </c>
      <c r="AI7" s="332">
        <v>0</v>
      </c>
      <c r="AJ7" s="332">
        <v>0</v>
      </c>
      <c r="AK7" s="332">
        <v>0</v>
      </c>
      <c r="AL7" s="297">
        <v>0</v>
      </c>
      <c r="AM7" s="297">
        <v>0</v>
      </c>
      <c r="AN7" s="297">
        <v>0</v>
      </c>
      <c r="AO7" s="332">
        <v>0</v>
      </c>
      <c r="AP7" s="332">
        <v>0</v>
      </c>
      <c r="AQ7" s="331"/>
      <c r="AR7" s="332">
        <f t="shared" ref="AR7" si="2">+Y7-Z7-AC7-AD7</f>
        <v>2574000</v>
      </c>
      <c r="AS7" s="335" t="s">
        <v>137</v>
      </c>
      <c r="AT7" s="313" t="s">
        <v>137</v>
      </c>
      <c r="AU7" s="325" t="s">
        <v>200</v>
      </c>
    </row>
    <row r="8" spans="1:48" s="219" customFormat="1" ht="24.75" customHeight="1" outlineLevel="1">
      <c r="A8" s="215" t="s">
        <v>125</v>
      </c>
      <c r="B8" s="251"/>
      <c r="C8" s="249"/>
      <c r="D8" s="250"/>
      <c r="E8" s="249"/>
      <c r="F8" s="249"/>
      <c r="G8" s="249"/>
      <c r="H8" s="249"/>
      <c r="I8" s="249"/>
      <c r="J8" s="251"/>
      <c r="K8" s="263"/>
      <c r="L8" s="252"/>
      <c r="M8" s="252"/>
      <c r="N8" s="252"/>
      <c r="O8" s="252"/>
      <c r="P8" s="252"/>
      <c r="Q8" s="117" t="s">
        <v>470</v>
      </c>
      <c r="R8" s="288"/>
      <c r="S8" s="289"/>
      <c r="T8" s="289"/>
      <c r="U8" s="289"/>
      <c r="V8" s="289"/>
      <c r="W8" s="289"/>
      <c r="X8" s="290"/>
      <c r="Y8" s="118">
        <f>+Y7</f>
        <v>769101000</v>
      </c>
      <c r="Z8" s="118">
        <f>+Z7</f>
        <v>0</v>
      </c>
      <c r="AA8" s="304"/>
      <c r="AB8" s="118">
        <f t="shared" ref="AB8:AD8" si="3">+AB7</f>
        <v>766527000</v>
      </c>
      <c r="AC8" s="118">
        <f t="shared" si="3"/>
        <v>0</v>
      </c>
      <c r="AD8" s="118">
        <f t="shared" si="3"/>
        <v>766527000</v>
      </c>
      <c r="AE8" s="118" t="e">
        <f>+#REF!+#REF!+#REF!</f>
        <v>#REF!</v>
      </c>
      <c r="AF8" s="118" t="e">
        <f>+#REF!+#REF!+#REF!</f>
        <v>#REF!</v>
      </c>
      <c r="AG8" s="118" t="e">
        <f>+#REF!+#REF!+#REF!</f>
        <v>#REF!</v>
      </c>
      <c r="AH8" s="118" t="e">
        <f>+#REF!+#REF!+#REF!</f>
        <v>#REF!</v>
      </c>
      <c r="AI8" s="118" t="e">
        <f>+#REF!+#REF!+#REF!</f>
        <v>#REF!</v>
      </c>
      <c r="AJ8" s="118" t="e">
        <f>+#REF!+#REF!+#REF!</f>
        <v>#REF!</v>
      </c>
      <c r="AK8" s="118" t="e">
        <f>+#REF!+#REF!+#REF!</f>
        <v>#REF!</v>
      </c>
      <c r="AL8" s="118">
        <v>9381246</v>
      </c>
      <c r="AM8" s="118">
        <v>20841695</v>
      </c>
      <c r="AN8" s="118">
        <v>0</v>
      </c>
      <c r="AO8" s="118" t="e">
        <f>+#REF!+#REF!+#REF!</f>
        <v>#REF!</v>
      </c>
      <c r="AP8" s="118" t="e">
        <f>+#REF!+#REF!+#REF!</f>
        <v>#REF!</v>
      </c>
      <c r="AQ8" s="318"/>
      <c r="AR8" s="118">
        <f t="shared" ref="AR8" si="4">+AR7</f>
        <v>2574000</v>
      </c>
      <c r="AS8" s="333"/>
      <c r="AT8" s="333"/>
      <c r="AU8" s="320"/>
    </row>
    <row r="9" spans="1:48" s="320" customFormat="1" ht="24.75" customHeight="1" outlineLevel="1">
      <c r="A9" s="215"/>
      <c r="B9" s="251"/>
      <c r="C9" s="249"/>
      <c r="D9" s="250"/>
      <c r="E9" s="249"/>
      <c r="F9" s="249"/>
      <c r="G9" s="249"/>
      <c r="H9" s="249"/>
      <c r="I9" s="249"/>
      <c r="J9" s="251"/>
      <c r="K9" s="263"/>
      <c r="L9" s="252"/>
      <c r="M9" s="252"/>
      <c r="N9" s="252"/>
      <c r="O9" s="252"/>
      <c r="P9" s="252"/>
      <c r="Q9" s="912"/>
      <c r="R9" s="289"/>
      <c r="S9" s="289"/>
      <c r="T9" s="289"/>
      <c r="U9" s="289"/>
      <c r="V9" s="289"/>
      <c r="W9" s="289"/>
      <c r="X9" s="289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33"/>
      <c r="AT9" s="333"/>
    </row>
    <row r="10" spans="1:48" ht="26.25" customHeight="1" outlineLevel="1">
      <c r="A10" s="215" t="s">
        <v>125</v>
      </c>
      <c r="B10" s="249"/>
      <c r="C10" s="249"/>
      <c r="D10" s="250"/>
      <c r="E10" s="249"/>
      <c r="F10" s="249"/>
      <c r="G10" s="249"/>
      <c r="H10" s="249"/>
      <c r="I10" s="249"/>
      <c r="J10" s="249"/>
      <c r="K10" s="261"/>
      <c r="L10" s="250"/>
      <c r="M10" s="250"/>
      <c r="N10" s="250"/>
      <c r="O10" s="250"/>
      <c r="P10" s="250"/>
      <c r="Q10" s="264" t="s">
        <v>651</v>
      </c>
      <c r="R10" s="283"/>
      <c r="S10" s="283"/>
      <c r="T10" s="283"/>
      <c r="U10" s="283"/>
      <c r="V10" s="283"/>
      <c r="W10" s="283"/>
      <c r="X10" s="283"/>
      <c r="Y10" s="284"/>
      <c r="Z10" s="284"/>
      <c r="AA10" s="301"/>
      <c r="AB10" s="301"/>
      <c r="AC10" s="301"/>
      <c r="AD10" s="301"/>
      <c r="AE10" s="301"/>
      <c r="AF10" s="301"/>
      <c r="AG10" s="301"/>
      <c r="AH10" s="301"/>
      <c r="AI10" s="301"/>
      <c r="AJ10" s="301"/>
      <c r="AK10" s="301"/>
      <c r="AL10" s="301"/>
      <c r="AM10" s="301"/>
      <c r="AN10" s="301"/>
      <c r="AO10" s="301"/>
      <c r="AP10" s="301"/>
      <c r="AQ10" s="301"/>
      <c r="AR10" s="301"/>
      <c r="AS10" s="316"/>
      <c r="AT10" s="316"/>
      <c r="AU10" s="317"/>
    </row>
    <row r="11" spans="1:48" s="217" customFormat="1" ht="25.5" customHeight="1" outlineLevel="1">
      <c r="A11" s="215" t="s">
        <v>125</v>
      </c>
      <c r="B11" s="321">
        <v>31</v>
      </c>
      <c r="C11" s="321" t="s">
        <v>196</v>
      </c>
      <c r="D11" s="322" t="s">
        <v>168</v>
      </c>
      <c r="E11" s="321" t="s">
        <v>130</v>
      </c>
      <c r="F11" s="321" t="s">
        <v>397</v>
      </c>
      <c r="G11" s="321" t="s">
        <v>34</v>
      </c>
      <c r="H11" s="321" t="s">
        <v>57</v>
      </c>
      <c r="I11" s="324">
        <v>19</v>
      </c>
      <c r="J11" s="321" t="s">
        <v>80</v>
      </c>
      <c r="K11" s="325" t="s">
        <v>132</v>
      </c>
      <c r="L11" s="322">
        <v>40017416</v>
      </c>
      <c r="M11" s="862" t="s">
        <v>1605</v>
      </c>
      <c r="N11" s="322" t="s">
        <v>652</v>
      </c>
      <c r="O11" s="245" t="s">
        <v>679</v>
      </c>
      <c r="P11" s="322"/>
      <c r="Q11" s="325" t="s">
        <v>680</v>
      </c>
      <c r="R11" s="328" t="s">
        <v>681</v>
      </c>
      <c r="S11" s="329"/>
      <c r="T11" s="328"/>
      <c r="U11" s="328" t="s">
        <v>682</v>
      </c>
      <c r="V11" s="328">
        <v>406672000</v>
      </c>
      <c r="W11" s="328"/>
      <c r="X11" s="329"/>
      <c r="Y11" s="330">
        <v>406672000</v>
      </c>
      <c r="Z11" s="330">
        <v>0</v>
      </c>
      <c r="AA11" s="331"/>
      <c r="AB11" s="332">
        <v>406672000</v>
      </c>
      <c r="AC11" s="332">
        <f t="shared" ref="AC11:AC12" si="5">SUBTOTAL(9,AE11:AP11)</f>
        <v>0</v>
      </c>
      <c r="AD11" s="332">
        <f t="shared" ref="AD11" si="6">+AB11-AC11</f>
        <v>406672000</v>
      </c>
      <c r="AE11" s="332"/>
      <c r="AF11" s="332"/>
      <c r="AG11" s="332"/>
      <c r="AH11" s="332"/>
      <c r="AI11" s="332"/>
      <c r="AJ11" s="332"/>
      <c r="AK11" s="332"/>
      <c r="AL11" s="297">
        <v>0</v>
      </c>
      <c r="AM11" s="297">
        <v>0</v>
      </c>
      <c r="AN11" s="297">
        <v>0</v>
      </c>
      <c r="AO11" s="332">
        <v>0</v>
      </c>
      <c r="AP11" s="332">
        <v>0</v>
      </c>
      <c r="AQ11" s="331"/>
      <c r="AR11" s="332">
        <f t="shared" ref="AR11" si="7">+Y11-Z11-AC11-AD11</f>
        <v>0</v>
      </c>
      <c r="AS11" s="335" t="s">
        <v>137</v>
      </c>
      <c r="AT11" s="313" t="s">
        <v>137</v>
      </c>
      <c r="AU11" s="325" t="s">
        <v>195</v>
      </c>
    </row>
    <row r="12" spans="1:48" s="217" customFormat="1" ht="25.5" customHeight="1" outlineLevel="1">
      <c r="A12" s="215" t="s">
        <v>125</v>
      </c>
      <c r="B12" s="321">
        <v>31</v>
      </c>
      <c r="C12" s="321" t="s">
        <v>196</v>
      </c>
      <c r="D12" s="322" t="s">
        <v>251</v>
      </c>
      <c r="E12" s="321" t="s">
        <v>169</v>
      </c>
      <c r="F12" s="321" t="s">
        <v>251</v>
      </c>
      <c r="G12" s="321" t="s">
        <v>34</v>
      </c>
      <c r="H12" s="321" t="s">
        <v>57</v>
      </c>
      <c r="I12" s="324">
        <v>19</v>
      </c>
      <c r="J12" s="321" t="s">
        <v>80</v>
      </c>
      <c r="K12" s="325" t="s">
        <v>132</v>
      </c>
      <c r="L12" s="322">
        <v>40009430</v>
      </c>
      <c r="M12" s="862" t="s">
        <v>1605</v>
      </c>
      <c r="N12" s="322"/>
      <c r="O12" s="245" t="s">
        <v>693</v>
      </c>
      <c r="P12" s="322"/>
      <c r="Q12" s="325" t="s">
        <v>1572</v>
      </c>
      <c r="R12" s="328" t="s">
        <v>1573</v>
      </c>
      <c r="S12" s="329"/>
      <c r="T12" s="328"/>
      <c r="U12" s="328"/>
      <c r="V12" s="328"/>
      <c r="W12" s="328"/>
      <c r="X12" s="329"/>
      <c r="Y12" s="869">
        <v>310199000</v>
      </c>
      <c r="Z12" s="330">
        <v>0</v>
      </c>
      <c r="AA12" s="331"/>
      <c r="AB12" s="332">
        <v>310199000</v>
      </c>
      <c r="AC12" s="332">
        <f t="shared" si="5"/>
        <v>0</v>
      </c>
      <c r="AD12" s="332">
        <f t="shared" ref="AD12" si="8">+AB12-AC12</f>
        <v>310199000</v>
      </c>
      <c r="AE12" s="332"/>
      <c r="AF12" s="332"/>
      <c r="AG12" s="332"/>
      <c r="AH12" s="332"/>
      <c r="AI12" s="332"/>
      <c r="AJ12" s="332"/>
      <c r="AK12" s="332"/>
      <c r="AL12" s="297">
        <v>0</v>
      </c>
      <c r="AM12" s="297">
        <v>0</v>
      </c>
      <c r="AN12" s="297">
        <v>0</v>
      </c>
      <c r="AO12" s="332">
        <v>0</v>
      </c>
      <c r="AP12" s="332">
        <v>0</v>
      </c>
      <c r="AQ12" s="331"/>
      <c r="AR12" s="332">
        <f t="shared" ref="AR12" si="9">+Y12-Z12-AC12-AD12</f>
        <v>0</v>
      </c>
      <c r="AS12" s="335" t="s">
        <v>137</v>
      </c>
      <c r="AT12" s="313" t="s">
        <v>137</v>
      </c>
      <c r="AU12" s="325" t="s">
        <v>190</v>
      </c>
    </row>
    <row r="13" spans="1:48" s="219" customFormat="1" ht="24.75" customHeight="1" outlineLevel="1">
      <c r="A13" s="215" t="s">
        <v>125</v>
      </c>
      <c r="B13" s="251"/>
      <c r="C13" s="249"/>
      <c r="D13" s="250"/>
      <c r="E13" s="249"/>
      <c r="F13" s="249"/>
      <c r="G13" s="249"/>
      <c r="H13" s="249"/>
      <c r="I13" s="249"/>
      <c r="J13" s="251"/>
      <c r="K13" s="263"/>
      <c r="L13" s="252"/>
      <c r="M13" s="252"/>
      <c r="N13" s="252"/>
      <c r="O13" s="252"/>
      <c r="P13" s="252"/>
      <c r="Q13" s="117" t="s">
        <v>699</v>
      </c>
      <c r="R13" s="288"/>
      <c r="S13" s="289"/>
      <c r="T13" s="289"/>
      <c r="U13" s="289"/>
      <c r="V13" s="289"/>
      <c r="W13" s="289"/>
      <c r="X13" s="290"/>
      <c r="Y13" s="118">
        <f>SUM(Y11:Y12)</f>
        <v>716871000</v>
      </c>
      <c r="Z13" s="118">
        <f>SUM(Z11:Z12)</f>
        <v>0</v>
      </c>
      <c r="AA13" s="304"/>
      <c r="AB13" s="118">
        <f t="shared" ref="AB13:AD13" si="10">SUM(AB11:AB12)</f>
        <v>716871000</v>
      </c>
      <c r="AC13" s="118">
        <f t="shared" si="10"/>
        <v>0</v>
      </c>
      <c r="AD13" s="118">
        <f t="shared" si="10"/>
        <v>716871000</v>
      </c>
      <c r="AE13" s="118" t="e">
        <f>+#REF!+#REF!+#REF!</f>
        <v>#REF!</v>
      </c>
      <c r="AF13" s="118" t="e">
        <f>+#REF!+#REF!+#REF!</f>
        <v>#REF!</v>
      </c>
      <c r="AG13" s="118" t="e">
        <f>+#REF!+#REF!+#REF!</f>
        <v>#REF!</v>
      </c>
      <c r="AH13" s="118" t="e">
        <f>+#REF!+#REF!+#REF!</f>
        <v>#REF!</v>
      </c>
      <c r="AI13" s="118" t="e">
        <f>+#REF!+#REF!+#REF!</f>
        <v>#REF!</v>
      </c>
      <c r="AJ13" s="118" t="e">
        <f>+#REF!+#REF!+#REF!</f>
        <v>#REF!</v>
      </c>
      <c r="AK13" s="118" t="e">
        <f>+#REF!+#REF!+#REF!</f>
        <v>#REF!</v>
      </c>
      <c r="AL13" s="118">
        <v>0</v>
      </c>
      <c r="AM13" s="118">
        <v>21109805</v>
      </c>
      <c r="AN13" s="118">
        <v>150677458</v>
      </c>
      <c r="AO13" s="118" t="e">
        <f>+#REF!+#REF!+#REF!</f>
        <v>#REF!</v>
      </c>
      <c r="AP13" s="118" t="e">
        <f>+#REF!+#REF!+#REF!</f>
        <v>#REF!</v>
      </c>
      <c r="AQ13" s="318"/>
      <c r="AR13" s="118">
        <f>+Y13-Z13-AC13-AD13</f>
        <v>0</v>
      </c>
      <c r="AS13" s="333"/>
      <c r="AT13" s="333"/>
      <c r="AU13" s="320"/>
    </row>
    <row r="14" spans="1:48" ht="18.75" customHeight="1" outlineLevel="1">
      <c r="A14" s="215" t="s">
        <v>125</v>
      </c>
      <c r="B14" s="249"/>
      <c r="C14" s="249"/>
      <c r="D14" s="250"/>
      <c r="E14" s="249"/>
      <c r="F14" s="249"/>
      <c r="G14" s="249"/>
      <c r="H14" s="249"/>
      <c r="I14" s="249"/>
      <c r="J14" s="249"/>
      <c r="K14" s="261"/>
      <c r="L14" s="250"/>
      <c r="M14" s="250"/>
      <c r="N14" s="250"/>
      <c r="O14" s="250"/>
      <c r="P14" s="250"/>
      <c r="Q14" s="261"/>
      <c r="R14" s="283"/>
      <c r="S14" s="283"/>
      <c r="T14" s="283"/>
      <c r="U14" s="283"/>
      <c r="V14" s="283"/>
      <c r="W14" s="283"/>
      <c r="X14" s="283"/>
      <c r="Y14" s="284"/>
      <c r="Z14" s="284"/>
      <c r="AA14" s="301"/>
      <c r="AB14" s="301"/>
      <c r="AC14" s="301"/>
      <c r="AD14" s="301"/>
      <c r="AE14" s="301"/>
      <c r="AF14" s="301"/>
      <c r="AG14" s="301"/>
      <c r="AH14" s="301"/>
      <c r="AI14" s="301"/>
      <c r="AJ14" s="301"/>
      <c r="AK14" s="301"/>
      <c r="AL14" s="301"/>
      <c r="AM14" s="301"/>
      <c r="AN14" s="301"/>
      <c r="AO14" s="301"/>
      <c r="AP14" s="301"/>
      <c r="AQ14" s="301"/>
      <c r="AR14" s="301"/>
      <c r="AS14" s="316"/>
      <c r="AT14" s="316"/>
      <c r="AU14" s="317"/>
    </row>
    <row r="15" spans="1:48" ht="18.75" customHeight="1" outlineLevel="1">
      <c r="A15" s="215" t="s">
        <v>125</v>
      </c>
      <c r="B15" s="249"/>
      <c r="C15" s="249"/>
      <c r="D15" s="250"/>
      <c r="E15" s="249"/>
      <c r="F15" s="249"/>
      <c r="G15" s="249"/>
      <c r="H15" s="249"/>
      <c r="I15" s="249"/>
      <c r="J15" s="249"/>
      <c r="K15" s="261"/>
      <c r="L15" s="250"/>
      <c r="M15" s="250"/>
      <c r="N15" s="250"/>
      <c r="O15" s="250"/>
      <c r="P15" s="250"/>
      <c r="Q15" s="261"/>
      <c r="R15" s="283"/>
      <c r="S15" s="283"/>
      <c r="T15" s="283"/>
      <c r="U15" s="283"/>
      <c r="V15" s="283"/>
      <c r="W15" s="283"/>
      <c r="X15" s="283"/>
      <c r="Y15" s="284"/>
      <c r="Z15" s="284"/>
      <c r="AA15" s="301"/>
      <c r="AB15" s="301"/>
      <c r="AC15" s="301"/>
      <c r="AD15" s="301"/>
      <c r="AE15" s="301"/>
      <c r="AF15" s="301"/>
      <c r="AG15" s="301"/>
      <c r="AH15" s="301"/>
      <c r="AI15" s="301"/>
      <c r="AJ15" s="301"/>
      <c r="AK15" s="301"/>
      <c r="AL15" s="301"/>
      <c r="AM15" s="301"/>
      <c r="AN15" s="301"/>
      <c r="AO15" s="301"/>
      <c r="AP15" s="301"/>
      <c r="AQ15" s="301"/>
      <c r="AR15" s="301"/>
      <c r="AS15" s="316"/>
      <c r="AT15" s="316"/>
      <c r="AU15" s="317"/>
    </row>
    <row r="16" spans="1:48" ht="26.25" customHeight="1" outlineLevel="1">
      <c r="A16" s="215" t="s">
        <v>125</v>
      </c>
      <c r="B16" s="249"/>
      <c r="C16" s="249"/>
      <c r="D16" s="250"/>
      <c r="E16" s="249"/>
      <c r="F16" s="249"/>
      <c r="G16" s="249"/>
      <c r="H16" s="249"/>
      <c r="I16" s="249"/>
      <c r="J16" s="249"/>
      <c r="K16" s="261"/>
      <c r="L16" s="250"/>
      <c r="M16" s="250"/>
      <c r="N16" s="250"/>
      <c r="O16" s="250"/>
      <c r="P16" s="250"/>
      <c r="Q16" s="264" t="s">
        <v>810</v>
      </c>
      <c r="R16" s="283"/>
      <c r="S16" s="283"/>
      <c r="T16" s="283"/>
      <c r="U16" s="283"/>
      <c r="V16" s="283"/>
      <c r="W16" s="283"/>
      <c r="X16" s="283"/>
      <c r="Y16" s="284"/>
      <c r="Z16" s="284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16"/>
      <c r="AT16" s="316"/>
      <c r="AU16" s="317"/>
    </row>
    <row r="17" spans="1:49" s="217" customFormat="1" ht="25.5" customHeight="1" outlineLevel="1">
      <c r="A17" s="215" t="s">
        <v>125</v>
      </c>
      <c r="B17" s="321">
        <v>31</v>
      </c>
      <c r="C17" s="321" t="s">
        <v>196</v>
      </c>
      <c r="D17" s="322" t="s">
        <v>251</v>
      </c>
      <c r="E17" s="321" t="s">
        <v>169</v>
      </c>
      <c r="F17" s="321" t="s">
        <v>251</v>
      </c>
      <c r="G17" s="321" t="s">
        <v>34</v>
      </c>
      <c r="H17" s="321" t="s">
        <v>63</v>
      </c>
      <c r="I17" s="324">
        <v>25</v>
      </c>
      <c r="J17" s="321" t="s">
        <v>80</v>
      </c>
      <c r="K17" s="325" t="s">
        <v>132</v>
      </c>
      <c r="L17" s="322">
        <v>40015946</v>
      </c>
      <c r="M17" s="862" t="s">
        <v>1605</v>
      </c>
      <c r="N17" s="322"/>
      <c r="O17" s="245" t="s">
        <v>825</v>
      </c>
      <c r="P17" s="322"/>
      <c r="Q17" s="325" t="s">
        <v>826</v>
      </c>
      <c r="R17" s="328" t="s">
        <v>1571</v>
      </c>
      <c r="S17" s="329"/>
      <c r="T17" s="328"/>
      <c r="U17" s="328"/>
      <c r="V17" s="328"/>
      <c r="W17" s="328"/>
      <c r="X17" s="329"/>
      <c r="Y17" s="330">
        <v>238672000</v>
      </c>
      <c r="Z17" s="330">
        <v>0</v>
      </c>
      <c r="AA17" s="331"/>
      <c r="AB17" s="330">
        <v>238672000</v>
      </c>
      <c r="AC17" s="332">
        <f t="shared" ref="AC17" si="11">SUBTOTAL(9,AE17:AP17)</f>
        <v>0</v>
      </c>
      <c r="AD17" s="332">
        <f>+AB17-AC17</f>
        <v>238672000</v>
      </c>
      <c r="AE17" s="332">
        <v>0</v>
      </c>
      <c r="AF17" s="332">
        <v>0</v>
      </c>
      <c r="AG17" s="332">
        <v>0</v>
      </c>
      <c r="AH17" s="332">
        <v>0</v>
      </c>
      <c r="AI17" s="332">
        <v>0</v>
      </c>
      <c r="AJ17" s="332">
        <v>0</v>
      </c>
      <c r="AK17" s="332">
        <v>0</v>
      </c>
      <c r="AL17" s="297">
        <v>0</v>
      </c>
      <c r="AM17" s="297">
        <v>0</v>
      </c>
      <c r="AN17" s="297">
        <v>0</v>
      </c>
      <c r="AO17" s="332">
        <v>0</v>
      </c>
      <c r="AP17" s="332">
        <v>0</v>
      </c>
      <c r="AQ17" s="331"/>
      <c r="AR17" s="332">
        <f>+Y17-Z17-AC17-AD17</f>
        <v>0</v>
      </c>
      <c r="AS17" s="335" t="s">
        <v>137</v>
      </c>
      <c r="AT17" s="313" t="s">
        <v>137</v>
      </c>
      <c r="AU17" s="325" t="s">
        <v>190</v>
      </c>
    </row>
    <row r="18" spans="1:49" s="219" customFormat="1" ht="24.75" customHeight="1" outlineLevel="1">
      <c r="A18" s="215" t="s">
        <v>125</v>
      </c>
      <c r="B18" s="251"/>
      <c r="C18" s="249"/>
      <c r="D18" s="250"/>
      <c r="E18" s="249"/>
      <c r="F18" s="249"/>
      <c r="G18" s="249"/>
      <c r="H18" s="249"/>
      <c r="I18" s="249"/>
      <c r="J18" s="251"/>
      <c r="K18" s="263"/>
      <c r="L18" s="252"/>
      <c r="M18" s="252"/>
      <c r="N18" s="252"/>
      <c r="O18" s="252"/>
      <c r="P18" s="252"/>
      <c r="Q18" s="117" t="s">
        <v>827</v>
      </c>
      <c r="R18" s="288"/>
      <c r="S18" s="289"/>
      <c r="T18" s="289"/>
      <c r="U18" s="289"/>
      <c r="V18" s="289"/>
      <c r="W18" s="289"/>
      <c r="X18" s="290"/>
      <c r="Y18" s="118">
        <f>+Y17</f>
        <v>238672000</v>
      </c>
      <c r="Z18" s="118">
        <f>+Z17</f>
        <v>0</v>
      </c>
      <c r="AA18" s="304"/>
      <c r="AB18" s="118">
        <f t="shared" ref="AB18:AD18" si="12">+AB17</f>
        <v>238672000</v>
      </c>
      <c r="AC18" s="118">
        <f t="shared" si="12"/>
        <v>0</v>
      </c>
      <c r="AD18" s="118">
        <f t="shared" si="12"/>
        <v>238672000</v>
      </c>
      <c r="AE18" s="118" t="e">
        <f>+#REF!+#REF!</f>
        <v>#REF!</v>
      </c>
      <c r="AF18" s="118" t="e">
        <f>+#REF!+#REF!</f>
        <v>#REF!</v>
      </c>
      <c r="AG18" s="118" t="e">
        <f>+#REF!+#REF!</f>
        <v>#REF!</v>
      </c>
      <c r="AH18" s="118" t="e">
        <f>+#REF!+#REF!</f>
        <v>#REF!</v>
      </c>
      <c r="AI18" s="118" t="e">
        <f>+#REF!+#REF!</f>
        <v>#REF!</v>
      </c>
      <c r="AJ18" s="118" t="e">
        <f>+#REF!+#REF!</f>
        <v>#REF!</v>
      </c>
      <c r="AK18" s="118" t="e">
        <f>+#REF!+#REF!</f>
        <v>#REF!</v>
      </c>
      <c r="AL18" s="118">
        <v>41650296</v>
      </c>
      <c r="AM18" s="118">
        <v>26588006</v>
      </c>
      <c r="AN18" s="118">
        <v>48715866</v>
      </c>
      <c r="AO18" s="118" t="e">
        <f>+#REF!+#REF!</f>
        <v>#REF!</v>
      </c>
      <c r="AP18" s="118" t="e">
        <f>+#REF!+#REF!</f>
        <v>#REF!</v>
      </c>
      <c r="AQ18" s="318"/>
      <c r="AR18" s="118">
        <f>+Y18-Z18-AC18-AD18</f>
        <v>0</v>
      </c>
      <c r="AS18" s="333"/>
      <c r="AT18" s="333"/>
      <c r="AU18" s="320"/>
    </row>
    <row r="19" spans="1:49" ht="18.75" customHeight="1" outlineLevel="1">
      <c r="A19" s="215" t="s">
        <v>125</v>
      </c>
      <c r="B19" s="249"/>
      <c r="C19" s="249"/>
      <c r="D19" s="250"/>
      <c r="E19" s="249"/>
      <c r="F19" s="249"/>
      <c r="G19" s="249"/>
      <c r="H19" s="249"/>
      <c r="I19" s="249"/>
      <c r="J19" s="249"/>
      <c r="K19" s="261"/>
      <c r="L19" s="250"/>
      <c r="M19" s="250"/>
      <c r="N19" s="250"/>
      <c r="O19" s="250"/>
      <c r="P19" s="250"/>
      <c r="Q19" s="261"/>
      <c r="R19" s="283"/>
      <c r="S19" s="283"/>
      <c r="T19" s="283"/>
      <c r="U19" s="283"/>
      <c r="V19" s="283"/>
      <c r="W19" s="283"/>
      <c r="X19" s="283"/>
      <c r="Y19" s="284"/>
      <c r="Z19" s="284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16"/>
      <c r="AT19" s="316"/>
      <c r="AU19" s="317"/>
    </row>
    <row r="20" spans="1:49" ht="18.75" customHeight="1" outlineLevel="1">
      <c r="A20" s="215" t="s">
        <v>125</v>
      </c>
      <c r="B20" s="249"/>
      <c r="C20" s="249"/>
      <c r="D20" s="250"/>
      <c r="E20" s="249"/>
      <c r="F20" s="249"/>
      <c r="G20" s="249"/>
      <c r="H20" s="249"/>
      <c r="I20" s="249"/>
      <c r="J20" s="249"/>
      <c r="K20" s="261"/>
      <c r="L20" s="250"/>
      <c r="M20" s="250"/>
      <c r="N20" s="250"/>
      <c r="O20" s="250"/>
      <c r="P20" s="250"/>
      <c r="Q20" s="261"/>
      <c r="R20" s="283"/>
      <c r="S20" s="283"/>
      <c r="T20" s="283"/>
      <c r="U20" s="283"/>
      <c r="V20" s="283"/>
      <c r="W20" s="283"/>
      <c r="X20" s="283"/>
      <c r="Y20" s="284"/>
      <c r="Z20" s="284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16"/>
      <c r="AT20" s="316"/>
      <c r="AU20" s="317"/>
    </row>
    <row r="21" spans="1:49" ht="21" customHeight="1" outlineLevel="1">
      <c r="A21" s="215" t="s">
        <v>125</v>
      </c>
      <c r="B21" s="249"/>
      <c r="C21" s="249"/>
      <c r="D21" s="250"/>
      <c r="E21" s="249"/>
      <c r="F21" s="249"/>
      <c r="G21" s="249"/>
      <c r="H21" s="249"/>
      <c r="I21" s="249"/>
      <c r="J21" s="249"/>
      <c r="K21" s="261"/>
      <c r="L21" s="250"/>
      <c r="M21" s="250"/>
      <c r="N21" s="250"/>
      <c r="O21" s="250"/>
      <c r="P21" s="250"/>
      <c r="Q21" s="339" t="s">
        <v>1044</v>
      </c>
      <c r="R21" s="283"/>
      <c r="S21" s="283"/>
      <c r="T21" s="283"/>
      <c r="U21" s="283"/>
      <c r="V21" s="283"/>
      <c r="W21" s="283"/>
      <c r="X21" s="283"/>
      <c r="Y21" s="284"/>
      <c r="Z21" s="284"/>
      <c r="AA21" s="301"/>
      <c r="AB21" s="301"/>
      <c r="AC21" s="301"/>
      <c r="AD21" s="301"/>
      <c r="AE21" s="301"/>
      <c r="AF21" s="301"/>
      <c r="AG21" s="301"/>
      <c r="AH21" s="301"/>
      <c r="AI21" s="301"/>
      <c r="AJ21" s="301"/>
      <c r="AK21" s="301"/>
      <c r="AL21" s="301"/>
      <c r="AM21" s="301"/>
      <c r="AN21" s="301"/>
      <c r="AO21" s="301"/>
      <c r="AP21" s="301"/>
      <c r="AQ21" s="301"/>
      <c r="AR21" s="301"/>
      <c r="AS21" s="316"/>
      <c r="AT21" s="316"/>
      <c r="AU21" s="317"/>
    </row>
    <row r="22" spans="1:49" s="217" customFormat="1" ht="25.5" customHeight="1" outlineLevel="1">
      <c r="A22" s="215" t="s">
        <v>125</v>
      </c>
      <c r="B22" s="321">
        <v>31</v>
      </c>
      <c r="C22" s="321" t="s">
        <v>196</v>
      </c>
      <c r="D22" s="322" t="s">
        <v>129</v>
      </c>
      <c r="E22" s="321" t="s">
        <v>169</v>
      </c>
      <c r="F22" s="321" t="s">
        <v>131</v>
      </c>
      <c r="G22" s="321" t="s">
        <v>36</v>
      </c>
      <c r="H22" s="321" t="s">
        <v>36</v>
      </c>
      <c r="I22" s="324">
        <v>35</v>
      </c>
      <c r="J22" s="321" t="s">
        <v>80</v>
      </c>
      <c r="K22" s="325" t="s">
        <v>132</v>
      </c>
      <c r="L22" s="322">
        <v>40022424</v>
      </c>
      <c r="M22" s="862" t="s">
        <v>1605</v>
      </c>
      <c r="N22" s="322"/>
      <c r="O22" s="245" t="s">
        <v>1085</v>
      </c>
      <c r="P22" s="322"/>
      <c r="Q22" s="325" t="s">
        <v>1570</v>
      </c>
      <c r="R22" s="328" t="s">
        <v>1569</v>
      </c>
      <c r="S22" s="329"/>
      <c r="T22" s="328"/>
      <c r="U22" s="328"/>
      <c r="V22" s="328"/>
      <c r="W22" s="328"/>
      <c r="X22" s="329"/>
      <c r="Y22" s="869">
        <v>2028090000</v>
      </c>
      <c r="Z22" s="330">
        <v>0</v>
      </c>
      <c r="AA22" s="331"/>
      <c r="AB22" s="332">
        <v>1400000000</v>
      </c>
      <c r="AC22" s="332">
        <f t="shared" ref="AC22" si="13">SUBTOTAL(9,AE22:AP22)</f>
        <v>0</v>
      </c>
      <c r="AD22" s="332">
        <f t="shared" ref="AD22" si="14">+AB22-AC22</f>
        <v>1400000000</v>
      </c>
      <c r="AE22" s="332"/>
      <c r="AF22" s="332"/>
      <c r="AG22" s="332"/>
      <c r="AH22" s="332"/>
      <c r="AI22" s="332"/>
      <c r="AJ22" s="332"/>
      <c r="AK22" s="332"/>
      <c r="AL22" s="297">
        <v>0</v>
      </c>
      <c r="AM22" s="297">
        <v>0</v>
      </c>
      <c r="AN22" s="297">
        <v>0</v>
      </c>
      <c r="AO22" s="332">
        <v>0</v>
      </c>
      <c r="AP22" s="332">
        <v>0</v>
      </c>
      <c r="AQ22" s="331"/>
      <c r="AR22" s="332">
        <f t="shared" ref="AR22" si="15">+Y22-Z22-AC22-AD22</f>
        <v>628090000</v>
      </c>
      <c r="AS22" s="335" t="s">
        <v>148</v>
      </c>
      <c r="AT22" s="313" t="s">
        <v>1481</v>
      </c>
      <c r="AU22" s="325" t="s">
        <v>190</v>
      </c>
    </row>
    <row r="23" spans="1:49" s="217" customFormat="1" ht="25.5" customHeight="1" outlineLevel="1">
      <c r="A23" s="215" t="s">
        <v>125</v>
      </c>
      <c r="B23" s="321">
        <v>31</v>
      </c>
      <c r="C23" s="321" t="s">
        <v>196</v>
      </c>
      <c r="D23" s="322" t="s">
        <v>129</v>
      </c>
      <c r="E23" s="321" t="s">
        <v>169</v>
      </c>
      <c r="F23" s="321" t="s">
        <v>131</v>
      </c>
      <c r="G23" s="321" t="s">
        <v>36</v>
      </c>
      <c r="H23" s="321" t="s">
        <v>36</v>
      </c>
      <c r="I23" s="324">
        <v>35</v>
      </c>
      <c r="J23" s="321" t="s">
        <v>80</v>
      </c>
      <c r="K23" s="325" t="s">
        <v>132</v>
      </c>
      <c r="L23" s="322">
        <v>40020262</v>
      </c>
      <c r="M23" s="862" t="s">
        <v>1605</v>
      </c>
      <c r="N23" s="322"/>
      <c r="O23" s="245" t="s">
        <v>1086</v>
      </c>
      <c r="P23" s="322"/>
      <c r="Q23" s="325" t="s">
        <v>1087</v>
      </c>
      <c r="R23" s="328" t="s">
        <v>1088</v>
      </c>
      <c r="S23" s="329"/>
      <c r="T23" s="328"/>
      <c r="U23" s="328"/>
      <c r="V23" s="328"/>
      <c r="W23" s="328"/>
      <c r="X23" s="329"/>
      <c r="Y23" s="330">
        <v>550000000</v>
      </c>
      <c r="Z23" s="330">
        <v>0</v>
      </c>
      <c r="AA23" s="331"/>
      <c r="AB23" s="332">
        <v>104000000</v>
      </c>
      <c r="AC23" s="332">
        <f>SUBTOTAL(9,AE23:AP23)</f>
        <v>0</v>
      </c>
      <c r="AD23" s="332">
        <f>+AB23-AC23</f>
        <v>104000000</v>
      </c>
      <c r="AE23" s="332"/>
      <c r="AF23" s="332"/>
      <c r="AG23" s="332"/>
      <c r="AH23" s="332"/>
      <c r="AI23" s="332"/>
      <c r="AJ23" s="332"/>
      <c r="AK23" s="332"/>
      <c r="AL23" s="297">
        <v>0</v>
      </c>
      <c r="AM23" s="297">
        <v>0</v>
      </c>
      <c r="AN23" s="297">
        <v>0</v>
      </c>
      <c r="AO23" s="332">
        <v>0</v>
      </c>
      <c r="AP23" s="332">
        <v>0</v>
      </c>
      <c r="AQ23" s="331"/>
      <c r="AR23" s="332">
        <f>+Y23-Z23-AC23-AD23</f>
        <v>446000000</v>
      </c>
      <c r="AS23" s="335" t="s">
        <v>148</v>
      </c>
      <c r="AT23" s="313" t="s">
        <v>1481</v>
      </c>
      <c r="AU23" s="325" t="s">
        <v>190</v>
      </c>
    </row>
    <row r="24" spans="1:49" s="219" customFormat="1" ht="24.75" customHeight="1" outlineLevel="1">
      <c r="A24" s="215" t="s">
        <v>125</v>
      </c>
      <c r="B24" s="251"/>
      <c r="C24" s="249"/>
      <c r="D24" s="250"/>
      <c r="E24" s="249"/>
      <c r="F24" s="249"/>
      <c r="G24" s="249"/>
      <c r="H24" s="249"/>
      <c r="I24" s="249"/>
      <c r="J24" s="251"/>
      <c r="K24" s="263"/>
      <c r="L24" s="252"/>
      <c r="M24" s="252"/>
      <c r="N24" s="252"/>
      <c r="O24" s="252"/>
      <c r="P24" s="252"/>
      <c r="Q24" s="117" t="s">
        <v>1089</v>
      </c>
      <c r="R24" s="288"/>
      <c r="S24" s="289"/>
      <c r="T24" s="289"/>
      <c r="U24" s="289"/>
      <c r="V24" s="289"/>
      <c r="W24" s="405"/>
      <c r="X24" s="290"/>
      <c r="Y24" s="118">
        <f>SUM(Y22:Y23)</f>
        <v>2578090000</v>
      </c>
      <c r="Z24" s="118">
        <f>SUM(Z22:Z23)</f>
        <v>0</v>
      </c>
      <c r="AA24" s="304"/>
      <c r="AB24" s="118">
        <f t="shared" ref="AB24:AD24" si="16">SUM(AB22:AB23)</f>
        <v>1504000000</v>
      </c>
      <c r="AC24" s="118">
        <f t="shared" si="16"/>
        <v>0</v>
      </c>
      <c r="AD24" s="118">
        <f t="shared" si="16"/>
        <v>1504000000</v>
      </c>
      <c r="AE24" s="118" t="e">
        <f>+#REF!+#REF!+#REF!</f>
        <v>#REF!</v>
      </c>
      <c r="AF24" s="118" t="e">
        <f>+#REF!+#REF!+#REF!</f>
        <v>#REF!</v>
      </c>
      <c r="AG24" s="118" t="e">
        <f>+#REF!+#REF!+#REF!</f>
        <v>#REF!</v>
      </c>
      <c r="AH24" s="118" t="e">
        <f>+#REF!+#REF!+#REF!</f>
        <v>#REF!</v>
      </c>
      <c r="AI24" s="118" t="e">
        <f>+#REF!+#REF!+#REF!</f>
        <v>#REF!</v>
      </c>
      <c r="AJ24" s="118" t="e">
        <f>+#REF!+#REF!+#REF!</f>
        <v>#REF!</v>
      </c>
      <c r="AK24" s="118" t="e">
        <f>+#REF!+#REF!+#REF!</f>
        <v>#REF!</v>
      </c>
      <c r="AL24" s="118">
        <v>563582234</v>
      </c>
      <c r="AM24" s="118">
        <v>501918326</v>
      </c>
      <c r="AN24" s="118">
        <v>309085677</v>
      </c>
      <c r="AO24" s="118" t="e">
        <f>+#REF!+#REF!+#REF!</f>
        <v>#REF!</v>
      </c>
      <c r="AP24" s="118" t="e">
        <f>+#REF!+#REF!+#REF!</f>
        <v>#REF!</v>
      </c>
      <c r="AQ24" s="439"/>
      <c r="AR24" s="118">
        <f>+Y24-Z24-AC24-AD24</f>
        <v>1074090000</v>
      </c>
      <c r="AS24" s="439"/>
      <c r="AT24" s="318"/>
      <c r="AU24" s="318"/>
    </row>
    <row r="25" spans="1:49" ht="18.75" customHeight="1" outlineLevel="1">
      <c r="A25" s="215" t="s">
        <v>125</v>
      </c>
      <c r="B25" s="249"/>
      <c r="C25" s="249"/>
      <c r="D25" s="250"/>
      <c r="E25" s="249"/>
      <c r="F25" s="249"/>
      <c r="G25" s="249"/>
      <c r="H25" s="249"/>
      <c r="I25" s="249"/>
      <c r="J25" s="249"/>
      <c r="K25" s="261"/>
      <c r="L25" s="250"/>
      <c r="M25" s="250"/>
      <c r="N25" s="250"/>
      <c r="O25" s="250"/>
      <c r="P25" s="250"/>
      <c r="Q25" s="261"/>
      <c r="R25" s="283"/>
      <c r="S25" s="283"/>
      <c r="T25" s="283"/>
      <c r="U25" s="283"/>
      <c r="V25" s="283"/>
      <c r="W25" s="283"/>
      <c r="X25" s="283"/>
      <c r="Y25" s="284"/>
      <c r="Z25" s="284"/>
      <c r="AA25" s="301"/>
      <c r="AB25" s="301"/>
      <c r="AC25" s="301"/>
      <c r="AD25" s="301"/>
      <c r="AE25" s="301"/>
      <c r="AF25" s="301"/>
      <c r="AG25" s="301"/>
      <c r="AH25" s="301"/>
      <c r="AI25" s="301"/>
      <c r="AJ25" s="301"/>
      <c r="AK25" s="301"/>
      <c r="AL25" s="301"/>
      <c r="AM25" s="301"/>
      <c r="AN25" s="301"/>
      <c r="AO25" s="301"/>
      <c r="AP25" s="301"/>
      <c r="AQ25" s="301"/>
      <c r="AR25" s="301"/>
      <c r="AS25" s="316"/>
      <c r="AT25" s="316"/>
      <c r="AU25" s="317"/>
    </row>
    <row r="26" spans="1:49" ht="21" customHeight="1" outlineLevel="1">
      <c r="A26" s="215" t="s">
        <v>125</v>
      </c>
      <c r="B26" s="249"/>
      <c r="C26" s="249"/>
      <c r="D26" s="250"/>
      <c r="E26" s="249"/>
      <c r="F26" s="249"/>
      <c r="G26" s="249"/>
      <c r="H26" s="249"/>
      <c r="I26" s="249"/>
      <c r="J26" s="249"/>
      <c r="K26" s="261"/>
      <c r="L26" s="250"/>
      <c r="M26" s="250"/>
      <c r="N26" s="250"/>
      <c r="O26" s="250"/>
      <c r="P26" s="250"/>
      <c r="Q26" s="339" t="s">
        <v>37</v>
      </c>
      <c r="R26" s="283"/>
      <c r="S26" s="283"/>
      <c r="T26" s="283"/>
      <c r="U26" s="283"/>
      <c r="V26" s="283"/>
      <c r="W26" s="283"/>
      <c r="X26" s="283"/>
      <c r="Y26" s="284"/>
      <c r="Z26" s="284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16"/>
      <c r="AT26" s="316"/>
      <c r="AU26" s="317"/>
    </row>
    <row r="27" spans="1:49" s="217" customFormat="1" ht="25.5" customHeight="1" outlineLevel="1">
      <c r="A27" s="215" t="s">
        <v>125</v>
      </c>
      <c r="B27" s="321">
        <v>33</v>
      </c>
      <c r="C27" s="321" t="s">
        <v>196</v>
      </c>
      <c r="D27" s="322" t="s">
        <v>618</v>
      </c>
      <c r="E27" s="321" t="s">
        <v>130</v>
      </c>
      <c r="F27" s="321" t="s">
        <v>649</v>
      </c>
      <c r="G27" s="321" t="s">
        <v>37</v>
      </c>
      <c r="H27" s="321" t="s">
        <v>37</v>
      </c>
      <c r="I27" s="324">
        <v>36</v>
      </c>
      <c r="J27" s="321" t="s">
        <v>80</v>
      </c>
      <c r="K27" s="325" t="s">
        <v>1189</v>
      </c>
      <c r="L27" s="322">
        <v>40020255</v>
      </c>
      <c r="M27" s="862" t="s">
        <v>1605</v>
      </c>
      <c r="N27" s="322"/>
      <c r="O27" s="245" t="s">
        <v>1190</v>
      </c>
      <c r="P27" s="322"/>
      <c r="Q27" s="325" t="s">
        <v>1191</v>
      </c>
      <c r="R27" s="328" t="s">
        <v>290</v>
      </c>
      <c r="S27" s="329"/>
      <c r="T27" s="328"/>
      <c r="U27" s="328"/>
      <c r="V27" s="328"/>
      <c r="W27" s="328"/>
      <c r="X27" s="329"/>
      <c r="Y27" s="330">
        <v>1500000000</v>
      </c>
      <c r="Z27" s="330">
        <v>0</v>
      </c>
      <c r="AA27" s="331"/>
      <c r="AB27" s="332">
        <v>1000000000</v>
      </c>
      <c r="AC27" s="332">
        <f t="shared" ref="AC27" si="17">SUBTOTAL(9,AE27:AP27)</f>
        <v>0</v>
      </c>
      <c r="AD27" s="332">
        <f t="shared" ref="AD27" si="18">+AB27-AC27</f>
        <v>1000000000</v>
      </c>
      <c r="AE27" s="332">
        <v>0</v>
      </c>
      <c r="AF27" s="332">
        <v>0</v>
      </c>
      <c r="AG27" s="332">
        <v>0</v>
      </c>
      <c r="AH27" s="332">
        <v>0</v>
      </c>
      <c r="AI27" s="332">
        <v>0</v>
      </c>
      <c r="AJ27" s="332">
        <v>0</v>
      </c>
      <c r="AK27" s="332">
        <v>0</v>
      </c>
      <c r="AL27" s="297">
        <v>0</v>
      </c>
      <c r="AM27" s="297">
        <v>0</v>
      </c>
      <c r="AN27" s="297">
        <v>0</v>
      </c>
      <c r="AO27" s="332">
        <v>0</v>
      </c>
      <c r="AP27" s="332">
        <v>0</v>
      </c>
      <c r="AQ27" s="331"/>
      <c r="AR27" s="332">
        <f t="shared" ref="AR27" si="19">+Y27-Z27-AC27-AD27</f>
        <v>500000000</v>
      </c>
      <c r="AS27" s="335" t="s">
        <v>185</v>
      </c>
      <c r="AT27" s="313" t="s">
        <v>1475</v>
      </c>
      <c r="AU27" s="335"/>
    </row>
    <row r="28" spans="1:49" s="219" customFormat="1" ht="24.75" customHeight="1" outlineLevel="1">
      <c r="A28" s="215" t="s">
        <v>125</v>
      </c>
      <c r="B28" s="251"/>
      <c r="C28" s="249"/>
      <c r="D28" s="250"/>
      <c r="E28" s="249"/>
      <c r="F28" s="249"/>
      <c r="G28" s="249"/>
      <c r="H28" s="249"/>
      <c r="I28" s="249"/>
      <c r="J28" s="251"/>
      <c r="K28" s="263"/>
      <c r="L28" s="252"/>
      <c r="M28" s="252"/>
      <c r="N28" s="252"/>
      <c r="O28" s="252"/>
      <c r="P28" s="252"/>
      <c r="Q28" s="448" t="s">
        <v>1230</v>
      </c>
      <c r="R28" s="289"/>
      <c r="S28" s="289"/>
      <c r="T28" s="289"/>
      <c r="U28" s="289"/>
      <c r="V28" s="289"/>
      <c r="W28" s="405"/>
      <c r="X28" s="290"/>
      <c r="Y28" s="467">
        <f>+Y27</f>
        <v>1500000000</v>
      </c>
      <c r="Z28" s="467">
        <f>+Z27</f>
        <v>0</v>
      </c>
      <c r="AA28" s="470"/>
      <c r="AB28" s="467">
        <f t="shared" ref="AB28:AD28" si="20">+AB27</f>
        <v>1000000000</v>
      </c>
      <c r="AC28" s="467">
        <f t="shared" si="20"/>
        <v>0</v>
      </c>
      <c r="AD28" s="467">
        <f t="shared" si="20"/>
        <v>1000000000</v>
      </c>
      <c r="AE28" s="467" t="e">
        <f>+#REF!+#REF!+#REF!</f>
        <v>#REF!</v>
      </c>
      <c r="AF28" s="467" t="e">
        <f>+#REF!+#REF!+#REF!</f>
        <v>#REF!</v>
      </c>
      <c r="AG28" s="467" t="e">
        <f>+#REF!+#REF!+#REF!</f>
        <v>#REF!</v>
      </c>
      <c r="AH28" s="467" t="e">
        <f>+#REF!+#REF!+#REF!</f>
        <v>#REF!</v>
      </c>
      <c r="AI28" s="467" t="e">
        <f>+#REF!+#REF!+#REF!</f>
        <v>#REF!</v>
      </c>
      <c r="AJ28" s="467" t="e">
        <f>+#REF!+#REF!+#REF!</f>
        <v>#REF!</v>
      </c>
      <c r="AK28" s="467" t="e">
        <f>+#REF!+#REF!+#REF!</f>
        <v>#REF!</v>
      </c>
      <c r="AL28" s="467">
        <v>140167108</v>
      </c>
      <c r="AM28" s="467">
        <v>175426362</v>
      </c>
      <c r="AN28" s="467">
        <v>515059585</v>
      </c>
      <c r="AO28" s="467" t="e">
        <f>+#REF!+#REF!+#REF!</f>
        <v>#REF!</v>
      </c>
      <c r="AP28" s="467" t="e">
        <f>+#REF!+#REF!+#REF!</f>
        <v>#REF!</v>
      </c>
      <c r="AQ28" s="318"/>
      <c r="AR28" s="118">
        <f>+Y28-Z28-AC28-AD28</f>
        <v>500000000</v>
      </c>
      <c r="AS28" s="333"/>
      <c r="AT28" s="333"/>
      <c r="AU28" s="320"/>
    </row>
    <row r="29" spans="1:49" ht="18.75" customHeight="1" outlineLevel="1">
      <c r="A29" s="215" t="s">
        <v>125</v>
      </c>
      <c r="B29" s="249"/>
      <c r="C29" s="249"/>
      <c r="D29" s="250"/>
      <c r="E29" s="249"/>
      <c r="F29" s="249"/>
      <c r="G29" s="249"/>
      <c r="H29" s="249"/>
      <c r="I29" s="249"/>
      <c r="J29" s="249"/>
      <c r="K29" s="261"/>
      <c r="L29" s="250"/>
      <c r="M29" s="250"/>
      <c r="N29" s="250"/>
      <c r="O29" s="250"/>
      <c r="P29" s="250"/>
      <c r="Q29" s="115"/>
      <c r="R29" s="283"/>
      <c r="S29" s="283"/>
      <c r="T29" s="283"/>
      <c r="U29" s="283"/>
      <c r="V29" s="283"/>
      <c r="W29" s="283"/>
      <c r="X29" s="283"/>
      <c r="Y29" s="284"/>
      <c r="Z29" s="284"/>
      <c r="AA29" s="284"/>
      <c r="AB29" s="284"/>
      <c r="AC29" s="284"/>
      <c r="AD29" s="284"/>
      <c r="AE29" s="284"/>
      <c r="AF29" s="284"/>
      <c r="AG29" s="284"/>
      <c r="AH29" s="284"/>
      <c r="AI29" s="284"/>
      <c r="AJ29" s="284"/>
      <c r="AK29" s="284"/>
      <c r="AL29" s="284"/>
      <c r="AM29" s="284"/>
      <c r="AN29" s="284"/>
      <c r="AO29" s="284"/>
      <c r="AP29" s="284"/>
      <c r="AQ29" s="284"/>
      <c r="AR29" s="284"/>
      <c r="AS29" s="316"/>
      <c r="AT29" s="316"/>
      <c r="AU29" s="317"/>
    </row>
    <row r="30" spans="1:49" s="219" customFormat="1" ht="24.75" customHeight="1">
      <c r="A30" s="215" t="s">
        <v>125</v>
      </c>
      <c r="B30" s="445"/>
      <c r="C30" s="223"/>
      <c r="D30" s="30"/>
      <c r="E30" s="223"/>
      <c r="F30" s="223"/>
      <c r="G30" s="223"/>
      <c r="H30" s="224"/>
      <c r="I30" s="223"/>
      <c r="J30" s="445"/>
      <c r="L30" s="449"/>
      <c r="M30" s="449"/>
      <c r="N30" s="450"/>
      <c r="O30" s="450"/>
      <c r="P30" s="450"/>
      <c r="Q30" s="448" t="s">
        <v>1705</v>
      </c>
      <c r="R30" s="289"/>
      <c r="S30" s="289"/>
      <c r="T30" s="289"/>
      <c r="U30" s="289"/>
      <c r="V30" s="289"/>
      <c r="W30" s="289"/>
      <c r="X30" s="290"/>
      <c r="Y30" s="467">
        <f>+Y13+Y18+Y24+Y28+Y8</f>
        <v>5802734000</v>
      </c>
      <c r="Z30" s="467">
        <f>+Z13+Z18+Z24+Z28+Z8</f>
        <v>0</v>
      </c>
      <c r="AA30" s="470"/>
      <c r="AB30" s="467">
        <f t="shared" ref="AB30:AD30" si="21">+AB13+AB18+AB24+AB28+AB8</f>
        <v>4226070000</v>
      </c>
      <c r="AC30" s="467">
        <f t="shared" si="21"/>
        <v>0</v>
      </c>
      <c r="AD30" s="467">
        <f t="shared" si="21"/>
        <v>4226070000</v>
      </c>
      <c r="AE30" s="467" t="e">
        <f>+#REF!+#REF!+#REF!+#REF!+AE24+AE28</f>
        <v>#REF!</v>
      </c>
      <c r="AF30" s="467" t="e">
        <f>+#REF!+#REF!+#REF!+#REF!+AF24+AF28</f>
        <v>#REF!</v>
      </c>
      <c r="AG30" s="467" t="e">
        <f>+#REF!+#REF!+#REF!+#REF!+AG24+AG28</f>
        <v>#REF!</v>
      </c>
      <c r="AH30" s="467" t="e">
        <f>+#REF!+#REF!+#REF!+#REF!+AH24+AH28</f>
        <v>#REF!</v>
      </c>
      <c r="AI30" s="467" t="e">
        <f>+#REF!+#REF!+#REF!+#REF!+AI24+AI28</f>
        <v>#REF!</v>
      </c>
      <c r="AJ30" s="467" t="e">
        <f>+#REF!+#REF!+#REF!+#REF!+AJ24+AJ28</f>
        <v>#REF!</v>
      </c>
      <c r="AK30" s="467" t="e">
        <f>+#REF!+#REF!+#REF!+#REF!+AK24+AK28</f>
        <v>#REF!</v>
      </c>
      <c r="AL30" s="467">
        <v>5022881123</v>
      </c>
      <c r="AM30" s="467">
        <v>6520346324</v>
      </c>
      <c r="AN30" s="467">
        <v>6589090637</v>
      </c>
      <c r="AO30" s="467" t="e">
        <f>+#REF!+#REF!+#REF!+#REF!+AO24+AO28</f>
        <v>#REF!</v>
      </c>
      <c r="AP30" s="467" t="e">
        <f>+#REF!+#REF!+#REF!+#REF!+AP24+AP28</f>
        <v>#REF!</v>
      </c>
      <c r="AQ30" s="318"/>
      <c r="AR30" s="118">
        <f>+Y30-Z30-AC30-AD30</f>
        <v>1576664000</v>
      </c>
      <c r="AS30" s="477"/>
      <c r="AT30" s="477"/>
    </row>
    <row r="31" spans="1:49" s="232" customFormat="1" ht="21">
      <c r="A31"/>
      <c r="B31" s="223"/>
      <c r="C31" s="223"/>
      <c r="D31" s="30"/>
      <c r="E31" s="223"/>
      <c r="F31" s="223"/>
      <c r="G31" s="223"/>
      <c r="H31" s="224"/>
      <c r="I31" s="223"/>
      <c r="J31" s="223"/>
      <c r="K31"/>
      <c r="L31" s="225"/>
      <c r="M31" s="225"/>
      <c r="N31" s="30"/>
      <c r="O31" s="30"/>
      <c r="P31" s="30"/>
      <c r="Q31"/>
      <c r="R31" s="226"/>
      <c r="S31" s="227"/>
      <c r="T31" s="226"/>
      <c r="U31" s="226"/>
      <c r="V31" s="226"/>
      <c r="W31" s="226"/>
      <c r="X31" s="227"/>
      <c r="Y31" s="228"/>
      <c r="Z31" s="228"/>
      <c r="AA31" s="229"/>
      <c r="AB31" s="475"/>
      <c r="AC31" s="230"/>
      <c r="AD31" s="230"/>
      <c r="AE31" s="230"/>
      <c r="AF31" s="230"/>
      <c r="AG31" s="230"/>
      <c r="AH31" s="230"/>
      <c r="AI31" s="230"/>
      <c r="AJ31" s="230"/>
      <c r="AK31" s="230"/>
      <c r="AL31" s="231"/>
      <c r="AM31" s="231"/>
      <c r="AN31" s="230"/>
      <c r="AO31" s="230"/>
      <c r="AP31" s="230"/>
      <c r="AQ31" s="229"/>
      <c r="AR31" s="230"/>
      <c r="AU31"/>
      <c r="AV31"/>
      <c r="AW31"/>
    </row>
    <row r="32" spans="1:49" s="232" customFormat="1" ht="46.5">
      <c r="A32"/>
      <c r="B32" s="223"/>
      <c r="C32" s="223"/>
      <c r="D32" s="30"/>
      <c r="E32" s="223"/>
      <c r="F32" s="223"/>
      <c r="G32" s="223"/>
      <c r="H32" s="224"/>
      <c r="I32" s="223"/>
      <c r="J32" s="223"/>
      <c r="K32"/>
      <c r="L32" s="225"/>
      <c r="M32" s="225"/>
      <c r="N32" s="30"/>
      <c r="O32" s="30"/>
      <c r="P32" s="30"/>
      <c r="Q32" s="948" t="s">
        <v>1703</v>
      </c>
      <c r="R32" s="226"/>
      <c r="S32" s="227"/>
      <c r="T32" s="226"/>
      <c r="U32" s="226"/>
      <c r="V32" s="226"/>
      <c r="W32" s="226"/>
      <c r="X32" s="227"/>
      <c r="Y32" s="228"/>
      <c r="Z32" s="228"/>
      <c r="AA32" s="229"/>
      <c r="AB32" s="475"/>
      <c r="AC32" s="230"/>
      <c r="AD32" s="230"/>
      <c r="AE32" s="230"/>
      <c r="AF32" s="230"/>
      <c r="AG32" s="230"/>
      <c r="AH32" s="230"/>
      <c r="AI32" s="230"/>
      <c r="AJ32" s="230"/>
      <c r="AK32" s="230"/>
      <c r="AL32" s="231"/>
      <c r="AM32" s="231"/>
      <c r="AN32" s="230"/>
      <c r="AO32" s="230"/>
      <c r="AP32" s="230"/>
      <c r="AQ32" s="229"/>
      <c r="AR32" s="230"/>
      <c r="AU32"/>
      <c r="AV32"/>
      <c r="AW32"/>
    </row>
    <row r="33" spans="1:49" s="232" customFormat="1" ht="23.25">
      <c r="A33"/>
      <c r="B33" s="223"/>
      <c r="C33" s="223"/>
      <c r="D33" s="30"/>
      <c r="E33" s="223"/>
      <c r="F33" s="223"/>
      <c r="G33" s="223"/>
      <c r="H33" s="224"/>
      <c r="I33" s="223"/>
      <c r="J33" s="223"/>
      <c r="K33"/>
      <c r="L33" s="225"/>
      <c r="M33" s="225"/>
      <c r="N33" s="30"/>
      <c r="O33" s="30"/>
      <c r="P33" s="30"/>
      <c r="Q33" s="466"/>
      <c r="R33" s="226"/>
      <c r="S33" s="227"/>
      <c r="T33" s="226"/>
      <c r="U33" s="226"/>
      <c r="V33" s="226"/>
      <c r="W33" s="226"/>
      <c r="X33" s="227"/>
      <c r="Y33" s="228"/>
      <c r="Z33" s="228"/>
      <c r="AA33" s="229"/>
      <c r="AB33" s="475"/>
      <c r="AC33" s="230"/>
      <c r="AD33" s="230"/>
      <c r="AE33" s="230"/>
      <c r="AF33" s="230"/>
      <c r="AG33" s="230"/>
      <c r="AH33" s="230"/>
      <c r="AI33" s="230"/>
      <c r="AJ33" s="230"/>
      <c r="AK33" s="230"/>
      <c r="AL33" s="231"/>
      <c r="AM33" s="231"/>
      <c r="AN33" s="230"/>
      <c r="AO33" s="230"/>
      <c r="AP33" s="230"/>
      <c r="AQ33" s="229"/>
      <c r="AR33" s="230"/>
      <c r="AU33"/>
      <c r="AV33"/>
      <c r="AW33"/>
    </row>
    <row r="34" spans="1:49" ht="26.25" customHeight="1" outlineLevel="1">
      <c r="A34" s="215" t="s">
        <v>125</v>
      </c>
      <c r="B34" s="249"/>
      <c r="C34" s="249"/>
      <c r="D34" s="250"/>
      <c r="E34" s="249"/>
      <c r="F34" s="249"/>
      <c r="G34" s="249"/>
      <c r="H34" s="249"/>
      <c r="I34" s="249"/>
      <c r="J34" s="249"/>
      <c r="K34" s="261"/>
      <c r="L34" s="250"/>
      <c r="M34" s="250"/>
      <c r="N34" s="250"/>
      <c r="O34" s="250"/>
      <c r="P34" s="250"/>
      <c r="Q34" s="264" t="s">
        <v>268</v>
      </c>
      <c r="R34" s="283"/>
      <c r="S34" s="283"/>
      <c r="T34" s="283"/>
      <c r="U34" s="283"/>
      <c r="V34" s="283"/>
      <c r="W34" s="283"/>
      <c r="X34" s="283"/>
      <c r="Y34" s="284"/>
      <c r="Z34" s="284"/>
      <c r="AA34" s="301"/>
      <c r="AB34" s="301"/>
      <c r="AC34" s="301"/>
      <c r="AD34" s="301"/>
      <c r="AE34" s="301"/>
      <c r="AF34" s="301"/>
      <c r="AG34" s="301"/>
      <c r="AH34" s="301"/>
      <c r="AI34" s="301"/>
      <c r="AJ34" s="301"/>
      <c r="AK34" s="301"/>
      <c r="AL34" s="301"/>
      <c r="AM34" s="301"/>
      <c r="AN34" s="301"/>
      <c r="AO34" s="301"/>
      <c r="AP34" s="301"/>
      <c r="AQ34" s="301"/>
      <c r="AR34" s="301"/>
      <c r="AS34" s="316"/>
      <c r="AT34" s="316"/>
      <c r="AU34" s="317"/>
    </row>
    <row r="35" spans="1:49" s="218" customFormat="1" ht="25.5" customHeight="1" outlineLevel="2">
      <c r="A35" s="215" t="s">
        <v>125</v>
      </c>
      <c r="B35" s="321">
        <v>31</v>
      </c>
      <c r="C35" s="321" t="s">
        <v>196</v>
      </c>
      <c r="D35" s="322" t="s">
        <v>251</v>
      </c>
      <c r="E35" s="321" t="s">
        <v>169</v>
      </c>
      <c r="F35" s="321" t="s">
        <v>251</v>
      </c>
      <c r="G35" s="321" t="s">
        <v>32</v>
      </c>
      <c r="H35" s="321" t="s">
        <v>43</v>
      </c>
      <c r="I35" s="324">
        <v>4</v>
      </c>
      <c r="J35" s="321" t="s">
        <v>80</v>
      </c>
      <c r="K35" s="325" t="s">
        <v>132</v>
      </c>
      <c r="L35" s="322">
        <v>40020266</v>
      </c>
      <c r="M35" s="862" t="s">
        <v>1605</v>
      </c>
      <c r="N35" s="322"/>
      <c r="O35" s="245" t="s">
        <v>288</v>
      </c>
      <c r="P35" s="322"/>
      <c r="Q35" s="325" t="s">
        <v>289</v>
      </c>
      <c r="R35" s="328" t="s">
        <v>290</v>
      </c>
      <c r="S35" s="329"/>
      <c r="T35" s="328"/>
      <c r="U35" s="328"/>
      <c r="V35" s="328"/>
      <c r="W35" s="328"/>
      <c r="X35" s="329"/>
      <c r="Y35" s="330">
        <v>1000000000</v>
      </c>
      <c r="Z35" s="330">
        <v>0</v>
      </c>
      <c r="AA35" s="331"/>
      <c r="AB35" s="332">
        <v>1000000000</v>
      </c>
      <c r="AC35" s="332">
        <f t="shared" ref="AC35" si="22">SUBTOTAL(9,AE35:AP35)</f>
        <v>0</v>
      </c>
      <c r="AD35" s="332">
        <f t="shared" ref="AD35" si="23">+AB35-AC35</f>
        <v>1000000000</v>
      </c>
      <c r="AE35" s="332">
        <v>0</v>
      </c>
      <c r="AF35" s="332">
        <v>0</v>
      </c>
      <c r="AG35" s="332">
        <v>0</v>
      </c>
      <c r="AH35" s="332">
        <v>0</v>
      </c>
      <c r="AI35" s="332">
        <v>0</v>
      </c>
      <c r="AJ35" s="332">
        <v>0</v>
      </c>
      <c r="AK35" s="332">
        <v>0</v>
      </c>
      <c r="AL35" s="297">
        <v>0</v>
      </c>
      <c r="AM35" s="297">
        <v>0</v>
      </c>
      <c r="AN35" s="297">
        <v>0</v>
      </c>
      <c r="AO35" s="332">
        <v>0</v>
      </c>
      <c r="AP35" s="332">
        <v>0</v>
      </c>
      <c r="AQ35" s="331"/>
      <c r="AR35" s="332">
        <f t="shared" ref="AR35" si="24">+Y35-Z35-AC35-AD35</f>
        <v>0</v>
      </c>
      <c r="AS35" s="335" t="s">
        <v>206</v>
      </c>
      <c r="AT35" s="313" t="s">
        <v>1481</v>
      </c>
      <c r="AU35" s="325" t="s">
        <v>1488</v>
      </c>
    </row>
    <row r="36" spans="1:49" s="219" customFormat="1" ht="24.75" customHeight="1" outlineLevel="1">
      <c r="A36" s="215" t="s">
        <v>125</v>
      </c>
      <c r="B36" s="251"/>
      <c r="C36" s="249"/>
      <c r="D36" s="250"/>
      <c r="E36" s="249"/>
      <c r="F36" s="249"/>
      <c r="G36" s="249"/>
      <c r="H36" s="249"/>
      <c r="I36" s="249"/>
      <c r="J36" s="251"/>
      <c r="K36" s="263"/>
      <c r="L36" s="252"/>
      <c r="M36" s="252"/>
      <c r="N36" s="252"/>
      <c r="O36" s="252"/>
      <c r="P36" s="252"/>
      <c r="Q36" s="117" t="s">
        <v>291</v>
      </c>
      <c r="R36" s="288"/>
      <c r="S36" s="289"/>
      <c r="T36" s="289"/>
      <c r="U36" s="289"/>
      <c r="V36" s="289"/>
      <c r="W36" s="289"/>
      <c r="X36" s="290"/>
      <c r="Y36" s="118">
        <f>+Y35</f>
        <v>1000000000</v>
      </c>
      <c r="Z36" s="118">
        <f>+Z35</f>
        <v>0</v>
      </c>
      <c r="AA36" s="304"/>
      <c r="AB36" s="118">
        <f t="shared" ref="AB36:AD36" si="25">+AB35</f>
        <v>1000000000</v>
      </c>
      <c r="AC36" s="118">
        <f t="shared" si="25"/>
        <v>0</v>
      </c>
      <c r="AD36" s="118">
        <f t="shared" si="25"/>
        <v>1000000000</v>
      </c>
      <c r="AE36" s="118" t="e">
        <f>+#REF!+#REF!+#REF!</f>
        <v>#REF!</v>
      </c>
      <c r="AF36" s="118" t="e">
        <f>+#REF!+#REF!+#REF!</f>
        <v>#REF!</v>
      </c>
      <c r="AG36" s="118" t="e">
        <f>+#REF!+#REF!+#REF!</f>
        <v>#REF!</v>
      </c>
      <c r="AH36" s="118" t="e">
        <f>+#REF!+#REF!+#REF!</f>
        <v>#REF!</v>
      </c>
      <c r="AI36" s="118" t="e">
        <f>+#REF!+#REF!+#REF!</f>
        <v>#REF!</v>
      </c>
      <c r="AJ36" s="118" t="e">
        <f>+#REF!+#REF!+#REF!</f>
        <v>#REF!</v>
      </c>
      <c r="AK36" s="118" t="e">
        <f>+#REF!+#REF!+#REF!</f>
        <v>#REF!</v>
      </c>
      <c r="AL36" s="118">
        <v>178907670</v>
      </c>
      <c r="AM36" s="118">
        <v>24692135</v>
      </c>
      <c r="AN36" s="118">
        <v>0</v>
      </c>
      <c r="AO36" s="118" t="e">
        <f>+#REF!+#REF!+#REF!</f>
        <v>#REF!</v>
      </c>
      <c r="AP36" s="118" t="e">
        <f>+#REF!+#REF!+#REF!</f>
        <v>#REF!</v>
      </c>
      <c r="AQ36" s="318"/>
      <c r="AR36" s="118">
        <f t="shared" ref="AR36" si="26">+AR35</f>
        <v>0</v>
      </c>
      <c r="AS36" s="333"/>
      <c r="AT36" s="333"/>
      <c r="AU36" s="320"/>
    </row>
    <row r="37" spans="1:49" ht="15" customHeight="1" outlineLevel="1">
      <c r="A37" s="215" t="s">
        <v>125</v>
      </c>
      <c r="B37" s="249"/>
      <c r="C37" s="249"/>
      <c r="D37" s="250"/>
      <c r="E37" s="249"/>
      <c r="F37" s="249"/>
      <c r="G37" s="249"/>
      <c r="H37" s="249"/>
      <c r="I37" s="249"/>
      <c r="J37" s="249"/>
      <c r="K37" s="261"/>
      <c r="L37" s="250"/>
      <c r="M37" s="250"/>
      <c r="N37" s="250"/>
      <c r="O37" s="250"/>
      <c r="P37" s="250"/>
      <c r="Q37" s="261"/>
      <c r="R37" s="283"/>
      <c r="S37" s="283"/>
      <c r="T37" s="283"/>
      <c r="U37" s="283"/>
      <c r="V37" s="283"/>
      <c r="W37" s="283"/>
      <c r="X37" s="283"/>
      <c r="Y37" s="284"/>
      <c r="Z37" s="284"/>
      <c r="AA37" s="301"/>
      <c r="AB37" s="301"/>
      <c r="AC37" s="301"/>
      <c r="AD37" s="301"/>
      <c r="AE37" s="301"/>
      <c r="AF37" s="301"/>
      <c r="AG37" s="301"/>
      <c r="AH37" s="301"/>
      <c r="AI37" s="301"/>
      <c r="AJ37" s="301"/>
      <c r="AK37" s="301"/>
      <c r="AL37" s="301"/>
      <c r="AM37" s="301"/>
      <c r="AN37" s="301"/>
      <c r="AO37" s="301"/>
      <c r="AP37" s="301"/>
      <c r="AQ37" s="301"/>
      <c r="AR37" s="301"/>
      <c r="AS37" s="316"/>
      <c r="AT37" s="316"/>
      <c r="AU37" s="317"/>
    </row>
    <row r="38" spans="1:49" ht="18.75" hidden="1" customHeight="1" outlineLevel="1">
      <c r="A38" s="215" t="s">
        <v>125</v>
      </c>
      <c r="B38" s="249"/>
      <c r="C38" s="249"/>
      <c r="D38" s="250"/>
      <c r="E38" s="249"/>
      <c r="F38" s="249"/>
      <c r="G38" s="249"/>
      <c r="H38" s="249"/>
      <c r="I38" s="249"/>
      <c r="J38" s="249"/>
      <c r="K38" s="261"/>
      <c r="L38" s="250"/>
      <c r="M38" s="250"/>
      <c r="N38" s="250"/>
      <c r="O38" s="250"/>
      <c r="P38" s="250"/>
      <c r="Q38" s="261"/>
      <c r="R38" s="283"/>
      <c r="S38" s="283"/>
      <c r="T38" s="283"/>
      <c r="U38" s="283"/>
      <c r="V38" s="283"/>
      <c r="W38" s="283"/>
      <c r="X38" s="283"/>
      <c r="Y38" s="284"/>
      <c r="Z38" s="284"/>
      <c r="AA38" s="301"/>
      <c r="AB38" s="301"/>
      <c r="AC38" s="301"/>
      <c r="AD38" s="301"/>
      <c r="AE38" s="301"/>
      <c r="AF38" s="301"/>
      <c r="AG38" s="301"/>
      <c r="AH38" s="301"/>
      <c r="AI38" s="301"/>
      <c r="AJ38" s="301"/>
      <c r="AK38" s="301"/>
      <c r="AL38" s="301"/>
      <c r="AM38" s="301"/>
      <c r="AN38" s="301"/>
      <c r="AO38" s="301"/>
      <c r="AP38" s="301"/>
      <c r="AQ38" s="301"/>
      <c r="AR38" s="301"/>
      <c r="AS38" s="316"/>
      <c r="AT38" s="316"/>
      <c r="AU38" s="317"/>
    </row>
    <row r="39" spans="1:49" ht="26.25" customHeight="1" outlineLevel="1">
      <c r="A39" s="215" t="s">
        <v>125</v>
      </c>
      <c r="B39" s="249"/>
      <c r="C39" s="249"/>
      <c r="D39" s="250"/>
      <c r="E39" s="249"/>
      <c r="F39" s="249"/>
      <c r="G39" s="249"/>
      <c r="H39" s="249"/>
      <c r="I39" s="249"/>
      <c r="J39" s="249"/>
      <c r="K39" s="261"/>
      <c r="L39" s="250"/>
      <c r="M39" s="250"/>
      <c r="N39" s="250"/>
      <c r="O39" s="250"/>
      <c r="P39" s="250"/>
      <c r="Q39" s="264" t="s">
        <v>575</v>
      </c>
      <c r="R39" s="283"/>
      <c r="S39" s="283"/>
      <c r="T39" s="283"/>
      <c r="U39" s="283"/>
      <c r="V39" s="283"/>
      <c r="W39" s="283"/>
      <c r="X39" s="283"/>
      <c r="Y39" s="284"/>
      <c r="Z39" s="284"/>
      <c r="AA39" s="301"/>
      <c r="AB39" s="301"/>
      <c r="AC39" s="301"/>
      <c r="AD39" s="301"/>
      <c r="AE39" s="301"/>
      <c r="AF39" s="301"/>
      <c r="AG39" s="301"/>
      <c r="AH39" s="301"/>
      <c r="AI39" s="301"/>
      <c r="AJ39" s="301"/>
      <c r="AK39" s="301"/>
      <c r="AL39" s="301"/>
      <c r="AM39" s="301"/>
      <c r="AN39" s="301"/>
      <c r="AO39" s="301"/>
      <c r="AP39" s="301"/>
      <c r="AQ39" s="301"/>
      <c r="AR39" s="301"/>
      <c r="AS39" s="316"/>
      <c r="AT39" s="316"/>
      <c r="AU39" s="317"/>
    </row>
    <row r="40" spans="1:49" s="216" customFormat="1" ht="15" customHeight="1" outlineLevel="1">
      <c r="A40" s="215" t="s">
        <v>125</v>
      </c>
      <c r="B40" s="249"/>
      <c r="C40" s="249"/>
      <c r="D40" s="250"/>
      <c r="E40" s="249"/>
      <c r="F40" s="249"/>
      <c r="G40" s="249"/>
      <c r="H40" s="249"/>
      <c r="I40" s="249"/>
      <c r="J40" s="249"/>
      <c r="K40" s="261"/>
      <c r="L40" s="250"/>
      <c r="M40" s="250"/>
      <c r="N40" s="250"/>
      <c r="O40" s="250"/>
      <c r="P40" s="250"/>
      <c r="Q40" s="255"/>
      <c r="R40" s="283"/>
      <c r="S40" s="283"/>
      <c r="T40" s="283"/>
      <c r="U40" s="283"/>
      <c r="V40" s="283"/>
      <c r="W40" s="283"/>
      <c r="X40" s="283"/>
      <c r="Y40" s="284"/>
      <c r="Z40" s="284"/>
      <c r="AA40" s="301"/>
      <c r="AB40" s="301"/>
      <c r="AC40" s="301"/>
      <c r="AD40" s="301"/>
      <c r="AE40" s="301"/>
      <c r="AF40" s="301"/>
      <c r="AG40" s="301"/>
      <c r="AH40" s="301"/>
      <c r="AI40" s="301"/>
      <c r="AJ40" s="301"/>
      <c r="AK40" s="301"/>
      <c r="AL40" s="301"/>
      <c r="AM40" s="301"/>
      <c r="AN40" s="301"/>
      <c r="AO40" s="301"/>
      <c r="AP40" s="301"/>
      <c r="AQ40" s="301"/>
      <c r="AR40" s="301"/>
      <c r="AS40" s="316"/>
      <c r="AT40" s="316"/>
      <c r="AU40" s="317"/>
    </row>
    <row r="41" spans="1:49" s="217" customFormat="1" ht="25.5" customHeight="1" outlineLevel="1">
      <c r="A41" s="215" t="s">
        <v>125</v>
      </c>
      <c r="B41" s="321">
        <v>31</v>
      </c>
      <c r="C41" s="321" t="s">
        <v>196</v>
      </c>
      <c r="D41" s="322" t="s">
        <v>251</v>
      </c>
      <c r="E41" s="321" t="s">
        <v>169</v>
      </c>
      <c r="F41" s="321" t="s">
        <v>251</v>
      </c>
      <c r="G41" s="321" t="s">
        <v>33</v>
      </c>
      <c r="H41" s="321" t="s">
        <v>53</v>
      </c>
      <c r="I41" s="324">
        <v>16</v>
      </c>
      <c r="J41" s="321" t="s">
        <v>80</v>
      </c>
      <c r="K41" s="325" t="s">
        <v>132</v>
      </c>
      <c r="L41" s="322">
        <v>30485255</v>
      </c>
      <c r="M41" s="862" t="s">
        <v>1605</v>
      </c>
      <c r="N41" s="322"/>
      <c r="O41" s="245" t="s">
        <v>592</v>
      </c>
      <c r="P41" s="389"/>
      <c r="Q41" s="325" t="s">
        <v>593</v>
      </c>
      <c r="R41" s="328" t="s">
        <v>290</v>
      </c>
      <c r="S41" s="329"/>
      <c r="T41" s="328"/>
      <c r="U41" s="328"/>
      <c r="V41" s="328"/>
      <c r="W41" s="328"/>
      <c r="X41" s="329"/>
      <c r="Y41" s="330">
        <v>151137000</v>
      </c>
      <c r="Z41" s="330">
        <v>0</v>
      </c>
      <c r="AA41" s="331"/>
      <c r="AB41" s="332">
        <v>151137000</v>
      </c>
      <c r="AC41" s="332">
        <f t="shared" ref="AC41" si="27">SUBTOTAL(9,AE41:AP41)</f>
        <v>0</v>
      </c>
      <c r="AD41" s="332">
        <f t="shared" ref="AD41" si="28">+AB41-AC41</f>
        <v>151137000</v>
      </c>
      <c r="AE41" s="332">
        <v>0</v>
      </c>
      <c r="AF41" s="332">
        <v>0</v>
      </c>
      <c r="AG41" s="332">
        <v>0</v>
      </c>
      <c r="AH41" s="332">
        <v>0</v>
      </c>
      <c r="AI41" s="332">
        <v>0</v>
      </c>
      <c r="AJ41" s="332">
        <v>0</v>
      </c>
      <c r="AK41" s="332">
        <v>0</v>
      </c>
      <c r="AL41" s="297">
        <v>0</v>
      </c>
      <c r="AM41" s="297">
        <v>0</v>
      </c>
      <c r="AN41" s="297">
        <v>0</v>
      </c>
      <c r="AO41" s="332">
        <v>0</v>
      </c>
      <c r="AP41" s="332">
        <v>0</v>
      </c>
      <c r="AQ41" s="331"/>
      <c r="AR41" s="332">
        <f t="shared" ref="AR41" si="29">+Y41-Z41-AC41-AD41</f>
        <v>0</v>
      </c>
      <c r="AS41" s="335" t="s">
        <v>208</v>
      </c>
      <c r="AT41" s="313" t="s">
        <v>208</v>
      </c>
      <c r="AU41" s="325" t="s">
        <v>209</v>
      </c>
    </row>
    <row r="42" spans="1:49" s="219" customFormat="1" ht="24.75" customHeight="1" outlineLevel="1">
      <c r="A42" s="215" t="s">
        <v>125</v>
      </c>
      <c r="B42" s="251"/>
      <c r="C42" s="249"/>
      <c r="D42" s="250"/>
      <c r="E42" s="249"/>
      <c r="F42" s="249"/>
      <c r="G42" s="249"/>
      <c r="H42" s="249"/>
      <c r="I42" s="249"/>
      <c r="J42" s="251"/>
      <c r="K42" s="263"/>
      <c r="L42" s="252"/>
      <c r="M42" s="252"/>
      <c r="N42" s="252"/>
      <c r="O42" s="252"/>
      <c r="P42" s="252"/>
      <c r="Q42" s="117" t="s">
        <v>594</v>
      </c>
      <c r="R42" s="288"/>
      <c r="S42" s="289"/>
      <c r="T42" s="289"/>
      <c r="U42" s="289"/>
      <c r="V42" s="289"/>
      <c r="W42" s="289"/>
      <c r="X42" s="290"/>
      <c r="Y42" s="118">
        <f>+Y41</f>
        <v>151137000</v>
      </c>
      <c r="Z42" s="118">
        <f>+Z41</f>
        <v>0</v>
      </c>
      <c r="AA42" s="304"/>
      <c r="AB42" s="118">
        <f>+AB41</f>
        <v>151137000</v>
      </c>
      <c r="AC42" s="118">
        <f t="shared" ref="AC42:AD42" si="30">+AC41</f>
        <v>0</v>
      </c>
      <c r="AD42" s="118">
        <f t="shared" si="30"/>
        <v>151137000</v>
      </c>
      <c r="AE42" s="118" t="e">
        <f>+#REF!+#REF!+#REF!</f>
        <v>#REF!</v>
      </c>
      <c r="AF42" s="118" t="e">
        <f>+#REF!+#REF!+#REF!</f>
        <v>#REF!</v>
      </c>
      <c r="AG42" s="118" t="e">
        <f>+#REF!+#REF!+#REF!</f>
        <v>#REF!</v>
      </c>
      <c r="AH42" s="118" t="e">
        <f>+#REF!+#REF!+#REF!</f>
        <v>#REF!</v>
      </c>
      <c r="AI42" s="118" t="e">
        <f>+#REF!+#REF!+#REF!</f>
        <v>#REF!</v>
      </c>
      <c r="AJ42" s="118" t="e">
        <f>+#REF!+#REF!+#REF!</f>
        <v>#REF!</v>
      </c>
      <c r="AK42" s="118" t="e">
        <f>+#REF!+#REF!+#REF!</f>
        <v>#REF!</v>
      </c>
      <c r="AL42" s="118">
        <v>59008355</v>
      </c>
      <c r="AM42" s="118">
        <v>27514354</v>
      </c>
      <c r="AN42" s="118">
        <v>78534387</v>
      </c>
      <c r="AO42" s="118" t="e">
        <f>+#REF!+#REF!+#REF!</f>
        <v>#REF!</v>
      </c>
      <c r="AP42" s="118" t="e">
        <f>+#REF!+#REF!+#REF!</f>
        <v>#REF!</v>
      </c>
      <c r="AQ42" s="318"/>
      <c r="AR42" s="118">
        <f t="shared" ref="AR42" si="31">+AR41</f>
        <v>0</v>
      </c>
      <c r="AS42" s="333"/>
      <c r="AT42" s="333"/>
      <c r="AU42" s="320"/>
    </row>
    <row r="43" spans="1:49" s="232" customFormat="1" ht="21">
      <c r="A43"/>
      <c r="B43" s="223"/>
      <c r="C43" s="223"/>
      <c r="D43" s="30"/>
      <c r="E43" s="223"/>
      <c r="F43" s="223"/>
      <c r="G43" s="223"/>
      <c r="H43" s="224"/>
      <c r="I43" s="223"/>
      <c r="J43" s="223"/>
      <c r="K43"/>
      <c r="L43" s="225"/>
      <c r="M43" s="225"/>
      <c r="N43" s="30"/>
      <c r="O43" s="30"/>
      <c r="P43" s="30"/>
      <c r="Q43"/>
      <c r="R43" s="226"/>
      <c r="S43" s="227"/>
      <c r="T43" s="226"/>
      <c r="U43" s="226"/>
      <c r="V43" s="226"/>
      <c r="W43" s="226"/>
      <c r="X43" s="227"/>
      <c r="Y43" s="228"/>
      <c r="Z43" s="228"/>
      <c r="AA43" s="229"/>
      <c r="AB43" s="475"/>
      <c r="AC43" s="230"/>
      <c r="AD43" s="230"/>
      <c r="AE43" s="230"/>
      <c r="AF43" s="230"/>
      <c r="AG43" s="230"/>
      <c r="AH43" s="230"/>
      <c r="AI43" s="230"/>
      <c r="AJ43" s="230"/>
      <c r="AK43" s="230"/>
      <c r="AL43" s="231"/>
      <c r="AM43" s="231"/>
      <c r="AN43" s="230"/>
      <c r="AO43" s="230"/>
      <c r="AP43" s="230"/>
      <c r="AQ43" s="229"/>
      <c r="AR43" s="230"/>
      <c r="AU43"/>
      <c r="AV43"/>
      <c r="AW43"/>
    </row>
    <row r="44" spans="1:49" ht="26.25" customHeight="1" outlineLevel="1">
      <c r="A44" s="215" t="s">
        <v>125</v>
      </c>
      <c r="B44" s="249"/>
      <c r="C44" s="249"/>
      <c r="D44" s="250"/>
      <c r="E44" s="249"/>
      <c r="F44" s="249"/>
      <c r="G44" s="249"/>
      <c r="H44" s="249"/>
      <c r="I44" s="249"/>
      <c r="J44" s="249"/>
      <c r="K44" s="261"/>
      <c r="L44" s="250"/>
      <c r="M44" s="250"/>
      <c r="N44" s="250"/>
      <c r="O44" s="250"/>
      <c r="P44" s="250"/>
      <c r="Q44" s="264" t="s">
        <v>651</v>
      </c>
      <c r="R44" s="283"/>
      <c r="S44" s="283"/>
      <c r="T44" s="283"/>
      <c r="U44" s="283"/>
      <c r="V44" s="283"/>
      <c r="W44" s="283"/>
      <c r="X44" s="283"/>
      <c r="Y44" s="284"/>
      <c r="Z44" s="284"/>
      <c r="AA44" s="301"/>
      <c r="AB44" s="301"/>
      <c r="AC44" s="301"/>
      <c r="AD44" s="301"/>
      <c r="AE44" s="301"/>
      <c r="AF44" s="301"/>
      <c r="AG44" s="301"/>
      <c r="AH44" s="301"/>
      <c r="AI44" s="301"/>
      <c r="AJ44" s="301"/>
      <c r="AK44" s="301"/>
      <c r="AL44" s="301"/>
      <c r="AM44" s="301"/>
      <c r="AN44" s="301"/>
      <c r="AO44" s="301"/>
      <c r="AP44" s="301"/>
      <c r="AQ44" s="301"/>
      <c r="AR44" s="301"/>
      <c r="AS44" s="316"/>
      <c r="AT44" s="316"/>
      <c r="AU44" s="317"/>
    </row>
    <row r="45" spans="1:49" s="217" customFormat="1" ht="25.5" customHeight="1" outlineLevel="1">
      <c r="A45" s="215" t="s">
        <v>125</v>
      </c>
      <c r="B45" s="321">
        <v>31</v>
      </c>
      <c r="C45" s="321" t="s">
        <v>196</v>
      </c>
      <c r="D45" s="322" t="s">
        <v>251</v>
      </c>
      <c r="E45" s="321" t="s">
        <v>169</v>
      </c>
      <c r="F45" s="321" t="s">
        <v>251</v>
      </c>
      <c r="G45" s="321" t="s">
        <v>34</v>
      </c>
      <c r="H45" s="321" t="s">
        <v>57</v>
      </c>
      <c r="I45" s="324">
        <v>19</v>
      </c>
      <c r="J45" s="321" t="s">
        <v>80</v>
      </c>
      <c r="K45" s="325" t="s">
        <v>132</v>
      </c>
      <c r="L45" s="322">
        <v>40020270</v>
      </c>
      <c r="M45" s="862" t="s">
        <v>1605</v>
      </c>
      <c r="N45" s="322"/>
      <c r="O45" s="245" t="s">
        <v>687</v>
      </c>
      <c r="P45" s="322"/>
      <c r="Q45" s="325" t="s">
        <v>688</v>
      </c>
      <c r="R45" s="328" t="s">
        <v>681</v>
      </c>
      <c r="S45" s="329"/>
      <c r="T45" s="328"/>
      <c r="U45" s="328"/>
      <c r="V45" s="328"/>
      <c r="W45" s="328"/>
      <c r="X45" s="329"/>
      <c r="Y45" s="330">
        <v>70000000</v>
      </c>
      <c r="Z45" s="330">
        <v>0</v>
      </c>
      <c r="AA45" s="331"/>
      <c r="AB45" s="332">
        <v>70000000</v>
      </c>
      <c r="AC45" s="332">
        <f>SUBTOTAL(9,AE45:AP45)</f>
        <v>0</v>
      </c>
      <c r="AD45" s="332">
        <f>+AB45-AC45</f>
        <v>70000000</v>
      </c>
      <c r="AE45" s="332"/>
      <c r="AF45" s="332"/>
      <c r="AG45" s="332"/>
      <c r="AH45" s="332"/>
      <c r="AI45" s="332"/>
      <c r="AJ45" s="332"/>
      <c r="AK45" s="332"/>
      <c r="AL45" s="297">
        <v>0</v>
      </c>
      <c r="AM45" s="297">
        <v>0</v>
      </c>
      <c r="AN45" s="297">
        <v>0</v>
      </c>
      <c r="AO45" s="332">
        <v>0</v>
      </c>
      <c r="AP45" s="332">
        <v>0</v>
      </c>
      <c r="AQ45" s="331"/>
      <c r="AR45" s="332">
        <f t="shared" ref="AR45:AR50" si="32">+Y45-Z45-AC45-AD45</f>
        <v>0</v>
      </c>
      <c r="AS45" s="335" t="s">
        <v>203</v>
      </c>
      <c r="AT45" s="313" t="s">
        <v>1481</v>
      </c>
      <c r="AU45" s="325" t="s">
        <v>1488</v>
      </c>
    </row>
    <row r="46" spans="1:49" s="217" customFormat="1" ht="25.5" customHeight="1" outlineLevel="1">
      <c r="A46" s="215" t="s">
        <v>125</v>
      </c>
      <c r="B46" s="321">
        <v>31</v>
      </c>
      <c r="C46" s="321" t="s">
        <v>196</v>
      </c>
      <c r="D46" s="322" t="s">
        <v>251</v>
      </c>
      <c r="E46" s="321" t="s">
        <v>169</v>
      </c>
      <c r="F46" s="321" t="s">
        <v>251</v>
      </c>
      <c r="G46" s="321" t="s">
        <v>34</v>
      </c>
      <c r="H46" s="321" t="s">
        <v>57</v>
      </c>
      <c r="I46" s="324">
        <v>19</v>
      </c>
      <c r="J46" s="321" t="s">
        <v>80</v>
      </c>
      <c r="K46" s="325" t="s">
        <v>132</v>
      </c>
      <c r="L46" s="322">
        <v>40012136</v>
      </c>
      <c r="M46" s="862" t="s">
        <v>1605</v>
      </c>
      <c r="N46" s="322"/>
      <c r="O46" s="245" t="s">
        <v>689</v>
      </c>
      <c r="P46" s="322"/>
      <c r="Q46" s="325" t="s">
        <v>690</v>
      </c>
      <c r="R46" s="328" t="s">
        <v>681</v>
      </c>
      <c r="S46" s="329"/>
      <c r="T46" s="328"/>
      <c r="U46" s="328"/>
      <c r="V46" s="328"/>
      <c r="W46" s="328"/>
      <c r="X46" s="329"/>
      <c r="Y46" s="330">
        <v>234169000</v>
      </c>
      <c r="Z46" s="330">
        <v>0</v>
      </c>
      <c r="AA46" s="331"/>
      <c r="AB46" s="332">
        <v>234169000</v>
      </c>
      <c r="AC46" s="332">
        <f>SUBTOTAL(9,AE46:AP46)</f>
        <v>0</v>
      </c>
      <c r="AD46" s="332">
        <f>+AB46-AC46</f>
        <v>234169000</v>
      </c>
      <c r="AE46" s="332"/>
      <c r="AF46" s="332"/>
      <c r="AG46" s="332"/>
      <c r="AH46" s="332"/>
      <c r="AI46" s="332"/>
      <c r="AJ46" s="332"/>
      <c r="AK46" s="332"/>
      <c r="AL46" s="297">
        <v>0</v>
      </c>
      <c r="AM46" s="297">
        <v>0</v>
      </c>
      <c r="AN46" s="297">
        <v>0</v>
      </c>
      <c r="AO46" s="332">
        <v>0</v>
      </c>
      <c r="AP46" s="332">
        <v>0</v>
      </c>
      <c r="AQ46" s="331"/>
      <c r="AR46" s="332">
        <f t="shared" si="32"/>
        <v>0</v>
      </c>
      <c r="AS46" s="335" t="s">
        <v>206</v>
      </c>
      <c r="AT46" s="313" t="s">
        <v>1481</v>
      </c>
      <c r="AU46" s="325" t="s">
        <v>1616</v>
      </c>
    </row>
    <row r="47" spans="1:49" s="217" customFormat="1" ht="25.5" customHeight="1" outlineLevel="1">
      <c r="A47" s="215" t="s">
        <v>125</v>
      </c>
      <c r="B47" s="321">
        <v>31</v>
      </c>
      <c r="C47" s="321" t="s">
        <v>196</v>
      </c>
      <c r="D47" s="322" t="s">
        <v>168</v>
      </c>
      <c r="E47" s="321" t="s">
        <v>169</v>
      </c>
      <c r="F47" s="321" t="s">
        <v>207</v>
      </c>
      <c r="G47" s="321" t="s">
        <v>34</v>
      </c>
      <c r="H47" s="321" t="s">
        <v>57</v>
      </c>
      <c r="I47" s="324">
        <v>19</v>
      </c>
      <c r="J47" s="321" t="s">
        <v>80</v>
      </c>
      <c r="K47" s="325" t="s">
        <v>132</v>
      </c>
      <c r="L47" s="322">
        <v>30095465</v>
      </c>
      <c r="M47" s="862" t="s">
        <v>1605</v>
      </c>
      <c r="N47" s="322"/>
      <c r="O47" s="245" t="s">
        <v>691</v>
      </c>
      <c r="P47" s="322"/>
      <c r="Q47" s="325" t="s">
        <v>692</v>
      </c>
      <c r="R47" s="328" t="s">
        <v>681</v>
      </c>
      <c r="S47" s="329"/>
      <c r="T47" s="328"/>
      <c r="U47" s="328"/>
      <c r="V47" s="328"/>
      <c r="W47" s="328"/>
      <c r="X47" s="329"/>
      <c r="Y47" s="330">
        <v>778557000</v>
      </c>
      <c r="Z47" s="330">
        <v>0</v>
      </c>
      <c r="AA47" s="331"/>
      <c r="AB47" s="332">
        <f>334780000+65066000</f>
        <v>399846000</v>
      </c>
      <c r="AC47" s="332">
        <f>SUBTOTAL(9,AE47:AP47)</f>
        <v>0</v>
      </c>
      <c r="AD47" s="332">
        <f>+AB47-AC47</f>
        <v>399846000</v>
      </c>
      <c r="AE47" s="332"/>
      <c r="AF47" s="332"/>
      <c r="AG47" s="332"/>
      <c r="AH47" s="332"/>
      <c r="AI47" s="332"/>
      <c r="AJ47" s="332"/>
      <c r="AK47" s="332"/>
      <c r="AL47" s="297">
        <v>0</v>
      </c>
      <c r="AM47" s="297">
        <v>0</v>
      </c>
      <c r="AN47" s="297">
        <v>0</v>
      </c>
      <c r="AO47" s="332">
        <v>0</v>
      </c>
      <c r="AP47" s="332">
        <v>0</v>
      </c>
      <c r="AQ47" s="331"/>
      <c r="AR47" s="332">
        <f t="shared" si="32"/>
        <v>378711000</v>
      </c>
      <c r="AS47" s="335" t="s">
        <v>208</v>
      </c>
      <c r="AT47" s="313" t="s">
        <v>208</v>
      </c>
      <c r="AU47" s="325" t="s">
        <v>209</v>
      </c>
    </row>
    <row r="48" spans="1:49" s="217" customFormat="1" ht="25.5" customHeight="1" outlineLevel="1">
      <c r="A48" s="215" t="s">
        <v>125</v>
      </c>
      <c r="B48" s="321">
        <v>31</v>
      </c>
      <c r="C48" s="321" t="s">
        <v>196</v>
      </c>
      <c r="D48" s="322" t="s">
        <v>251</v>
      </c>
      <c r="E48" s="321" t="s">
        <v>169</v>
      </c>
      <c r="F48" s="321" t="s">
        <v>251</v>
      </c>
      <c r="G48" s="321" t="s">
        <v>34</v>
      </c>
      <c r="H48" s="321" t="s">
        <v>57</v>
      </c>
      <c r="I48" s="324">
        <v>19</v>
      </c>
      <c r="J48" s="321" t="s">
        <v>80</v>
      </c>
      <c r="K48" s="325" t="s">
        <v>132</v>
      </c>
      <c r="L48" s="322">
        <v>30488875</v>
      </c>
      <c r="M48" s="862" t="s">
        <v>1605</v>
      </c>
      <c r="N48" s="322"/>
      <c r="O48" s="245" t="s">
        <v>695</v>
      </c>
      <c r="P48" s="322"/>
      <c r="Q48" s="325" t="s">
        <v>696</v>
      </c>
      <c r="R48" s="328" t="s">
        <v>681</v>
      </c>
      <c r="S48" s="329"/>
      <c r="T48" s="328"/>
      <c r="U48" s="328"/>
      <c r="V48" s="328"/>
      <c r="W48" s="328"/>
      <c r="X48" s="329"/>
      <c r="Y48" s="330">
        <v>251365000</v>
      </c>
      <c r="Z48" s="330">
        <v>0</v>
      </c>
      <c r="AA48" s="331"/>
      <c r="AB48" s="332">
        <v>251365000</v>
      </c>
      <c r="AC48" s="332">
        <f>SUBTOTAL(9,AE48:AP48)</f>
        <v>0</v>
      </c>
      <c r="AD48" s="332">
        <f>+AB48-AC48</f>
        <v>251365000</v>
      </c>
      <c r="AE48" s="332"/>
      <c r="AF48" s="332"/>
      <c r="AG48" s="332"/>
      <c r="AH48" s="332"/>
      <c r="AI48" s="332"/>
      <c r="AJ48" s="332"/>
      <c r="AK48" s="332"/>
      <c r="AL48" s="297">
        <v>0</v>
      </c>
      <c r="AM48" s="297">
        <v>0</v>
      </c>
      <c r="AN48" s="297">
        <v>0</v>
      </c>
      <c r="AO48" s="332">
        <v>0</v>
      </c>
      <c r="AP48" s="332">
        <v>0</v>
      </c>
      <c r="AQ48" s="331"/>
      <c r="AR48" s="332">
        <f t="shared" si="32"/>
        <v>0</v>
      </c>
      <c r="AS48" s="335"/>
      <c r="AT48" s="313" t="s">
        <v>1475</v>
      </c>
      <c r="AU48" s="325" t="s">
        <v>205</v>
      </c>
    </row>
    <row r="49" spans="1:49" s="217" customFormat="1" ht="25.5" customHeight="1" outlineLevel="1">
      <c r="A49" s="215" t="s">
        <v>125</v>
      </c>
      <c r="B49" s="321">
        <v>31</v>
      </c>
      <c r="C49" s="321" t="s">
        <v>196</v>
      </c>
      <c r="D49" s="322" t="s">
        <v>168</v>
      </c>
      <c r="E49" s="321" t="s">
        <v>169</v>
      </c>
      <c r="F49" s="321" t="s">
        <v>207</v>
      </c>
      <c r="G49" s="321" t="s">
        <v>34</v>
      </c>
      <c r="H49" s="321" t="s">
        <v>57</v>
      </c>
      <c r="I49" s="324">
        <v>19</v>
      </c>
      <c r="J49" s="321" t="s">
        <v>80</v>
      </c>
      <c r="K49" s="325" t="s">
        <v>132</v>
      </c>
      <c r="L49" s="322">
        <v>30471852</v>
      </c>
      <c r="M49" s="862" t="s">
        <v>1605</v>
      </c>
      <c r="N49" s="322"/>
      <c r="O49" s="245" t="s">
        <v>697</v>
      </c>
      <c r="P49" s="322"/>
      <c r="Q49" s="325" t="s">
        <v>698</v>
      </c>
      <c r="R49" s="328" t="s">
        <v>681</v>
      </c>
      <c r="S49" s="329"/>
      <c r="T49" s="328"/>
      <c r="U49" s="328"/>
      <c r="V49" s="328"/>
      <c r="W49" s="328"/>
      <c r="X49" s="329"/>
      <c r="Y49" s="330">
        <v>697236000</v>
      </c>
      <c r="Z49" s="330">
        <v>0</v>
      </c>
      <c r="AA49" s="331"/>
      <c r="AB49" s="332">
        <v>278894000</v>
      </c>
      <c r="AC49" s="332">
        <f>SUBTOTAL(9,AE49:AP49)</f>
        <v>0</v>
      </c>
      <c r="AD49" s="332">
        <f>+AB49-AC49</f>
        <v>278894000</v>
      </c>
      <c r="AE49" s="332"/>
      <c r="AF49" s="332"/>
      <c r="AG49" s="332"/>
      <c r="AH49" s="332"/>
      <c r="AI49" s="332"/>
      <c r="AJ49" s="332"/>
      <c r="AK49" s="332"/>
      <c r="AL49" s="297">
        <v>0</v>
      </c>
      <c r="AM49" s="297">
        <v>0</v>
      </c>
      <c r="AN49" s="297">
        <v>0</v>
      </c>
      <c r="AO49" s="332">
        <v>0</v>
      </c>
      <c r="AP49" s="332">
        <v>0</v>
      </c>
      <c r="AQ49" s="331"/>
      <c r="AR49" s="332">
        <f t="shared" si="32"/>
        <v>418342000</v>
      </c>
      <c r="AS49" s="335" t="s">
        <v>203</v>
      </c>
      <c r="AT49" s="313" t="s">
        <v>1481</v>
      </c>
      <c r="AU49" s="325" t="s">
        <v>1488</v>
      </c>
    </row>
    <row r="50" spans="1:49" s="219" customFormat="1" ht="24.75" customHeight="1" outlineLevel="1">
      <c r="A50" s="215" t="s">
        <v>125</v>
      </c>
      <c r="B50" s="251"/>
      <c r="C50" s="249"/>
      <c r="D50" s="250"/>
      <c r="E50" s="249"/>
      <c r="F50" s="249"/>
      <c r="G50" s="249"/>
      <c r="H50" s="249"/>
      <c r="I50" s="249"/>
      <c r="J50" s="251"/>
      <c r="K50" s="263"/>
      <c r="L50" s="252"/>
      <c r="M50" s="252"/>
      <c r="N50" s="252"/>
      <c r="O50" s="252"/>
      <c r="P50" s="252"/>
      <c r="Q50" s="117" t="s">
        <v>699</v>
      </c>
      <c r="R50" s="288"/>
      <c r="S50" s="289"/>
      <c r="T50" s="289"/>
      <c r="U50" s="289"/>
      <c r="V50" s="289"/>
      <c r="W50" s="289"/>
      <c r="X50" s="290"/>
      <c r="Y50" s="118">
        <f>SUM(Y45:Y49)</f>
        <v>2031327000</v>
      </c>
      <c r="Z50" s="118">
        <f>SUM(Z45:Z49)</f>
        <v>0</v>
      </c>
      <c r="AA50" s="304"/>
      <c r="AB50" s="118">
        <f t="shared" ref="AB50:AD50" si="33">SUM(AB45:AB49)</f>
        <v>1234274000</v>
      </c>
      <c r="AC50" s="118">
        <f t="shared" si="33"/>
        <v>0</v>
      </c>
      <c r="AD50" s="118">
        <f t="shared" si="33"/>
        <v>1234274000</v>
      </c>
      <c r="AE50" s="118" t="e">
        <f>+#REF!+#REF!+#REF!</f>
        <v>#REF!</v>
      </c>
      <c r="AF50" s="118" t="e">
        <f>+#REF!+#REF!+#REF!</f>
        <v>#REF!</v>
      </c>
      <c r="AG50" s="118" t="e">
        <f>+#REF!+#REF!+#REF!</f>
        <v>#REF!</v>
      </c>
      <c r="AH50" s="118" t="e">
        <f>+#REF!+#REF!+#REF!</f>
        <v>#REF!</v>
      </c>
      <c r="AI50" s="118" t="e">
        <f>+#REF!+#REF!+#REF!</f>
        <v>#REF!</v>
      </c>
      <c r="AJ50" s="118" t="e">
        <f>+#REF!+#REF!+#REF!</f>
        <v>#REF!</v>
      </c>
      <c r="AK50" s="118" t="e">
        <f>+#REF!+#REF!+#REF!</f>
        <v>#REF!</v>
      </c>
      <c r="AL50" s="118">
        <v>0</v>
      </c>
      <c r="AM50" s="118">
        <v>21109805</v>
      </c>
      <c r="AN50" s="118">
        <v>150677458</v>
      </c>
      <c r="AO50" s="118" t="e">
        <f>+#REF!+#REF!+#REF!</f>
        <v>#REF!</v>
      </c>
      <c r="AP50" s="118" t="e">
        <f>+#REF!+#REF!+#REF!</f>
        <v>#REF!</v>
      </c>
      <c r="AQ50" s="318"/>
      <c r="AR50" s="118">
        <f t="shared" si="32"/>
        <v>797053000</v>
      </c>
      <c r="AS50" s="333"/>
      <c r="AT50" s="333"/>
      <c r="AU50" s="320"/>
    </row>
    <row r="51" spans="1:49" s="230" customFormat="1" ht="15" customHeight="1">
      <c r="A51"/>
      <c r="B51" s="223"/>
      <c r="C51" s="223"/>
      <c r="D51" s="30"/>
      <c r="E51" s="223"/>
      <c r="F51" s="223"/>
      <c r="G51" s="223"/>
      <c r="H51" s="224"/>
      <c r="I51" s="223"/>
      <c r="J51" s="223"/>
      <c r="K51"/>
      <c r="L51" s="225"/>
      <c r="M51" s="225"/>
      <c r="N51" s="30"/>
      <c r="O51" s="30"/>
      <c r="P51" s="30"/>
      <c r="Q51"/>
      <c r="R51" s="226"/>
      <c r="S51" s="227"/>
      <c r="T51" s="226"/>
      <c r="U51" s="226"/>
      <c r="V51" s="226"/>
      <c r="W51" s="226"/>
      <c r="X51" s="227"/>
      <c r="Y51" s="228"/>
      <c r="Z51" s="228"/>
      <c r="AA51" s="229"/>
      <c r="AB51" s="475"/>
      <c r="AL51" s="231"/>
      <c r="AM51" s="231"/>
      <c r="AQ51" s="229"/>
      <c r="AS51" s="232"/>
      <c r="AT51" s="232"/>
      <c r="AU51"/>
      <c r="AV51"/>
      <c r="AW51"/>
    </row>
    <row r="52" spans="1:49" ht="26.25" customHeight="1" outlineLevel="1">
      <c r="A52" s="215" t="s">
        <v>125</v>
      </c>
      <c r="B52" s="249"/>
      <c r="C52" s="249"/>
      <c r="D52" s="250"/>
      <c r="E52" s="249"/>
      <c r="F52" s="249"/>
      <c r="G52" s="249"/>
      <c r="H52" s="249"/>
      <c r="I52" s="249"/>
      <c r="J52" s="249"/>
      <c r="K52" s="261"/>
      <c r="L52" s="250"/>
      <c r="M52" s="250"/>
      <c r="N52" s="250"/>
      <c r="O52" s="250"/>
      <c r="P52" s="250"/>
      <c r="Q52" s="264" t="s">
        <v>730</v>
      </c>
      <c r="R52" s="283"/>
      <c r="S52" s="283"/>
      <c r="T52" s="283"/>
      <c r="U52" s="283"/>
      <c r="V52" s="283"/>
      <c r="W52" s="283"/>
      <c r="X52" s="283"/>
      <c r="Y52" s="284"/>
      <c r="Z52" s="284"/>
      <c r="AA52" s="301"/>
      <c r="AB52" s="301"/>
      <c r="AC52" s="301"/>
      <c r="AD52" s="301"/>
      <c r="AE52" s="301"/>
      <c r="AF52" s="301"/>
      <c r="AG52" s="301"/>
      <c r="AH52" s="301"/>
      <c r="AI52" s="301"/>
      <c r="AJ52" s="301"/>
      <c r="AK52" s="301"/>
      <c r="AL52" s="301"/>
      <c r="AM52" s="301"/>
      <c r="AN52" s="301"/>
      <c r="AO52" s="301"/>
      <c r="AP52" s="301"/>
      <c r="AQ52" s="301"/>
      <c r="AR52" s="301"/>
      <c r="AS52" s="316"/>
      <c r="AT52" s="316"/>
      <c r="AU52" s="317"/>
    </row>
    <row r="53" spans="1:49" s="216" customFormat="1" ht="15" customHeight="1" outlineLevel="1">
      <c r="A53" s="215" t="s">
        <v>125</v>
      </c>
      <c r="B53" s="249"/>
      <c r="C53" s="249"/>
      <c r="D53" s="250"/>
      <c r="E53" s="249"/>
      <c r="F53" s="249"/>
      <c r="G53" s="249"/>
      <c r="H53" s="249"/>
      <c r="I53" s="249"/>
      <c r="J53" s="249"/>
      <c r="K53" s="261"/>
      <c r="L53" s="250"/>
      <c r="M53" s="250"/>
      <c r="N53" s="250"/>
      <c r="O53" s="250"/>
      <c r="P53" s="250"/>
      <c r="Q53" s="255"/>
      <c r="R53" s="283"/>
      <c r="S53" s="283"/>
      <c r="T53" s="283"/>
      <c r="U53" s="283"/>
      <c r="V53" s="283"/>
      <c r="W53" s="283"/>
      <c r="X53" s="283"/>
      <c r="Y53" s="284"/>
      <c r="Z53" s="284"/>
      <c r="AA53" s="301"/>
      <c r="AB53" s="301"/>
      <c r="AC53" s="301"/>
      <c r="AD53" s="301"/>
      <c r="AE53" s="301"/>
      <c r="AF53" s="301"/>
      <c r="AG53" s="301"/>
      <c r="AH53" s="301"/>
      <c r="AI53" s="301"/>
      <c r="AJ53" s="301"/>
      <c r="AK53" s="301"/>
      <c r="AL53" s="301"/>
      <c r="AM53" s="301"/>
      <c r="AN53" s="301"/>
      <c r="AO53" s="301"/>
      <c r="AP53" s="301"/>
      <c r="AQ53" s="301"/>
      <c r="AR53" s="301"/>
      <c r="AS53" s="316"/>
      <c r="AT53" s="316"/>
      <c r="AU53" s="317"/>
    </row>
    <row r="54" spans="1:49" s="217" customFormat="1" ht="25.5" customHeight="1" outlineLevel="1">
      <c r="A54" s="215" t="s">
        <v>125</v>
      </c>
      <c r="B54" s="321">
        <v>31</v>
      </c>
      <c r="C54" s="321" t="s">
        <v>196</v>
      </c>
      <c r="D54" s="322" t="s">
        <v>251</v>
      </c>
      <c r="E54" s="321" t="s">
        <v>169</v>
      </c>
      <c r="F54" s="321" t="s">
        <v>251</v>
      </c>
      <c r="G54" s="321" t="s">
        <v>34</v>
      </c>
      <c r="H54" s="321" t="s">
        <v>59</v>
      </c>
      <c r="I54" s="324">
        <v>21</v>
      </c>
      <c r="J54" s="321" t="s">
        <v>80</v>
      </c>
      <c r="K54" s="325" t="s">
        <v>132</v>
      </c>
      <c r="L54" s="322">
        <v>30120665</v>
      </c>
      <c r="M54" s="862" t="s">
        <v>1605</v>
      </c>
      <c r="N54" s="322"/>
      <c r="O54" s="245" t="s">
        <v>758</v>
      </c>
      <c r="P54" s="399"/>
      <c r="Q54" s="325" t="s">
        <v>759</v>
      </c>
      <c r="R54" s="328" t="s">
        <v>290</v>
      </c>
      <c r="S54" s="329"/>
      <c r="T54" s="328"/>
      <c r="U54" s="328"/>
      <c r="V54" s="328"/>
      <c r="W54" s="328"/>
      <c r="X54" s="329"/>
      <c r="Y54" s="330">
        <v>169174000</v>
      </c>
      <c r="Z54" s="330">
        <v>0</v>
      </c>
      <c r="AA54" s="331"/>
      <c r="AB54" s="332">
        <v>169174000</v>
      </c>
      <c r="AC54" s="332">
        <f t="shared" ref="AC54" si="34">SUBTOTAL(9,AE54:AP54)</f>
        <v>0</v>
      </c>
      <c r="AD54" s="332">
        <f t="shared" ref="AD54" si="35">+AB54-AC54</f>
        <v>169174000</v>
      </c>
      <c r="AE54" s="332">
        <v>0</v>
      </c>
      <c r="AF54" s="332">
        <v>0</v>
      </c>
      <c r="AG54" s="332">
        <v>0</v>
      </c>
      <c r="AH54" s="332">
        <v>0</v>
      </c>
      <c r="AI54" s="332">
        <v>0</v>
      </c>
      <c r="AJ54" s="332">
        <v>0</v>
      </c>
      <c r="AK54" s="332">
        <v>0</v>
      </c>
      <c r="AL54" s="297">
        <v>0</v>
      </c>
      <c r="AM54" s="297">
        <v>0</v>
      </c>
      <c r="AN54" s="297">
        <v>0</v>
      </c>
      <c r="AO54" s="332">
        <v>0</v>
      </c>
      <c r="AP54" s="332">
        <v>0</v>
      </c>
      <c r="AQ54" s="331"/>
      <c r="AR54" s="332">
        <f t="shared" ref="AR54" si="36">+Y54-Z54-AC54-AD54</f>
        <v>0</v>
      </c>
      <c r="AS54" s="335" t="s">
        <v>206</v>
      </c>
      <c r="AT54" s="313" t="s">
        <v>206</v>
      </c>
      <c r="AU54" s="325" t="s">
        <v>1616</v>
      </c>
    </row>
    <row r="55" spans="1:49" s="219" customFormat="1" ht="24.75" customHeight="1" outlineLevel="1">
      <c r="A55" s="215" t="s">
        <v>125</v>
      </c>
      <c r="B55" s="251"/>
      <c r="C55" s="249"/>
      <c r="D55" s="250"/>
      <c r="E55" s="249"/>
      <c r="F55" s="249"/>
      <c r="G55" s="249"/>
      <c r="H55" s="249"/>
      <c r="I55" s="249"/>
      <c r="J55" s="251"/>
      <c r="K55" s="263"/>
      <c r="L55" s="252"/>
      <c r="M55" s="252"/>
      <c r="N55" s="252"/>
      <c r="O55" s="252"/>
      <c r="P55" s="252"/>
      <c r="Q55" s="117" t="s">
        <v>762</v>
      </c>
      <c r="R55" s="288"/>
      <c r="S55" s="289"/>
      <c r="T55" s="289"/>
      <c r="U55" s="289"/>
      <c r="V55" s="289"/>
      <c r="W55" s="289"/>
      <c r="X55" s="290"/>
      <c r="Y55" s="118">
        <f>+Y54</f>
        <v>169174000</v>
      </c>
      <c r="Z55" s="118">
        <f>+Z54</f>
        <v>0</v>
      </c>
      <c r="AA55" s="304"/>
      <c r="AB55" s="118">
        <f t="shared" ref="AB55:AD55" si="37">+AB54</f>
        <v>169174000</v>
      </c>
      <c r="AC55" s="118">
        <f t="shared" si="37"/>
        <v>0</v>
      </c>
      <c r="AD55" s="118">
        <f t="shared" si="37"/>
        <v>169174000</v>
      </c>
      <c r="AE55" s="118" t="e">
        <f>+#REF!+#REF!</f>
        <v>#REF!</v>
      </c>
      <c r="AF55" s="118" t="e">
        <f>+#REF!+#REF!</f>
        <v>#REF!</v>
      </c>
      <c r="AG55" s="118" t="e">
        <f>+#REF!+#REF!</f>
        <v>#REF!</v>
      </c>
      <c r="AH55" s="118" t="e">
        <f>+#REF!+#REF!</f>
        <v>#REF!</v>
      </c>
      <c r="AI55" s="118" t="e">
        <f>+#REF!+#REF!</f>
        <v>#REF!</v>
      </c>
      <c r="AJ55" s="118" t="e">
        <f>+#REF!+#REF!</f>
        <v>#REF!</v>
      </c>
      <c r="AK55" s="118" t="e">
        <f>+#REF!+#REF!</f>
        <v>#REF!</v>
      </c>
      <c r="AL55" s="118">
        <v>183330393</v>
      </c>
      <c r="AM55" s="118" t="e">
        <f>+#REF!+#REF!</f>
        <v>#REF!</v>
      </c>
      <c r="AN55" s="118" t="e">
        <f>+#REF!+#REF!</f>
        <v>#REF!</v>
      </c>
      <c r="AO55" s="118" t="e">
        <f>+#REF!+#REF!</f>
        <v>#REF!</v>
      </c>
      <c r="AP55" s="118" t="e">
        <f>+#REF!+#REF!</f>
        <v>#REF!</v>
      </c>
      <c r="AQ55" s="318"/>
      <c r="AR55" s="118">
        <f t="shared" ref="AR55" si="38">+AR54</f>
        <v>0</v>
      </c>
      <c r="AS55" s="333"/>
      <c r="AT55" s="333"/>
      <c r="AU55" s="320"/>
    </row>
    <row r="57" spans="1:49" ht="26.25" customHeight="1" outlineLevel="1">
      <c r="A57" s="215" t="s">
        <v>125</v>
      </c>
      <c r="B57" s="249"/>
      <c r="C57" s="249"/>
      <c r="D57" s="250"/>
      <c r="E57" s="249"/>
      <c r="F57" s="249"/>
      <c r="G57" s="249"/>
      <c r="H57" s="249"/>
      <c r="I57" s="249"/>
      <c r="J57" s="249"/>
      <c r="K57" s="261"/>
      <c r="L57" s="250"/>
      <c r="M57" s="250"/>
      <c r="N57" s="250"/>
      <c r="O57" s="250"/>
      <c r="P57" s="250"/>
      <c r="Q57" s="264" t="s">
        <v>828</v>
      </c>
      <c r="R57" s="283"/>
      <c r="S57" s="283"/>
      <c r="T57" s="283"/>
      <c r="U57" s="283"/>
      <c r="V57" s="283"/>
      <c r="W57" s="283"/>
      <c r="X57" s="283"/>
      <c r="Y57" s="284"/>
      <c r="Z57" s="284"/>
      <c r="AA57" s="301"/>
      <c r="AB57" s="301"/>
      <c r="AC57" s="301"/>
      <c r="AD57" s="301"/>
      <c r="AE57" s="301"/>
      <c r="AF57" s="301"/>
      <c r="AG57" s="301"/>
      <c r="AH57" s="301"/>
      <c r="AI57" s="301"/>
      <c r="AJ57" s="301"/>
      <c r="AK57" s="301"/>
      <c r="AL57" s="301"/>
      <c r="AM57" s="301"/>
      <c r="AN57" s="301"/>
      <c r="AO57" s="301"/>
      <c r="AP57" s="301"/>
      <c r="AQ57" s="301"/>
      <c r="AR57" s="301"/>
      <c r="AS57" s="316"/>
      <c r="AT57" s="316"/>
      <c r="AU57" s="317"/>
    </row>
    <row r="58" spans="1:49" s="217" customFormat="1" ht="25.5" customHeight="1" outlineLevel="1">
      <c r="A58" s="215" t="s">
        <v>125</v>
      </c>
      <c r="B58" s="321">
        <v>31</v>
      </c>
      <c r="C58" s="321" t="s">
        <v>196</v>
      </c>
      <c r="D58" s="322" t="s">
        <v>251</v>
      </c>
      <c r="E58" s="321" t="s">
        <v>169</v>
      </c>
      <c r="F58" s="321" t="s">
        <v>251</v>
      </c>
      <c r="G58" s="321" t="s">
        <v>34</v>
      </c>
      <c r="H58" s="321" t="s">
        <v>64</v>
      </c>
      <c r="I58" s="324">
        <v>26</v>
      </c>
      <c r="J58" s="321" t="s">
        <v>80</v>
      </c>
      <c r="K58" s="325" t="s">
        <v>132</v>
      </c>
      <c r="L58" s="322">
        <v>30375322</v>
      </c>
      <c r="M58" s="862" t="s">
        <v>1605</v>
      </c>
      <c r="N58" s="322"/>
      <c r="O58" s="245" t="s">
        <v>850</v>
      </c>
      <c r="P58" s="389"/>
      <c r="Q58" s="325" t="s">
        <v>851</v>
      </c>
      <c r="R58" s="328" t="s">
        <v>290</v>
      </c>
      <c r="S58" s="329"/>
      <c r="T58" s="328"/>
      <c r="U58" s="328"/>
      <c r="V58" s="328"/>
      <c r="W58" s="328"/>
      <c r="X58" s="329"/>
      <c r="Y58" s="330">
        <f>120393000+34402000</f>
        <v>154795000</v>
      </c>
      <c r="Z58" s="330">
        <v>0</v>
      </c>
      <c r="AA58" s="331"/>
      <c r="AB58" s="330">
        <f>+Y58</f>
        <v>154795000</v>
      </c>
      <c r="AC58" s="332">
        <f>SUBTOTAL(9,AE58:AP58)</f>
        <v>0</v>
      </c>
      <c r="AD58" s="332">
        <f>+AB58-AC58</f>
        <v>154795000</v>
      </c>
      <c r="AE58" s="332">
        <v>0</v>
      </c>
      <c r="AF58" s="332">
        <v>0</v>
      </c>
      <c r="AG58" s="332">
        <v>0</v>
      </c>
      <c r="AH58" s="332">
        <v>0</v>
      </c>
      <c r="AI58" s="332">
        <v>0</v>
      </c>
      <c r="AJ58" s="332">
        <v>0</v>
      </c>
      <c r="AK58" s="332">
        <v>0</v>
      </c>
      <c r="AL58" s="297">
        <v>0</v>
      </c>
      <c r="AM58" s="297">
        <v>0</v>
      </c>
      <c r="AN58" s="297">
        <v>0</v>
      </c>
      <c r="AO58" s="332">
        <v>0</v>
      </c>
      <c r="AP58" s="332">
        <v>0</v>
      </c>
      <c r="AQ58" s="331"/>
      <c r="AR58" s="332">
        <f>+Y58-Z58-AC58-AD58</f>
        <v>0</v>
      </c>
      <c r="AS58" s="335"/>
      <c r="AT58" s="313" t="s">
        <v>1475</v>
      </c>
      <c r="AU58" s="325" t="s">
        <v>205</v>
      </c>
    </row>
    <row r="59" spans="1:49" s="217" customFormat="1" ht="25.5" customHeight="1" outlineLevel="1">
      <c r="A59" s="215" t="s">
        <v>125</v>
      </c>
      <c r="B59" s="321">
        <v>31</v>
      </c>
      <c r="C59" s="321" t="s">
        <v>196</v>
      </c>
      <c r="D59" s="322" t="s">
        <v>251</v>
      </c>
      <c r="E59" s="321" t="s">
        <v>169</v>
      </c>
      <c r="F59" s="321" t="s">
        <v>251</v>
      </c>
      <c r="G59" s="321" t="s">
        <v>34</v>
      </c>
      <c r="H59" s="321" t="s">
        <v>64</v>
      </c>
      <c r="I59" s="324">
        <v>26</v>
      </c>
      <c r="J59" s="321" t="s">
        <v>80</v>
      </c>
      <c r="K59" s="325" t="s">
        <v>132</v>
      </c>
      <c r="L59" s="322">
        <v>30095595</v>
      </c>
      <c r="M59" s="862" t="s">
        <v>1605</v>
      </c>
      <c r="N59" s="322"/>
      <c r="O59" s="245" t="s">
        <v>852</v>
      </c>
      <c r="P59" s="389"/>
      <c r="Q59" s="325" t="s">
        <v>853</v>
      </c>
      <c r="R59" s="328" t="s">
        <v>290</v>
      </c>
      <c r="S59" s="329"/>
      <c r="T59" s="328"/>
      <c r="U59" s="328"/>
      <c r="V59" s="328"/>
      <c r="W59" s="328"/>
      <c r="X59" s="329"/>
      <c r="Y59" s="330">
        <v>514668000</v>
      </c>
      <c r="Z59" s="330">
        <v>0</v>
      </c>
      <c r="AA59" s="331"/>
      <c r="AB59" s="330">
        <v>514668000</v>
      </c>
      <c r="AC59" s="332">
        <f>SUBTOTAL(9,AE59:AP59)</f>
        <v>0</v>
      </c>
      <c r="AD59" s="332">
        <f t="shared" ref="AD59:AD60" si="39">+AB59-AC59</f>
        <v>514668000</v>
      </c>
      <c r="AE59" s="332">
        <v>0</v>
      </c>
      <c r="AF59" s="332">
        <v>0</v>
      </c>
      <c r="AG59" s="332">
        <v>0</v>
      </c>
      <c r="AH59" s="332">
        <v>0</v>
      </c>
      <c r="AI59" s="332">
        <v>0</v>
      </c>
      <c r="AJ59" s="332">
        <v>0</v>
      </c>
      <c r="AK59" s="332">
        <v>0</v>
      </c>
      <c r="AL59" s="297">
        <v>0</v>
      </c>
      <c r="AM59" s="297">
        <v>0</v>
      </c>
      <c r="AN59" s="297">
        <v>0</v>
      </c>
      <c r="AO59" s="332">
        <v>0</v>
      </c>
      <c r="AP59" s="332">
        <v>0</v>
      </c>
      <c r="AQ59" s="331"/>
      <c r="AR59" s="332">
        <f t="shared" ref="AR59:AR60" si="40">+Y59-Z59-AC59-AD59</f>
        <v>0</v>
      </c>
      <c r="AS59" s="335" t="s">
        <v>203</v>
      </c>
      <c r="AT59" s="313" t="s">
        <v>1481</v>
      </c>
      <c r="AU59" s="325" t="s">
        <v>1488</v>
      </c>
    </row>
    <row r="60" spans="1:49" s="217" customFormat="1" ht="25.5" customHeight="1" outlineLevel="1">
      <c r="A60" s="215" t="s">
        <v>125</v>
      </c>
      <c r="B60" s="321">
        <v>31</v>
      </c>
      <c r="C60" s="321" t="s">
        <v>196</v>
      </c>
      <c r="D60" s="322" t="s">
        <v>251</v>
      </c>
      <c r="E60" s="321" t="s">
        <v>169</v>
      </c>
      <c r="F60" s="321" t="s">
        <v>251</v>
      </c>
      <c r="G60" s="321" t="s">
        <v>34</v>
      </c>
      <c r="H60" s="321" t="s">
        <v>64</v>
      </c>
      <c r="I60" s="324">
        <v>26</v>
      </c>
      <c r="J60" s="321" t="s">
        <v>80</v>
      </c>
      <c r="K60" s="325" t="s">
        <v>132</v>
      </c>
      <c r="L60" s="322">
        <v>30118609</v>
      </c>
      <c r="M60" s="862" t="s">
        <v>1605</v>
      </c>
      <c r="N60" s="322"/>
      <c r="O60" s="245" t="s">
        <v>854</v>
      </c>
      <c r="P60" s="389"/>
      <c r="Q60" s="325" t="s">
        <v>855</v>
      </c>
      <c r="R60" s="328" t="s">
        <v>290</v>
      </c>
      <c r="S60" s="329"/>
      <c r="T60" s="328"/>
      <c r="U60" s="328"/>
      <c r="V60" s="328"/>
      <c r="W60" s="328"/>
      <c r="X60" s="329"/>
      <c r="Y60" s="330">
        <v>167154000</v>
      </c>
      <c r="Z60" s="330">
        <v>0</v>
      </c>
      <c r="AA60" s="331"/>
      <c r="AB60" s="330">
        <v>167154000</v>
      </c>
      <c r="AC60" s="332">
        <f>SUBTOTAL(9,AE60:AP60)</f>
        <v>0</v>
      </c>
      <c r="AD60" s="332">
        <f t="shared" si="39"/>
        <v>167154000</v>
      </c>
      <c r="AE60" s="332">
        <v>0</v>
      </c>
      <c r="AF60" s="332">
        <v>0</v>
      </c>
      <c r="AG60" s="332">
        <v>0</v>
      </c>
      <c r="AH60" s="332">
        <v>0</v>
      </c>
      <c r="AI60" s="332">
        <v>0</v>
      </c>
      <c r="AJ60" s="332">
        <v>0</v>
      </c>
      <c r="AK60" s="332">
        <v>0</v>
      </c>
      <c r="AL60" s="297">
        <v>0</v>
      </c>
      <c r="AM60" s="297">
        <v>0</v>
      </c>
      <c r="AN60" s="297">
        <v>0</v>
      </c>
      <c r="AO60" s="332">
        <v>0</v>
      </c>
      <c r="AP60" s="332">
        <v>0</v>
      </c>
      <c r="AQ60" s="331"/>
      <c r="AR60" s="332">
        <f t="shared" si="40"/>
        <v>0</v>
      </c>
      <c r="AS60" s="335" t="s">
        <v>206</v>
      </c>
      <c r="AT60" s="313" t="s">
        <v>206</v>
      </c>
      <c r="AU60" s="325" t="s">
        <v>1616</v>
      </c>
    </row>
    <row r="61" spans="1:49" s="219" customFormat="1" ht="24.75" customHeight="1" outlineLevel="1">
      <c r="A61" s="215" t="s">
        <v>125</v>
      </c>
      <c r="B61" s="251"/>
      <c r="C61" s="249"/>
      <c r="D61" s="250"/>
      <c r="E61" s="249"/>
      <c r="F61" s="249"/>
      <c r="G61" s="249"/>
      <c r="H61" s="249"/>
      <c r="I61" s="249"/>
      <c r="J61" s="251"/>
      <c r="K61" s="263"/>
      <c r="L61" s="252"/>
      <c r="M61" s="252"/>
      <c r="N61" s="252"/>
      <c r="O61" s="252"/>
      <c r="P61" s="252"/>
      <c r="Q61" s="117" t="s">
        <v>860</v>
      </c>
      <c r="R61" s="288"/>
      <c r="S61" s="289"/>
      <c r="T61" s="289"/>
      <c r="U61" s="289"/>
      <c r="V61" s="289"/>
      <c r="W61" s="289"/>
      <c r="X61" s="290"/>
      <c r="Y61" s="118">
        <f>SUM(Y58:Y60)</f>
        <v>836617000</v>
      </c>
      <c r="Z61" s="118">
        <f>SUM(Z58:Z60)</f>
        <v>0</v>
      </c>
      <c r="AA61" s="304"/>
      <c r="AB61" s="118">
        <f t="shared" ref="AB61:AD61" si="41">SUM(AB58:AB60)</f>
        <v>836617000</v>
      </c>
      <c r="AC61" s="118">
        <f t="shared" si="41"/>
        <v>0</v>
      </c>
      <c r="AD61" s="118">
        <f t="shared" si="41"/>
        <v>836617000</v>
      </c>
      <c r="AE61" s="118" t="e">
        <f>+#REF!+#REF!+#REF!</f>
        <v>#REF!</v>
      </c>
      <c r="AF61" s="118" t="e">
        <f>+#REF!+#REF!+#REF!</f>
        <v>#REF!</v>
      </c>
      <c r="AG61" s="118" t="e">
        <f>+#REF!+#REF!+#REF!</f>
        <v>#REF!</v>
      </c>
      <c r="AH61" s="118" t="e">
        <f>+#REF!+#REF!+#REF!</f>
        <v>#REF!</v>
      </c>
      <c r="AI61" s="118" t="e">
        <f>+#REF!+#REF!+#REF!</f>
        <v>#REF!</v>
      </c>
      <c r="AJ61" s="118" t="e">
        <f>+#REF!+#REF!+#REF!</f>
        <v>#REF!</v>
      </c>
      <c r="AK61" s="118" t="e">
        <f>+#REF!+#REF!+#REF!</f>
        <v>#REF!</v>
      </c>
      <c r="AL61" s="118">
        <v>56686371</v>
      </c>
      <c r="AM61" s="118">
        <v>232603680</v>
      </c>
      <c r="AN61" s="118">
        <v>514561129</v>
      </c>
      <c r="AO61" s="118" t="e">
        <f>+#REF!+#REF!+#REF!</f>
        <v>#REF!</v>
      </c>
      <c r="AP61" s="118" t="e">
        <f>+#REF!+#REF!+#REF!</f>
        <v>#REF!</v>
      </c>
      <c r="AQ61" s="318"/>
      <c r="AR61" s="118">
        <f>+Y61-Z61-AC61-AD61</f>
        <v>0</v>
      </c>
      <c r="AS61" s="333"/>
      <c r="AT61" s="333"/>
      <c r="AU61" s="320"/>
    </row>
    <row r="62" spans="1:49" ht="18.75" customHeight="1" outlineLevel="1">
      <c r="A62" s="215" t="s">
        <v>125</v>
      </c>
      <c r="B62" s="249"/>
      <c r="C62" s="249"/>
      <c r="D62" s="250"/>
      <c r="E62" s="249"/>
      <c r="F62" s="249"/>
      <c r="G62" s="249"/>
      <c r="H62" s="249"/>
      <c r="I62" s="249"/>
      <c r="J62" s="249"/>
      <c r="K62" s="261"/>
      <c r="L62" s="250"/>
      <c r="M62" s="250"/>
      <c r="N62" s="250"/>
      <c r="O62" s="250"/>
      <c r="P62" s="250"/>
      <c r="Q62" s="261"/>
      <c r="R62" s="283"/>
      <c r="S62" s="283"/>
      <c r="T62" s="283"/>
      <c r="U62" s="283"/>
      <c r="V62" s="283"/>
      <c r="W62" s="283"/>
      <c r="X62" s="283"/>
      <c r="Y62" s="284"/>
      <c r="Z62" s="284"/>
      <c r="AA62" s="301"/>
      <c r="AB62" s="301"/>
      <c r="AC62" s="301"/>
      <c r="AD62" s="301"/>
      <c r="AE62" s="301"/>
      <c r="AF62" s="301"/>
      <c r="AG62" s="301"/>
      <c r="AH62" s="301"/>
      <c r="AI62" s="301"/>
      <c r="AJ62" s="301"/>
      <c r="AK62" s="301"/>
      <c r="AL62" s="301"/>
      <c r="AM62" s="301"/>
      <c r="AN62" s="301"/>
      <c r="AO62" s="301"/>
      <c r="AP62" s="301"/>
      <c r="AQ62" s="301"/>
      <c r="AR62" s="301"/>
      <c r="AS62" s="316"/>
      <c r="AT62" s="316"/>
      <c r="AU62" s="317"/>
    </row>
    <row r="63" spans="1:49" ht="26.25" customHeight="1" outlineLevel="1">
      <c r="A63" s="215" t="s">
        <v>125</v>
      </c>
      <c r="B63" s="249"/>
      <c r="C63" s="249"/>
      <c r="D63" s="250"/>
      <c r="E63" s="249"/>
      <c r="F63" s="249"/>
      <c r="G63" s="249"/>
      <c r="H63" s="249"/>
      <c r="I63" s="249"/>
      <c r="J63" s="249"/>
      <c r="K63" s="261"/>
      <c r="L63" s="250"/>
      <c r="M63" s="250"/>
      <c r="N63" s="250"/>
      <c r="O63" s="250"/>
      <c r="P63" s="250"/>
      <c r="Q63" s="264" t="s">
        <v>999</v>
      </c>
      <c r="R63" s="283"/>
      <c r="S63" s="283"/>
      <c r="T63" s="283"/>
      <c r="U63" s="283"/>
      <c r="V63" s="283"/>
      <c r="W63" s="283"/>
      <c r="X63" s="283"/>
      <c r="Y63" s="284"/>
      <c r="Z63" s="284"/>
      <c r="AA63" s="301"/>
      <c r="AB63" s="301"/>
      <c r="AC63" s="301"/>
      <c r="AD63" s="301"/>
      <c r="AE63" s="301"/>
      <c r="AF63" s="301"/>
      <c r="AG63" s="301"/>
      <c r="AH63" s="301"/>
      <c r="AI63" s="301"/>
      <c r="AJ63" s="301"/>
      <c r="AK63" s="301"/>
      <c r="AL63" s="301"/>
      <c r="AM63" s="301"/>
      <c r="AN63" s="301"/>
      <c r="AO63" s="301"/>
      <c r="AP63" s="301"/>
      <c r="AQ63" s="301"/>
      <c r="AR63" s="301"/>
      <c r="AS63" s="316"/>
      <c r="AT63" s="316"/>
      <c r="AU63" s="317"/>
    </row>
    <row r="64" spans="1:49" s="217" customFormat="1" ht="25.5" customHeight="1" outlineLevel="1">
      <c r="A64" s="215" t="s">
        <v>125</v>
      </c>
      <c r="B64" s="321">
        <v>31</v>
      </c>
      <c r="C64" s="321" t="s">
        <v>196</v>
      </c>
      <c r="D64" s="322" t="s">
        <v>251</v>
      </c>
      <c r="E64" s="321" t="s">
        <v>169</v>
      </c>
      <c r="F64" s="321" t="s">
        <v>251</v>
      </c>
      <c r="G64" s="321" t="s">
        <v>35</v>
      </c>
      <c r="H64" s="321" t="s">
        <v>35</v>
      </c>
      <c r="I64" s="324">
        <v>33</v>
      </c>
      <c r="J64" s="321" t="s">
        <v>80</v>
      </c>
      <c r="K64" s="325" t="s">
        <v>132</v>
      </c>
      <c r="L64" s="322">
        <v>30480525</v>
      </c>
      <c r="M64" s="862" t="s">
        <v>1605</v>
      </c>
      <c r="N64" s="322"/>
      <c r="O64" s="245" t="s">
        <v>1018</v>
      </c>
      <c r="P64" s="399"/>
      <c r="Q64" s="325" t="s">
        <v>1019</v>
      </c>
      <c r="R64" s="328" t="s">
        <v>290</v>
      </c>
      <c r="S64" s="329"/>
      <c r="T64" s="328"/>
      <c r="U64" s="328"/>
      <c r="V64" s="328"/>
      <c r="W64" s="328"/>
      <c r="X64" s="329"/>
      <c r="Y64" s="330">
        <v>55310000</v>
      </c>
      <c r="Z64" s="330">
        <v>0</v>
      </c>
      <c r="AA64" s="331"/>
      <c r="AB64" s="330">
        <v>55310000</v>
      </c>
      <c r="AC64" s="332">
        <f t="shared" ref="AC64:AC66" si="42">SUBTOTAL(9,AE64:AP64)</f>
        <v>0</v>
      </c>
      <c r="AD64" s="332">
        <f t="shared" ref="AD64:AD66" si="43">+AB64-AC64</f>
        <v>55310000</v>
      </c>
      <c r="AE64" s="332">
        <v>0</v>
      </c>
      <c r="AF64" s="332">
        <v>0</v>
      </c>
      <c r="AG64" s="332">
        <v>0</v>
      </c>
      <c r="AH64" s="332">
        <v>0</v>
      </c>
      <c r="AI64" s="332">
        <v>0</v>
      </c>
      <c r="AJ64" s="332">
        <v>0</v>
      </c>
      <c r="AK64" s="332">
        <v>0</v>
      </c>
      <c r="AL64" s="297">
        <v>0</v>
      </c>
      <c r="AM64" s="297">
        <v>0</v>
      </c>
      <c r="AN64" s="297">
        <v>0</v>
      </c>
      <c r="AO64" s="332">
        <v>0</v>
      </c>
      <c r="AP64" s="332">
        <v>0</v>
      </c>
      <c r="AQ64" s="331"/>
      <c r="AR64" s="332">
        <f t="shared" ref="AR64:AR66" si="44">+Y64-Z64-AC64-AD64</f>
        <v>0</v>
      </c>
      <c r="AS64" s="335"/>
      <c r="AT64" s="313" t="s">
        <v>1475</v>
      </c>
      <c r="AU64" s="335" t="s">
        <v>205</v>
      </c>
    </row>
    <row r="65" spans="1:47" s="217" customFormat="1" ht="25.5" customHeight="1" outlineLevel="1">
      <c r="A65" s="215" t="s">
        <v>125</v>
      </c>
      <c r="B65" s="321">
        <v>31</v>
      </c>
      <c r="C65" s="321" t="s">
        <v>196</v>
      </c>
      <c r="D65" s="322" t="s">
        <v>251</v>
      </c>
      <c r="E65" s="321" t="s">
        <v>169</v>
      </c>
      <c r="F65" s="321" t="s">
        <v>251</v>
      </c>
      <c r="G65" s="321" t="s">
        <v>35</v>
      </c>
      <c r="H65" s="321" t="s">
        <v>35</v>
      </c>
      <c r="I65" s="324">
        <v>33</v>
      </c>
      <c r="J65" s="321" t="s">
        <v>80</v>
      </c>
      <c r="K65" s="325" t="s">
        <v>132</v>
      </c>
      <c r="L65" s="322">
        <v>30480476</v>
      </c>
      <c r="M65" s="862" t="s">
        <v>1605</v>
      </c>
      <c r="N65" s="322"/>
      <c r="O65" s="245" t="s">
        <v>1020</v>
      </c>
      <c r="P65" s="399"/>
      <c r="Q65" s="325" t="s">
        <v>1021</v>
      </c>
      <c r="R65" s="328" t="s">
        <v>290</v>
      </c>
      <c r="S65" s="329"/>
      <c r="T65" s="328"/>
      <c r="U65" s="328"/>
      <c r="V65" s="328"/>
      <c r="W65" s="328"/>
      <c r="X65" s="329"/>
      <c r="Y65" s="330">
        <v>167874000</v>
      </c>
      <c r="Z65" s="330">
        <v>0</v>
      </c>
      <c r="AA65" s="331"/>
      <c r="AB65" s="330">
        <v>167874000</v>
      </c>
      <c r="AC65" s="332">
        <f t="shared" si="42"/>
        <v>0</v>
      </c>
      <c r="AD65" s="332">
        <f t="shared" si="43"/>
        <v>167874000</v>
      </c>
      <c r="AE65" s="332">
        <v>0</v>
      </c>
      <c r="AF65" s="332">
        <v>0</v>
      </c>
      <c r="AG65" s="332">
        <v>0</v>
      </c>
      <c r="AH65" s="332">
        <v>0</v>
      </c>
      <c r="AI65" s="332">
        <v>0</v>
      </c>
      <c r="AJ65" s="332">
        <v>0</v>
      </c>
      <c r="AK65" s="332">
        <v>0</v>
      </c>
      <c r="AL65" s="297">
        <v>0</v>
      </c>
      <c r="AM65" s="297">
        <v>0</v>
      </c>
      <c r="AN65" s="297">
        <v>0</v>
      </c>
      <c r="AO65" s="332">
        <v>0</v>
      </c>
      <c r="AP65" s="332">
        <v>0</v>
      </c>
      <c r="AQ65" s="331"/>
      <c r="AR65" s="332">
        <f t="shared" si="44"/>
        <v>0</v>
      </c>
      <c r="AS65" s="335"/>
      <c r="AT65" s="313" t="s">
        <v>1475</v>
      </c>
      <c r="AU65" s="335" t="s">
        <v>205</v>
      </c>
    </row>
    <row r="66" spans="1:47" s="217" customFormat="1" ht="25.5" customHeight="1" outlineLevel="1">
      <c r="A66" s="215" t="s">
        <v>125</v>
      </c>
      <c r="B66" s="321">
        <v>31</v>
      </c>
      <c r="C66" s="321" t="s">
        <v>196</v>
      </c>
      <c r="D66" s="322" t="s">
        <v>251</v>
      </c>
      <c r="E66" s="321" t="s">
        <v>169</v>
      </c>
      <c r="F66" s="321" t="s">
        <v>251</v>
      </c>
      <c r="G66" s="321" t="s">
        <v>35</v>
      </c>
      <c r="H66" s="321" t="s">
        <v>35</v>
      </c>
      <c r="I66" s="324">
        <v>33</v>
      </c>
      <c r="J66" s="321" t="s">
        <v>80</v>
      </c>
      <c r="K66" s="325" t="s">
        <v>132</v>
      </c>
      <c r="L66" s="322">
        <v>30479737</v>
      </c>
      <c r="M66" s="862" t="s">
        <v>1605</v>
      </c>
      <c r="N66" s="322"/>
      <c r="O66" s="245" t="s">
        <v>1022</v>
      </c>
      <c r="P66" s="399"/>
      <c r="Q66" s="325" t="s">
        <v>1023</v>
      </c>
      <c r="R66" s="328" t="s">
        <v>290</v>
      </c>
      <c r="S66" s="329"/>
      <c r="T66" s="328"/>
      <c r="U66" s="328"/>
      <c r="V66" s="328"/>
      <c r="W66" s="328"/>
      <c r="X66" s="329"/>
      <c r="Y66" s="330">
        <v>194812000</v>
      </c>
      <c r="Z66" s="330">
        <v>0</v>
      </c>
      <c r="AA66" s="331"/>
      <c r="AB66" s="330">
        <v>194812000</v>
      </c>
      <c r="AC66" s="332">
        <f t="shared" si="42"/>
        <v>0</v>
      </c>
      <c r="AD66" s="332">
        <f t="shared" si="43"/>
        <v>194812000</v>
      </c>
      <c r="AE66" s="332">
        <v>0</v>
      </c>
      <c r="AF66" s="332">
        <v>0</v>
      </c>
      <c r="AG66" s="332">
        <v>0</v>
      </c>
      <c r="AH66" s="332">
        <v>0</v>
      </c>
      <c r="AI66" s="332">
        <v>0</v>
      </c>
      <c r="AJ66" s="332">
        <v>0</v>
      </c>
      <c r="AK66" s="332">
        <v>0</v>
      </c>
      <c r="AL66" s="297">
        <v>0</v>
      </c>
      <c r="AM66" s="297">
        <v>0</v>
      </c>
      <c r="AN66" s="297">
        <v>0</v>
      </c>
      <c r="AO66" s="332">
        <v>0</v>
      </c>
      <c r="AP66" s="332">
        <v>0</v>
      </c>
      <c r="AQ66" s="331"/>
      <c r="AR66" s="332">
        <f t="shared" si="44"/>
        <v>0</v>
      </c>
      <c r="AS66" s="335"/>
      <c r="AT66" s="313" t="s">
        <v>1475</v>
      </c>
      <c r="AU66" s="335" t="s">
        <v>205</v>
      </c>
    </row>
    <row r="67" spans="1:47" s="219" customFormat="1" ht="24.75" customHeight="1" outlineLevel="1">
      <c r="A67" s="215" t="s">
        <v>125</v>
      </c>
      <c r="B67" s="251"/>
      <c r="C67" s="249"/>
      <c r="D67" s="250"/>
      <c r="E67" s="249"/>
      <c r="F67" s="249"/>
      <c r="G67" s="249"/>
      <c r="H67" s="249"/>
      <c r="I67" s="249"/>
      <c r="J67" s="251"/>
      <c r="K67" s="263"/>
      <c r="L67" s="252"/>
      <c r="M67" s="252"/>
      <c r="N67" s="252"/>
      <c r="O67" s="252"/>
      <c r="P67" s="252"/>
      <c r="Q67" s="117" t="s">
        <v>1024</v>
      </c>
      <c r="R67" s="288"/>
      <c r="S67" s="289"/>
      <c r="T67" s="289"/>
      <c r="U67" s="289"/>
      <c r="V67" s="289"/>
      <c r="W67" s="289"/>
      <c r="X67" s="290"/>
      <c r="Y67" s="118">
        <f>SUM(Y64:Y66)</f>
        <v>417996000</v>
      </c>
      <c r="Z67" s="118">
        <f>SUM(Z64:Z66)</f>
        <v>0</v>
      </c>
      <c r="AA67" s="304"/>
      <c r="AB67" s="118">
        <f t="shared" ref="AB67:AD67" si="45">SUM(AB64:AB66)</f>
        <v>417996000</v>
      </c>
      <c r="AC67" s="118">
        <f t="shared" si="45"/>
        <v>0</v>
      </c>
      <c r="AD67" s="118">
        <f t="shared" si="45"/>
        <v>417996000</v>
      </c>
      <c r="AE67" s="118" t="e">
        <f>+#REF!+#REF!+#REF!</f>
        <v>#REF!</v>
      </c>
      <c r="AF67" s="118" t="e">
        <f>+#REF!+#REF!+#REF!</f>
        <v>#REF!</v>
      </c>
      <c r="AG67" s="118" t="e">
        <f>+#REF!+#REF!+#REF!</f>
        <v>#REF!</v>
      </c>
      <c r="AH67" s="118" t="e">
        <f>+#REF!+#REF!+#REF!</f>
        <v>#REF!</v>
      </c>
      <c r="AI67" s="118" t="e">
        <f>+#REF!+#REF!+#REF!</f>
        <v>#REF!</v>
      </c>
      <c r="AJ67" s="118" t="e">
        <f>+#REF!+#REF!+#REF!</f>
        <v>#REF!</v>
      </c>
      <c r="AK67" s="118" t="e">
        <f>+#REF!+#REF!+#REF!</f>
        <v>#REF!</v>
      </c>
      <c r="AL67" s="118">
        <v>0</v>
      </c>
      <c r="AM67" s="118">
        <v>3380268</v>
      </c>
      <c r="AN67" s="118">
        <v>54254990</v>
      </c>
      <c r="AO67" s="118" t="e">
        <f>+#REF!+#REF!+#REF!</f>
        <v>#REF!</v>
      </c>
      <c r="AP67" s="118" t="e">
        <f>+#REF!+#REF!+#REF!</f>
        <v>#REF!</v>
      </c>
      <c r="AQ67" s="318"/>
      <c r="AR67" s="118">
        <f t="shared" ref="AR67" si="46">+SUM(AR64:AR66)</f>
        <v>0</v>
      </c>
      <c r="AS67" s="333"/>
      <c r="AT67" s="333"/>
      <c r="AU67" s="320"/>
    </row>
    <row r="69" spans="1:47" hidden="1"/>
    <row r="70" spans="1:47" s="219" customFormat="1" ht="24.75" customHeight="1">
      <c r="A70" s="215" t="s">
        <v>125</v>
      </c>
      <c r="B70" s="445"/>
      <c r="C70" s="223"/>
      <c r="D70" s="30"/>
      <c r="E70" s="223"/>
      <c r="F70" s="223"/>
      <c r="G70" s="223"/>
      <c r="H70" s="224"/>
      <c r="I70" s="223"/>
      <c r="J70" s="445"/>
      <c r="L70" s="449"/>
      <c r="M70" s="449"/>
      <c r="N70" s="450"/>
      <c r="O70" s="450"/>
      <c r="P70" s="450"/>
      <c r="Q70" s="448" t="s">
        <v>1706</v>
      </c>
      <c r="R70" s="289"/>
      <c r="S70" s="289"/>
      <c r="T70" s="289"/>
      <c r="U70" s="289"/>
      <c r="V70" s="289"/>
      <c r="W70" s="289"/>
      <c r="X70" s="290"/>
      <c r="Y70" s="467">
        <f>+Y36+Y42+Y50+Y55+Y61+Y67</f>
        <v>4606251000</v>
      </c>
      <c r="Z70" s="467">
        <f>+Z36+Z42+Z50+Z55+Z61+Z67</f>
        <v>0</v>
      </c>
      <c r="AA70" s="470"/>
      <c r="AB70" s="467">
        <f t="shared" ref="AB70:AD70" si="47">+AB36+AB42+AB50+AB55+AB61+AB67</f>
        <v>3809198000</v>
      </c>
      <c r="AC70" s="467">
        <f t="shared" si="47"/>
        <v>0</v>
      </c>
      <c r="AD70" s="467">
        <f t="shared" si="47"/>
        <v>3809198000</v>
      </c>
      <c r="AE70" s="467" t="e">
        <f>+#REF!+#REF!+#REF!+#REF!+AE67+#REF!</f>
        <v>#REF!</v>
      </c>
      <c r="AF70" s="467" t="e">
        <f>+#REF!+#REF!+#REF!+#REF!+AF67+#REF!</f>
        <v>#REF!</v>
      </c>
      <c r="AG70" s="467" t="e">
        <f>+#REF!+#REF!+#REF!+#REF!+AG67+#REF!</f>
        <v>#REF!</v>
      </c>
      <c r="AH70" s="467" t="e">
        <f>+#REF!+#REF!+#REF!+#REF!+AH67+#REF!</f>
        <v>#REF!</v>
      </c>
      <c r="AI70" s="467" t="e">
        <f>+#REF!+#REF!+#REF!+#REF!+AI67+#REF!</f>
        <v>#REF!</v>
      </c>
      <c r="AJ70" s="467" t="e">
        <f>+#REF!+#REF!+#REF!+#REF!+AJ67+#REF!</f>
        <v>#REF!</v>
      </c>
      <c r="AK70" s="467" t="e">
        <f>+#REF!+#REF!+#REF!+#REF!+AK67+#REF!</f>
        <v>#REF!</v>
      </c>
      <c r="AL70" s="467">
        <v>5022881123</v>
      </c>
      <c r="AM70" s="467">
        <v>6520346324</v>
      </c>
      <c r="AN70" s="467">
        <v>6589090637</v>
      </c>
      <c r="AO70" s="467" t="e">
        <f>+#REF!+#REF!+#REF!+#REF!+AO67+#REF!</f>
        <v>#REF!</v>
      </c>
      <c r="AP70" s="467" t="e">
        <f>+#REF!+#REF!+#REF!+#REF!+AP67+#REF!</f>
        <v>#REF!</v>
      </c>
      <c r="AQ70" s="318"/>
      <c r="AR70" s="118">
        <f>+Y70-Z70-AC70-AD70</f>
        <v>797053000</v>
      </c>
      <c r="AS70" s="477"/>
      <c r="AT70" s="477"/>
    </row>
    <row r="71" spans="1:47" ht="6" customHeight="1"/>
    <row r="72" spans="1:47" s="219" customFormat="1" ht="33.75" customHeight="1">
      <c r="A72" s="215" t="s">
        <v>125</v>
      </c>
      <c r="B72" s="445"/>
      <c r="C72" s="223"/>
      <c r="D72" s="30"/>
      <c r="E72" s="223"/>
      <c r="F72" s="223"/>
      <c r="G72" s="223"/>
      <c r="H72" s="224"/>
      <c r="I72" s="223"/>
      <c r="J72" s="445"/>
      <c r="L72" s="449"/>
      <c r="M72" s="449"/>
      <c r="N72" s="450"/>
      <c r="O72" s="450"/>
      <c r="P72" s="450"/>
      <c r="Q72" s="949" t="s">
        <v>1707</v>
      </c>
      <c r="R72" s="289"/>
      <c r="S72" s="289"/>
      <c r="T72" s="289"/>
      <c r="U72" s="289"/>
      <c r="V72" s="289"/>
      <c r="W72" s="289"/>
      <c r="X72" s="290"/>
      <c r="Y72" s="467">
        <f>+Y70+Y30</f>
        <v>10408985000</v>
      </c>
      <c r="Z72" s="467">
        <f>+Z70+Z30</f>
        <v>0</v>
      </c>
      <c r="AA72" s="470"/>
      <c r="AB72" s="467">
        <f>+AB70+AB30</f>
        <v>8035268000</v>
      </c>
      <c r="AC72" s="467">
        <f>+AC70+AC30</f>
        <v>0</v>
      </c>
      <c r="AD72" s="467">
        <f>+AD70+AD30</f>
        <v>8035268000</v>
      </c>
      <c r="AE72" s="467" t="e">
        <f>+#REF!+#REF!+#REF!+#REF!+#REF!+AE70</f>
        <v>#REF!</v>
      </c>
      <c r="AF72" s="467" t="e">
        <f>+#REF!+#REF!+#REF!+#REF!+#REF!+AF70</f>
        <v>#REF!</v>
      </c>
      <c r="AG72" s="467" t="e">
        <f>+#REF!+#REF!+#REF!+#REF!+#REF!+AG70</f>
        <v>#REF!</v>
      </c>
      <c r="AH72" s="467" t="e">
        <f>+#REF!+#REF!+#REF!+#REF!+#REF!+AH70</f>
        <v>#REF!</v>
      </c>
      <c r="AI72" s="467" t="e">
        <f>+#REF!+#REF!+#REF!+#REF!+#REF!+AI70</f>
        <v>#REF!</v>
      </c>
      <c r="AJ72" s="467" t="e">
        <f>+#REF!+#REF!+#REF!+#REF!+#REF!+AJ70</f>
        <v>#REF!</v>
      </c>
      <c r="AK72" s="467" t="e">
        <f>+#REF!+#REF!+#REF!+#REF!+#REF!+AK70</f>
        <v>#REF!</v>
      </c>
      <c r="AL72" s="467">
        <v>5022881123</v>
      </c>
      <c r="AM72" s="467">
        <v>6520346324</v>
      </c>
      <c r="AN72" s="467">
        <v>6589090637</v>
      </c>
      <c r="AO72" s="467" t="e">
        <f>+#REF!+#REF!+#REF!+#REF!+#REF!+AO70</f>
        <v>#REF!</v>
      </c>
      <c r="AP72" s="467" t="e">
        <f>+#REF!+#REF!+#REF!+#REF!+#REF!+AP70</f>
        <v>#REF!</v>
      </c>
      <c r="AQ72" s="318"/>
      <c r="AR72" s="118">
        <f>+Y72-Z72-AC72-AD72</f>
        <v>2373717000</v>
      </c>
      <c r="AS72" s="477"/>
      <c r="AT72" s="477"/>
    </row>
    <row r="73" spans="1:47" s="320" customFormat="1" ht="33.75" customHeight="1">
      <c r="A73" s="215"/>
      <c r="B73" s="944"/>
      <c r="C73" s="446"/>
      <c r="D73" s="451"/>
      <c r="E73" s="446"/>
      <c r="F73" s="446"/>
      <c r="G73" s="446"/>
      <c r="H73" s="945"/>
      <c r="I73" s="446"/>
      <c r="J73" s="944"/>
      <c r="L73" s="449"/>
      <c r="M73" s="449"/>
      <c r="N73" s="449"/>
      <c r="O73" s="449"/>
      <c r="P73" s="449"/>
      <c r="Q73" s="968"/>
      <c r="R73" s="289"/>
      <c r="S73" s="289"/>
      <c r="T73" s="289"/>
      <c r="U73" s="289"/>
      <c r="V73" s="289"/>
      <c r="W73" s="289"/>
      <c r="X73" s="289"/>
      <c r="Y73" s="318"/>
      <c r="Z73" s="318"/>
      <c r="AA73" s="318"/>
      <c r="AB73" s="318"/>
      <c r="AC73" s="318"/>
      <c r="AD73" s="318"/>
      <c r="AE73" s="318"/>
      <c r="AF73" s="318"/>
      <c r="AG73" s="318"/>
      <c r="AH73" s="318"/>
      <c r="AI73" s="318"/>
      <c r="AJ73" s="318"/>
      <c r="AK73" s="318"/>
      <c r="AL73" s="318"/>
      <c r="AM73" s="318"/>
      <c r="AN73" s="318"/>
      <c r="AO73" s="318"/>
      <c r="AP73" s="318"/>
      <c r="AQ73" s="318"/>
      <c r="AR73" s="318"/>
      <c r="AS73" s="947"/>
      <c r="AT73" s="947"/>
    </row>
  </sheetData>
  <autoFilter ref="A2:AU30"/>
  <mergeCells count="2">
    <mergeCell ref="T1:W1"/>
    <mergeCell ref="AB1:AD1"/>
  </mergeCells>
  <conditionalFormatting sqref="M7">
    <cfRule type="duplicateValues" dxfId="28" priority="21"/>
  </conditionalFormatting>
  <conditionalFormatting sqref="M41">
    <cfRule type="duplicateValues" dxfId="27" priority="20"/>
  </conditionalFormatting>
  <conditionalFormatting sqref="M11">
    <cfRule type="duplicateValues" dxfId="26" priority="19"/>
  </conditionalFormatting>
  <conditionalFormatting sqref="M45">
    <cfRule type="duplicateValues" dxfId="25" priority="18"/>
  </conditionalFormatting>
  <conditionalFormatting sqref="M46">
    <cfRule type="duplicateValues" dxfId="24" priority="17"/>
  </conditionalFormatting>
  <conditionalFormatting sqref="M47">
    <cfRule type="duplicateValues" dxfId="23" priority="16"/>
  </conditionalFormatting>
  <conditionalFormatting sqref="M12">
    <cfRule type="duplicateValues" dxfId="22" priority="15"/>
  </conditionalFormatting>
  <conditionalFormatting sqref="M48">
    <cfRule type="duplicateValues" dxfId="21" priority="14"/>
  </conditionalFormatting>
  <conditionalFormatting sqref="M49">
    <cfRule type="duplicateValues" dxfId="20" priority="13"/>
  </conditionalFormatting>
  <conditionalFormatting sqref="M54">
    <cfRule type="duplicateValues" dxfId="19" priority="12"/>
  </conditionalFormatting>
  <conditionalFormatting sqref="M17">
    <cfRule type="duplicateValues" dxfId="18" priority="11"/>
  </conditionalFormatting>
  <conditionalFormatting sqref="M58">
    <cfRule type="duplicateValues" dxfId="17" priority="10"/>
  </conditionalFormatting>
  <conditionalFormatting sqref="M59">
    <cfRule type="duplicateValues" dxfId="16" priority="9"/>
  </conditionalFormatting>
  <conditionalFormatting sqref="M60">
    <cfRule type="duplicateValues" dxfId="15" priority="8"/>
  </conditionalFormatting>
  <conditionalFormatting sqref="M64">
    <cfRule type="duplicateValues" dxfId="14" priority="7"/>
  </conditionalFormatting>
  <conditionalFormatting sqref="M65">
    <cfRule type="duplicateValues" dxfId="13" priority="6"/>
  </conditionalFormatting>
  <conditionalFormatting sqref="M66">
    <cfRule type="duplicateValues" dxfId="12" priority="5"/>
  </conditionalFormatting>
  <conditionalFormatting sqref="M22">
    <cfRule type="duplicateValues" dxfId="11" priority="4"/>
  </conditionalFormatting>
  <conditionalFormatting sqref="M23">
    <cfRule type="duplicateValues" dxfId="10" priority="3"/>
  </conditionalFormatting>
  <conditionalFormatting sqref="M27">
    <cfRule type="duplicateValues" dxfId="9" priority="2"/>
  </conditionalFormatting>
  <conditionalFormatting sqref="L35:M35">
    <cfRule type="duplicateValues" dxfId="8" priority="13025"/>
  </conditionalFormatting>
  <conditionalFormatting sqref="N35">
    <cfRule type="duplicateValues" dxfId="7" priority="13028"/>
  </conditionalFormatting>
  <conditionalFormatting sqref="L54">
    <cfRule type="duplicateValues" dxfId="6" priority="13036"/>
  </conditionalFormatting>
  <conditionalFormatting sqref="N54">
    <cfRule type="duplicateValues" dxfId="5" priority="13037"/>
  </conditionalFormatting>
  <conditionalFormatting sqref="L17">
    <cfRule type="duplicateValues" dxfId="4" priority="13045"/>
  </conditionalFormatting>
  <conditionalFormatting sqref="N17">
    <cfRule type="duplicateValues" dxfId="3" priority="13046"/>
  </conditionalFormatting>
  <conditionalFormatting sqref="P17">
    <cfRule type="duplicateValues" dxfId="2" priority="13047"/>
  </conditionalFormatting>
  <conditionalFormatting sqref="L64:L66 N64:N66">
    <cfRule type="duplicateValues" dxfId="1" priority="13049"/>
  </conditionalFormatting>
  <conditionalFormatting sqref="P35">
    <cfRule type="duplicateValues" dxfId="0" priority="13079"/>
  </conditionalFormatting>
  <printOptions horizontalCentered="1" verticalCentered="1"/>
  <pageMargins left="0.19685039370078741" right="0.23622047244094491" top="0.77" bottom="0.25" header="0.2" footer="0.2"/>
  <pageSetup paperSize="193" scale="48" orientation="landscape" r:id="rId1"/>
  <headerFooter>
    <oddHeader>&amp;L&amp;14              GOBIERNO REGIONAL DE LOS LAGOS
DIVISIÓN DE PRESUPUESTO E INVERSIÓN REGIONAL&amp;C&amp;36ANEXO
&amp;"-,Negrita"ACUERDO SOCIAL COMPLEMENTARIO</oddHeader>
    <oddFooter>&amp;C&amp;14&amp;P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7:WUC58"/>
  <sheetViews>
    <sheetView view="pageBreakPreview" topLeftCell="A22" zoomScale="90" zoomScaleNormal="100" zoomScaleSheetLayoutView="90" workbookViewId="0">
      <selection activeCell="E51" sqref="E51"/>
    </sheetView>
  </sheetViews>
  <sheetFormatPr baseColWidth="10" defaultColWidth="11.42578125" defaultRowHeight="12.75"/>
  <cols>
    <col min="1" max="1" width="8" style="479" customWidth="1"/>
    <col min="2" max="2" width="12.85546875" style="479" customWidth="1"/>
    <col min="3" max="3" width="14.5703125" style="479" customWidth="1"/>
    <col min="4" max="4" width="13.85546875" style="479" customWidth="1"/>
    <col min="5" max="5" width="11.28515625" style="479" customWidth="1"/>
    <col min="6" max="6" width="24.42578125" style="479" customWidth="1"/>
    <col min="7" max="7" width="2" style="479" customWidth="1"/>
    <col min="8" max="8" width="7.7109375" style="479" customWidth="1"/>
    <col min="9" max="9" width="2" style="479" customWidth="1"/>
    <col min="10" max="10" width="18.42578125" style="479" customWidth="1"/>
    <col min="11" max="11" width="14.7109375" style="479" customWidth="1"/>
    <col min="12" max="12" width="18.140625" style="479" customWidth="1"/>
    <col min="13" max="13" width="3.28515625" style="479" customWidth="1"/>
    <col min="14" max="15" width="13.7109375" style="479" customWidth="1"/>
    <col min="16" max="16" width="11.42578125" style="479"/>
    <col min="17" max="17" width="13.7109375" style="479" customWidth="1"/>
    <col min="18" max="215" width="11.42578125" style="479"/>
    <col min="216" max="216" width="1.85546875" style="479" customWidth="1"/>
    <col min="217" max="218" width="2" style="479" customWidth="1"/>
    <col min="219" max="219" width="2.5703125" style="479" customWidth="1"/>
    <col min="220" max="220" width="2.28515625" style="479" customWidth="1"/>
    <col min="221" max="221" width="11.42578125" style="479"/>
    <col min="222" max="222" width="1.85546875" style="479" customWidth="1"/>
    <col min="223" max="223" width="2" style="479" customWidth="1"/>
    <col min="224" max="225" width="11.42578125" style="479" hidden="1" customWidth="1"/>
    <col min="226" max="226" width="2.140625" style="479" customWidth="1"/>
    <col min="227" max="227" width="2.28515625" style="479" customWidth="1"/>
    <col min="228" max="228" width="2" style="479" customWidth="1"/>
    <col min="229" max="229" width="1.7109375" style="479" customWidth="1"/>
    <col min="230" max="471" width="11.42578125" style="479"/>
    <col min="472" max="472" width="1.85546875" style="479" customWidth="1"/>
    <col min="473" max="474" width="2" style="479" customWidth="1"/>
    <col min="475" max="475" width="2.5703125" style="479" customWidth="1"/>
    <col min="476" max="476" width="2.28515625" style="479" customWidth="1"/>
    <col min="477" max="477" width="11.42578125" style="479"/>
    <col min="478" max="478" width="1.85546875" style="479" customWidth="1"/>
    <col min="479" max="479" width="2" style="479" customWidth="1"/>
    <col min="480" max="481" width="11.42578125" style="479" hidden="1" customWidth="1"/>
    <col min="482" max="482" width="2.140625" style="479" customWidth="1"/>
    <col min="483" max="483" width="2.28515625" style="479" customWidth="1"/>
    <col min="484" max="484" width="2" style="479" customWidth="1"/>
    <col min="485" max="485" width="1.7109375" style="479" customWidth="1"/>
    <col min="486" max="727" width="11.42578125" style="479"/>
    <col min="728" max="728" width="1.85546875" style="479" customWidth="1"/>
    <col min="729" max="730" width="2" style="479" customWidth="1"/>
    <col min="731" max="731" width="2.5703125" style="479" customWidth="1"/>
    <col min="732" max="732" width="2.28515625" style="479" customWidth="1"/>
    <col min="733" max="733" width="11.42578125" style="479"/>
    <col min="734" max="734" width="1.85546875" style="479" customWidth="1"/>
    <col min="735" max="735" width="2" style="479" customWidth="1"/>
    <col min="736" max="737" width="11.42578125" style="479" hidden="1" customWidth="1"/>
    <col min="738" max="738" width="2.140625" style="479" customWidth="1"/>
    <col min="739" max="739" width="2.28515625" style="479" customWidth="1"/>
    <col min="740" max="740" width="2" style="479" customWidth="1"/>
    <col min="741" max="741" width="1.7109375" style="479" customWidth="1"/>
    <col min="742" max="983" width="11.42578125" style="479"/>
    <col min="984" max="984" width="1.85546875" style="479" customWidth="1"/>
    <col min="985" max="986" width="2" style="479" customWidth="1"/>
    <col min="987" max="987" width="2.5703125" style="479" customWidth="1"/>
    <col min="988" max="988" width="2.28515625" style="479" customWidth="1"/>
    <col min="989" max="989" width="11.42578125" style="479"/>
    <col min="990" max="990" width="1.85546875" style="479" customWidth="1"/>
    <col min="991" max="991" width="2" style="479" customWidth="1"/>
    <col min="992" max="993" width="11.42578125" style="479" hidden="1" customWidth="1"/>
    <col min="994" max="994" width="2.140625" style="479" customWidth="1"/>
    <col min="995" max="995" width="2.28515625" style="479" customWidth="1"/>
    <col min="996" max="996" width="2" style="479" customWidth="1"/>
    <col min="997" max="997" width="1.7109375" style="479" customWidth="1"/>
    <col min="998" max="1239" width="11.42578125" style="479"/>
    <col min="1240" max="1240" width="1.85546875" style="479" customWidth="1"/>
    <col min="1241" max="1242" width="2" style="479" customWidth="1"/>
    <col min="1243" max="1243" width="2.5703125" style="479" customWidth="1"/>
    <col min="1244" max="1244" width="2.28515625" style="479" customWidth="1"/>
    <col min="1245" max="1245" width="11.42578125" style="479"/>
    <col min="1246" max="1246" width="1.85546875" style="479" customWidth="1"/>
    <col min="1247" max="1247" width="2" style="479" customWidth="1"/>
    <col min="1248" max="1249" width="11.42578125" style="479" hidden="1" customWidth="1"/>
    <col min="1250" max="1250" width="2.140625" style="479" customWidth="1"/>
    <col min="1251" max="1251" width="2.28515625" style="479" customWidth="1"/>
    <col min="1252" max="1252" width="2" style="479" customWidth="1"/>
    <col min="1253" max="1253" width="1.7109375" style="479" customWidth="1"/>
    <col min="1254" max="1495" width="11.42578125" style="479"/>
    <col min="1496" max="1496" width="1.85546875" style="479" customWidth="1"/>
    <col min="1497" max="1498" width="2" style="479" customWidth="1"/>
    <col min="1499" max="1499" width="2.5703125" style="479" customWidth="1"/>
    <col min="1500" max="1500" width="2.28515625" style="479" customWidth="1"/>
    <col min="1501" max="1501" width="11.42578125" style="479"/>
    <col min="1502" max="1502" width="1.85546875" style="479" customWidth="1"/>
    <col min="1503" max="1503" width="2" style="479" customWidth="1"/>
    <col min="1504" max="1505" width="11.42578125" style="479" hidden="1" customWidth="1"/>
    <col min="1506" max="1506" width="2.140625" style="479" customWidth="1"/>
    <col min="1507" max="1507" width="2.28515625" style="479" customWidth="1"/>
    <col min="1508" max="1508" width="2" style="479" customWidth="1"/>
    <col min="1509" max="1509" width="1.7109375" style="479" customWidth="1"/>
    <col min="1510" max="1751" width="11.42578125" style="479"/>
    <col min="1752" max="1752" width="1.85546875" style="479" customWidth="1"/>
    <col min="1753" max="1754" width="2" style="479" customWidth="1"/>
    <col min="1755" max="1755" width="2.5703125" style="479" customWidth="1"/>
    <col min="1756" max="1756" width="2.28515625" style="479" customWidth="1"/>
    <col min="1757" max="1757" width="11.42578125" style="479"/>
    <col min="1758" max="1758" width="1.85546875" style="479" customWidth="1"/>
    <col min="1759" max="1759" width="2" style="479" customWidth="1"/>
    <col min="1760" max="1761" width="11.42578125" style="479" hidden="1" customWidth="1"/>
    <col min="1762" max="1762" width="2.140625" style="479" customWidth="1"/>
    <col min="1763" max="1763" width="2.28515625" style="479" customWidth="1"/>
    <col min="1764" max="1764" width="2" style="479" customWidth="1"/>
    <col min="1765" max="1765" width="1.7109375" style="479" customWidth="1"/>
    <col min="1766" max="2007" width="11.42578125" style="479"/>
    <col min="2008" max="2008" width="1.85546875" style="479" customWidth="1"/>
    <col min="2009" max="2010" width="2" style="479" customWidth="1"/>
    <col min="2011" max="2011" width="2.5703125" style="479" customWidth="1"/>
    <col min="2012" max="2012" width="2.28515625" style="479" customWidth="1"/>
    <col min="2013" max="2013" width="11.42578125" style="479"/>
    <col min="2014" max="2014" width="1.85546875" style="479" customWidth="1"/>
    <col min="2015" max="2015" width="2" style="479" customWidth="1"/>
    <col min="2016" max="2017" width="11.42578125" style="479" hidden="1" customWidth="1"/>
    <col min="2018" max="2018" width="2.140625" style="479" customWidth="1"/>
    <col min="2019" max="2019" width="2.28515625" style="479" customWidth="1"/>
    <col min="2020" max="2020" width="2" style="479" customWidth="1"/>
    <col min="2021" max="2021" width="1.7109375" style="479" customWidth="1"/>
    <col min="2022" max="2263" width="11.42578125" style="479"/>
    <col min="2264" max="2264" width="1.85546875" style="479" customWidth="1"/>
    <col min="2265" max="2266" width="2" style="479" customWidth="1"/>
    <col min="2267" max="2267" width="2.5703125" style="479" customWidth="1"/>
    <col min="2268" max="2268" width="2.28515625" style="479" customWidth="1"/>
    <col min="2269" max="2269" width="11.42578125" style="479"/>
    <col min="2270" max="2270" width="1.85546875" style="479" customWidth="1"/>
    <col min="2271" max="2271" width="2" style="479" customWidth="1"/>
    <col min="2272" max="2273" width="11.42578125" style="479" hidden="1" customWidth="1"/>
    <col min="2274" max="2274" width="2.140625" style="479" customWidth="1"/>
    <col min="2275" max="2275" width="2.28515625" style="479" customWidth="1"/>
    <col min="2276" max="2276" width="2" style="479" customWidth="1"/>
    <col min="2277" max="2277" width="1.7109375" style="479" customWidth="1"/>
    <col min="2278" max="2519" width="11.42578125" style="479"/>
    <col min="2520" max="2520" width="1.85546875" style="479" customWidth="1"/>
    <col min="2521" max="2522" width="2" style="479" customWidth="1"/>
    <col min="2523" max="2523" width="2.5703125" style="479" customWidth="1"/>
    <col min="2524" max="2524" width="2.28515625" style="479" customWidth="1"/>
    <col min="2525" max="2525" width="11.42578125" style="479"/>
    <col min="2526" max="2526" width="1.85546875" style="479" customWidth="1"/>
    <col min="2527" max="2527" width="2" style="479" customWidth="1"/>
    <col min="2528" max="2529" width="11.42578125" style="479" hidden="1" customWidth="1"/>
    <col min="2530" max="2530" width="2.140625" style="479" customWidth="1"/>
    <col min="2531" max="2531" width="2.28515625" style="479" customWidth="1"/>
    <col min="2532" max="2532" width="2" style="479" customWidth="1"/>
    <col min="2533" max="2533" width="1.7109375" style="479" customWidth="1"/>
    <col min="2534" max="2775" width="11.42578125" style="479"/>
    <col min="2776" max="2776" width="1.85546875" style="479" customWidth="1"/>
    <col min="2777" max="2778" width="2" style="479" customWidth="1"/>
    <col min="2779" max="2779" width="2.5703125" style="479" customWidth="1"/>
    <col min="2780" max="2780" width="2.28515625" style="479" customWidth="1"/>
    <col min="2781" max="2781" width="11.42578125" style="479"/>
    <col min="2782" max="2782" width="1.85546875" style="479" customWidth="1"/>
    <col min="2783" max="2783" width="2" style="479" customWidth="1"/>
    <col min="2784" max="2785" width="11.42578125" style="479" hidden="1" customWidth="1"/>
    <col min="2786" max="2786" width="2.140625" style="479" customWidth="1"/>
    <col min="2787" max="2787" width="2.28515625" style="479" customWidth="1"/>
    <col min="2788" max="2788" width="2" style="479" customWidth="1"/>
    <col min="2789" max="2789" width="1.7109375" style="479" customWidth="1"/>
    <col min="2790" max="3031" width="11.42578125" style="479"/>
    <col min="3032" max="3032" width="1.85546875" style="479" customWidth="1"/>
    <col min="3033" max="3034" width="2" style="479" customWidth="1"/>
    <col min="3035" max="3035" width="2.5703125" style="479" customWidth="1"/>
    <col min="3036" max="3036" width="2.28515625" style="479" customWidth="1"/>
    <col min="3037" max="3037" width="11.42578125" style="479"/>
    <col min="3038" max="3038" width="1.85546875" style="479" customWidth="1"/>
    <col min="3039" max="3039" width="2" style="479" customWidth="1"/>
    <col min="3040" max="3041" width="11.42578125" style="479" hidden="1" customWidth="1"/>
    <col min="3042" max="3042" width="2.140625" style="479" customWidth="1"/>
    <col min="3043" max="3043" width="2.28515625" style="479" customWidth="1"/>
    <col min="3044" max="3044" width="2" style="479" customWidth="1"/>
    <col min="3045" max="3045" width="1.7109375" style="479" customWidth="1"/>
    <col min="3046" max="3287" width="11.42578125" style="479"/>
    <col min="3288" max="3288" width="1.85546875" style="479" customWidth="1"/>
    <col min="3289" max="3290" width="2" style="479" customWidth="1"/>
    <col min="3291" max="3291" width="2.5703125" style="479" customWidth="1"/>
    <col min="3292" max="3292" width="2.28515625" style="479" customWidth="1"/>
    <col min="3293" max="3293" width="11.42578125" style="479"/>
    <col min="3294" max="3294" width="1.85546875" style="479" customWidth="1"/>
    <col min="3295" max="3295" width="2" style="479" customWidth="1"/>
    <col min="3296" max="3297" width="11.42578125" style="479" hidden="1" customWidth="1"/>
    <col min="3298" max="3298" width="2.140625" style="479" customWidth="1"/>
    <col min="3299" max="3299" width="2.28515625" style="479" customWidth="1"/>
    <col min="3300" max="3300" width="2" style="479" customWidth="1"/>
    <col min="3301" max="3301" width="1.7109375" style="479" customWidth="1"/>
    <col min="3302" max="3543" width="11.42578125" style="479"/>
    <col min="3544" max="3544" width="1.85546875" style="479" customWidth="1"/>
    <col min="3545" max="3546" width="2" style="479" customWidth="1"/>
    <col min="3547" max="3547" width="2.5703125" style="479" customWidth="1"/>
    <col min="3548" max="3548" width="2.28515625" style="479" customWidth="1"/>
    <col min="3549" max="3549" width="11.42578125" style="479"/>
    <col min="3550" max="3550" width="1.85546875" style="479" customWidth="1"/>
    <col min="3551" max="3551" width="2" style="479" customWidth="1"/>
    <col min="3552" max="3553" width="11.42578125" style="479" hidden="1" customWidth="1"/>
    <col min="3554" max="3554" width="2.140625" style="479" customWidth="1"/>
    <col min="3555" max="3555" width="2.28515625" style="479" customWidth="1"/>
    <col min="3556" max="3556" width="2" style="479" customWidth="1"/>
    <col min="3557" max="3557" width="1.7109375" style="479" customWidth="1"/>
    <col min="3558" max="3799" width="11.42578125" style="479"/>
    <col min="3800" max="3800" width="1.85546875" style="479" customWidth="1"/>
    <col min="3801" max="3802" width="2" style="479" customWidth="1"/>
    <col min="3803" max="3803" width="2.5703125" style="479" customWidth="1"/>
    <col min="3804" max="3804" width="2.28515625" style="479" customWidth="1"/>
    <col min="3805" max="3805" width="11.42578125" style="479"/>
    <col min="3806" max="3806" width="1.85546875" style="479" customWidth="1"/>
    <col min="3807" max="3807" width="2" style="479" customWidth="1"/>
    <col min="3808" max="3809" width="11.42578125" style="479" hidden="1" customWidth="1"/>
    <col min="3810" max="3810" width="2.140625" style="479" customWidth="1"/>
    <col min="3811" max="3811" width="2.28515625" style="479" customWidth="1"/>
    <col min="3812" max="3812" width="2" style="479" customWidth="1"/>
    <col min="3813" max="3813" width="1.7109375" style="479" customWidth="1"/>
    <col min="3814" max="4055" width="11.42578125" style="479"/>
    <col min="4056" max="4056" width="1.85546875" style="479" customWidth="1"/>
    <col min="4057" max="4058" width="2" style="479" customWidth="1"/>
    <col min="4059" max="4059" width="2.5703125" style="479" customWidth="1"/>
    <col min="4060" max="4060" width="2.28515625" style="479" customWidth="1"/>
    <col min="4061" max="4061" width="11.42578125" style="479"/>
    <col min="4062" max="4062" width="1.85546875" style="479" customWidth="1"/>
    <col min="4063" max="4063" width="2" style="479" customWidth="1"/>
    <col min="4064" max="4065" width="11.42578125" style="479" hidden="1" customWidth="1"/>
    <col min="4066" max="4066" width="2.140625" style="479" customWidth="1"/>
    <col min="4067" max="4067" width="2.28515625" style="479" customWidth="1"/>
    <col min="4068" max="4068" width="2" style="479" customWidth="1"/>
    <col min="4069" max="4069" width="1.7109375" style="479" customWidth="1"/>
    <col min="4070" max="4311" width="11.42578125" style="479"/>
    <col min="4312" max="4312" width="1.85546875" style="479" customWidth="1"/>
    <col min="4313" max="4314" width="2" style="479" customWidth="1"/>
    <col min="4315" max="4315" width="2.5703125" style="479" customWidth="1"/>
    <col min="4316" max="4316" width="2.28515625" style="479" customWidth="1"/>
    <col min="4317" max="4317" width="11.42578125" style="479"/>
    <col min="4318" max="4318" width="1.85546875" style="479" customWidth="1"/>
    <col min="4319" max="4319" width="2" style="479" customWidth="1"/>
    <col min="4320" max="4321" width="11.42578125" style="479" hidden="1" customWidth="1"/>
    <col min="4322" max="4322" width="2.140625" style="479" customWidth="1"/>
    <col min="4323" max="4323" width="2.28515625" style="479" customWidth="1"/>
    <col min="4324" max="4324" width="2" style="479" customWidth="1"/>
    <col min="4325" max="4325" width="1.7109375" style="479" customWidth="1"/>
    <col min="4326" max="4567" width="11.42578125" style="479"/>
    <col min="4568" max="4568" width="1.85546875" style="479" customWidth="1"/>
    <col min="4569" max="4570" width="2" style="479" customWidth="1"/>
    <col min="4571" max="4571" width="2.5703125" style="479" customWidth="1"/>
    <col min="4572" max="4572" width="2.28515625" style="479" customWidth="1"/>
    <col min="4573" max="4573" width="11.42578125" style="479"/>
    <col min="4574" max="4574" width="1.85546875" style="479" customWidth="1"/>
    <col min="4575" max="4575" width="2" style="479" customWidth="1"/>
    <col min="4576" max="4577" width="11.42578125" style="479" hidden="1" customWidth="1"/>
    <col min="4578" max="4578" width="2.140625" style="479" customWidth="1"/>
    <col min="4579" max="4579" width="2.28515625" style="479" customWidth="1"/>
    <col min="4580" max="4580" width="2" style="479" customWidth="1"/>
    <col min="4581" max="4581" width="1.7109375" style="479" customWidth="1"/>
    <col min="4582" max="4823" width="11.42578125" style="479"/>
    <col min="4824" max="4824" width="1.85546875" style="479" customWidth="1"/>
    <col min="4825" max="4826" width="2" style="479" customWidth="1"/>
    <col min="4827" max="4827" width="2.5703125" style="479" customWidth="1"/>
    <col min="4828" max="4828" width="2.28515625" style="479" customWidth="1"/>
    <col min="4829" max="4829" width="11.42578125" style="479"/>
    <col min="4830" max="4830" width="1.85546875" style="479" customWidth="1"/>
    <col min="4831" max="4831" width="2" style="479" customWidth="1"/>
    <col min="4832" max="4833" width="11.42578125" style="479" hidden="1" customWidth="1"/>
    <col min="4834" max="4834" width="2.140625" style="479" customWidth="1"/>
    <col min="4835" max="4835" width="2.28515625" style="479" customWidth="1"/>
    <col min="4836" max="4836" width="2" style="479" customWidth="1"/>
    <col min="4837" max="4837" width="1.7109375" style="479" customWidth="1"/>
    <col min="4838" max="5079" width="11.42578125" style="479"/>
    <col min="5080" max="5080" width="1.85546875" style="479" customWidth="1"/>
    <col min="5081" max="5082" width="2" style="479" customWidth="1"/>
    <col min="5083" max="5083" width="2.5703125" style="479" customWidth="1"/>
    <col min="5084" max="5084" width="2.28515625" style="479" customWidth="1"/>
    <col min="5085" max="5085" width="11.42578125" style="479"/>
    <col min="5086" max="5086" width="1.85546875" style="479" customWidth="1"/>
    <col min="5087" max="5087" width="2" style="479" customWidth="1"/>
    <col min="5088" max="5089" width="11.42578125" style="479" hidden="1" customWidth="1"/>
    <col min="5090" max="5090" width="2.140625" style="479" customWidth="1"/>
    <col min="5091" max="5091" width="2.28515625" style="479" customWidth="1"/>
    <col min="5092" max="5092" width="2" style="479" customWidth="1"/>
    <col min="5093" max="5093" width="1.7109375" style="479" customWidth="1"/>
    <col min="5094" max="5335" width="11.42578125" style="479"/>
    <col min="5336" max="5336" width="1.85546875" style="479" customWidth="1"/>
    <col min="5337" max="5338" width="2" style="479" customWidth="1"/>
    <col min="5339" max="5339" width="2.5703125" style="479" customWidth="1"/>
    <col min="5340" max="5340" width="2.28515625" style="479" customWidth="1"/>
    <col min="5341" max="5341" width="11.42578125" style="479"/>
    <col min="5342" max="5342" width="1.85546875" style="479" customWidth="1"/>
    <col min="5343" max="5343" width="2" style="479" customWidth="1"/>
    <col min="5344" max="5345" width="11.42578125" style="479" hidden="1" customWidth="1"/>
    <col min="5346" max="5346" width="2.140625" style="479" customWidth="1"/>
    <col min="5347" max="5347" width="2.28515625" style="479" customWidth="1"/>
    <col min="5348" max="5348" width="2" style="479" customWidth="1"/>
    <col min="5349" max="5349" width="1.7109375" style="479" customWidth="1"/>
    <col min="5350" max="5591" width="11.42578125" style="479"/>
    <col min="5592" max="5592" width="1.85546875" style="479" customWidth="1"/>
    <col min="5593" max="5594" width="2" style="479" customWidth="1"/>
    <col min="5595" max="5595" width="2.5703125" style="479" customWidth="1"/>
    <col min="5596" max="5596" width="2.28515625" style="479" customWidth="1"/>
    <col min="5597" max="5597" width="11.42578125" style="479"/>
    <col min="5598" max="5598" width="1.85546875" style="479" customWidth="1"/>
    <col min="5599" max="5599" width="2" style="479" customWidth="1"/>
    <col min="5600" max="5601" width="11.42578125" style="479" hidden="1" customWidth="1"/>
    <col min="5602" max="5602" width="2.140625" style="479" customWidth="1"/>
    <col min="5603" max="5603" width="2.28515625" style="479" customWidth="1"/>
    <col min="5604" max="5604" width="2" style="479" customWidth="1"/>
    <col min="5605" max="5605" width="1.7109375" style="479" customWidth="1"/>
    <col min="5606" max="5847" width="11.42578125" style="479"/>
    <col min="5848" max="5848" width="1.85546875" style="479" customWidth="1"/>
    <col min="5849" max="5850" width="2" style="479" customWidth="1"/>
    <col min="5851" max="5851" width="2.5703125" style="479" customWidth="1"/>
    <col min="5852" max="5852" width="2.28515625" style="479" customWidth="1"/>
    <col min="5853" max="5853" width="11.42578125" style="479"/>
    <col min="5854" max="5854" width="1.85546875" style="479" customWidth="1"/>
    <col min="5855" max="5855" width="2" style="479" customWidth="1"/>
    <col min="5856" max="5857" width="11.42578125" style="479" hidden="1" customWidth="1"/>
    <col min="5858" max="5858" width="2.140625" style="479" customWidth="1"/>
    <col min="5859" max="5859" width="2.28515625" style="479" customWidth="1"/>
    <col min="5860" max="5860" width="2" style="479" customWidth="1"/>
    <col min="5861" max="5861" width="1.7109375" style="479" customWidth="1"/>
    <col min="5862" max="6103" width="11.42578125" style="479"/>
    <col min="6104" max="6104" width="1.85546875" style="479" customWidth="1"/>
    <col min="6105" max="6106" width="2" style="479" customWidth="1"/>
    <col min="6107" max="6107" width="2.5703125" style="479" customWidth="1"/>
    <col min="6108" max="6108" width="2.28515625" style="479" customWidth="1"/>
    <col min="6109" max="6109" width="11.42578125" style="479"/>
    <col min="6110" max="6110" width="1.85546875" style="479" customWidth="1"/>
    <col min="6111" max="6111" width="2" style="479" customWidth="1"/>
    <col min="6112" max="6113" width="11.42578125" style="479" hidden="1" customWidth="1"/>
    <col min="6114" max="6114" width="2.140625" style="479" customWidth="1"/>
    <col min="6115" max="6115" width="2.28515625" style="479" customWidth="1"/>
    <col min="6116" max="6116" width="2" style="479" customWidth="1"/>
    <col min="6117" max="6117" width="1.7109375" style="479" customWidth="1"/>
    <col min="6118" max="6359" width="11.42578125" style="479"/>
    <col min="6360" max="6360" width="1.85546875" style="479" customWidth="1"/>
    <col min="6361" max="6362" width="2" style="479" customWidth="1"/>
    <col min="6363" max="6363" width="2.5703125" style="479" customWidth="1"/>
    <col min="6364" max="6364" width="2.28515625" style="479" customWidth="1"/>
    <col min="6365" max="6365" width="11.42578125" style="479"/>
    <col min="6366" max="6366" width="1.85546875" style="479" customWidth="1"/>
    <col min="6367" max="6367" width="2" style="479" customWidth="1"/>
    <col min="6368" max="6369" width="11.42578125" style="479" hidden="1" customWidth="1"/>
    <col min="6370" max="6370" width="2.140625" style="479" customWidth="1"/>
    <col min="6371" max="6371" width="2.28515625" style="479" customWidth="1"/>
    <col min="6372" max="6372" width="2" style="479" customWidth="1"/>
    <col min="6373" max="6373" width="1.7109375" style="479" customWidth="1"/>
    <col min="6374" max="6615" width="11.42578125" style="479"/>
    <col min="6616" max="6616" width="1.85546875" style="479" customWidth="1"/>
    <col min="6617" max="6618" width="2" style="479" customWidth="1"/>
    <col min="6619" max="6619" width="2.5703125" style="479" customWidth="1"/>
    <col min="6620" max="6620" width="2.28515625" style="479" customWidth="1"/>
    <col min="6621" max="6621" width="11.42578125" style="479"/>
    <col min="6622" max="6622" width="1.85546875" style="479" customWidth="1"/>
    <col min="6623" max="6623" width="2" style="479" customWidth="1"/>
    <col min="6624" max="6625" width="11.42578125" style="479" hidden="1" customWidth="1"/>
    <col min="6626" max="6626" width="2.140625" style="479" customWidth="1"/>
    <col min="6627" max="6627" width="2.28515625" style="479" customWidth="1"/>
    <col min="6628" max="6628" width="2" style="479" customWidth="1"/>
    <col min="6629" max="6629" width="1.7109375" style="479" customWidth="1"/>
    <col min="6630" max="6871" width="11.42578125" style="479"/>
    <col min="6872" max="6872" width="1.85546875" style="479" customWidth="1"/>
    <col min="6873" max="6874" width="2" style="479" customWidth="1"/>
    <col min="6875" max="6875" width="2.5703125" style="479" customWidth="1"/>
    <col min="6876" max="6876" width="2.28515625" style="479" customWidth="1"/>
    <col min="6877" max="6877" width="11.42578125" style="479"/>
    <col min="6878" max="6878" width="1.85546875" style="479" customWidth="1"/>
    <col min="6879" max="6879" width="2" style="479" customWidth="1"/>
    <col min="6880" max="6881" width="11.42578125" style="479" hidden="1" customWidth="1"/>
    <col min="6882" max="6882" width="2.140625" style="479" customWidth="1"/>
    <col min="6883" max="6883" width="2.28515625" style="479" customWidth="1"/>
    <col min="6884" max="6884" width="2" style="479" customWidth="1"/>
    <col min="6885" max="6885" width="1.7109375" style="479" customWidth="1"/>
    <col min="6886" max="7127" width="11.42578125" style="479"/>
    <col min="7128" max="7128" width="1.85546875" style="479" customWidth="1"/>
    <col min="7129" max="7130" width="2" style="479" customWidth="1"/>
    <col min="7131" max="7131" width="2.5703125" style="479" customWidth="1"/>
    <col min="7132" max="7132" width="2.28515625" style="479" customWidth="1"/>
    <col min="7133" max="7133" width="11.42578125" style="479"/>
    <col min="7134" max="7134" width="1.85546875" style="479" customWidth="1"/>
    <col min="7135" max="7135" width="2" style="479" customWidth="1"/>
    <col min="7136" max="7137" width="11.42578125" style="479" hidden="1" customWidth="1"/>
    <col min="7138" max="7138" width="2.140625" style="479" customWidth="1"/>
    <col min="7139" max="7139" width="2.28515625" style="479" customWidth="1"/>
    <col min="7140" max="7140" width="2" style="479" customWidth="1"/>
    <col min="7141" max="7141" width="1.7109375" style="479" customWidth="1"/>
    <col min="7142" max="7383" width="11.42578125" style="479"/>
    <col min="7384" max="7384" width="1.85546875" style="479" customWidth="1"/>
    <col min="7385" max="7386" width="2" style="479" customWidth="1"/>
    <col min="7387" max="7387" width="2.5703125" style="479" customWidth="1"/>
    <col min="7388" max="7388" width="2.28515625" style="479" customWidth="1"/>
    <col min="7389" max="7389" width="11.42578125" style="479"/>
    <col min="7390" max="7390" width="1.85546875" style="479" customWidth="1"/>
    <col min="7391" max="7391" width="2" style="479" customWidth="1"/>
    <col min="7392" max="7393" width="11.42578125" style="479" hidden="1" customWidth="1"/>
    <col min="7394" max="7394" width="2.140625" style="479" customWidth="1"/>
    <col min="7395" max="7395" width="2.28515625" style="479" customWidth="1"/>
    <col min="7396" max="7396" width="2" style="479" customWidth="1"/>
    <col min="7397" max="7397" width="1.7109375" style="479" customWidth="1"/>
    <col min="7398" max="7639" width="11.42578125" style="479"/>
    <col min="7640" max="7640" width="1.85546875" style="479" customWidth="1"/>
    <col min="7641" max="7642" width="2" style="479" customWidth="1"/>
    <col min="7643" max="7643" width="2.5703125" style="479" customWidth="1"/>
    <col min="7644" max="7644" width="2.28515625" style="479" customWidth="1"/>
    <col min="7645" max="7645" width="11.42578125" style="479"/>
    <col min="7646" max="7646" width="1.85546875" style="479" customWidth="1"/>
    <col min="7647" max="7647" width="2" style="479" customWidth="1"/>
    <col min="7648" max="7649" width="11.42578125" style="479" hidden="1" customWidth="1"/>
    <col min="7650" max="7650" width="2.140625" style="479" customWidth="1"/>
    <col min="7651" max="7651" width="2.28515625" style="479" customWidth="1"/>
    <col min="7652" max="7652" width="2" style="479" customWidth="1"/>
    <col min="7653" max="7653" width="1.7109375" style="479" customWidth="1"/>
    <col min="7654" max="7895" width="11.42578125" style="479"/>
    <col min="7896" max="7896" width="1.85546875" style="479" customWidth="1"/>
    <col min="7897" max="7898" width="2" style="479" customWidth="1"/>
    <col min="7899" max="7899" width="2.5703125" style="479" customWidth="1"/>
    <col min="7900" max="7900" width="2.28515625" style="479" customWidth="1"/>
    <col min="7901" max="7901" width="11.42578125" style="479"/>
    <col min="7902" max="7902" width="1.85546875" style="479" customWidth="1"/>
    <col min="7903" max="7903" width="2" style="479" customWidth="1"/>
    <col min="7904" max="7905" width="11.42578125" style="479" hidden="1" customWidth="1"/>
    <col min="7906" max="7906" width="2.140625" style="479" customWidth="1"/>
    <col min="7907" max="7907" width="2.28515625" style="479" customWidth="1"/>
    <col min="7908" max="7908" width="2" style="479" customWidth="1"/>
    <col min="7909" max="7909" width="1.7109375" style="479" customWidth="1"/>
    <col min="7910" max="8151" width="11.42578125" style="479"/>
    <col min="8152" max="8152" width="1.85546875" style="479" customWidth="1"/>
    <col min="8153" max="8154" width="2" style="479" customWidth="1"/>
    <col min="8155" max="8155" width="2.5703125" style="479" customWidth="1"/>
    <col min="8156" max="8156" width="2.28515625" style="479" customWidth="1"/>
    <col min="8157" max="8157" width="11.42578125" style="479"/>
    <col min="8158" max="8158" width="1.85546875" style="479" customWidth="1"/>
    <col min="8159" max="8159" width="2" style="479" customWidth="1"/>
    <col min="8160" max="8161" width="11.42578125" style="479" hidden="1" customWidth="1"/>
    <col min="8162" max="8162" width="2.140625" style="479" customWidth="1"/>
    <col min="8163" max="8163" width="2.28515625" style="479" customWidth="1"/>
    <col min="8164" max="8164" width="2" style="479" customWidth="1"/>
    <col min="8165" max="8165" width="1.7109375" style="479" customWidth="1"/>
    <col min="8166" max="8407" width="11.42578125" style="479"/>
    <col min="8408" max="8408" width="1.85546875" style="479" customWidth="1"/>
    <col min="8409" max="8410" width="2" style="479" customWidth="1"/>
    <col min="8411" max="8411" width="2.5703125" style="479" customWidth="1"/>
    <col min="8412" max="8412" width="2.28515625" style="479" customWidth="1"/>
    <col min="8413" max="8413" width="11.42578125" style="479"/>
    <col min="8414" max="8414" width="1.85546875" style="479" customWidth="1"/>
    <col min="8415" max="8415" width="2" style="479" customWidth="1"/>
    <col min="8416" max="8417" width="11.42578125" style="479" hidden="1" customWidth="1"/>
    <col min="8418" max="8418" width="2.140625" style="479" customWidth="1"/>
    <col min="8419" max="8419" width="2.28515625" style="479" customWidth="1"/>
    <col min="8420" max="8420" width="2" style="479" customWidth="1"/>
    <col min="8421" max="8421" width="1.7109375" style="479" customWidth="1"/>
    <col min="8422" max="8663" width="11.42578125" style="479"/>
    <col min="8664" max="8664" width="1.85546875" style="479" customWidth="1"/>
    <col min="8665" max="8666" width="2" style="479" customWidth="1"/>
    <col min="8667" max="8667" width="2.5703125" style="479" customWidth="1"/>
    <col min="8668" max="8668" width="2.28515625" style="479" customWidth="1"/>
    <col min="8669" max="8669" width="11.42578125" style="479"/>
    <col min="8670" max="8670" width="1.85546875" style="479" customWidth="1"/>
    <col min="8671" max="8671" width="2" style="479" customWidth="1"/>
    <col min="8672" max="8673" width="11.42578125" style="479" hidden="1" customWidth="1"/>
    <col min="8674" max="8674" width="2.140625" style="479" customWidth="1"/>
    <col min="8675" max="8675" width="2.28515625" style="479" customWidth="1"/>
    <col min="8676" max="8676" width="2" style="479" customWidth="1"/>
    <col min="8677" max="8677" width="1.7109375" style="479" customWidth="1"/>
    <col min="8678" max="8919" width="11.42578125" style="479"/>
    <col min="8920" max="8920" width="1.85546875" style="479" customWidth="1"/>
    <col min="8921" max="8922" width="2" style="479" customWidth="1"/>
    <col min="8923" max="8923" width="2.5703125" style="479" customWidth="1"/>
    <col min="8924" max="8924" width="2.28515625" style="479" customWidth="1"/>
    <col min="8925" max="8925" width="11.42578125" style="479"/>
    <col min="8926" max="8926" width="1.85546875" style="479" customWidth="1"/>
    <col min="8927" max="8927" width="2" style="479" customWidth="1"/>
    <col min="8928" max="8929" width="11.42578125" style="479" hidden="1" customWidth="1"/>
    <col min="8930" max="8930" width="2.140625" style="479" customWidth="1"/>
    <col min="8931" max="8931" width="2.28515625" style="479" customWidth="1"/>
    <col min="8932" max="8932" width="2" style="479" customWidth="1"/>
    <col min="8933" max="8933" width="1.7109375" style="479" customWidth="1"/>
    <col min="8934" max="9175" width="11.42578125" style="479"/>
    <col min="9176" max="9176" width="1.85546875" style="479" customWidth="1"/>
    <col min="9177" max="9178" width="2" style="479" customWidth="1"/>
    <col min="9179" max="9179" width="2.5703125" style="479" customWidth="1"/>
    <col min="9180" max="9180" width="2.28515625" style="479" customWidth="1"/>
    <col min="9181" max="9181" width="11.42578125" style="479"/>
    <col min="9182" max="9182" width="1.85546875" style="479" customWidth="1"/>
    <col min="9183" max="9183" width="2" style="479" customWidth="1"/>
    <col min="9184" max="9185" width="11.42578125" style="479" hidden="1" customWidth="1"/>
    <col min="9186" max="9186" width="2.140625" style="479" customWidth="1"/>
    <col min="9187" max="9187" width="2.28515625" style="479" customWidth="1"/>
    <col min="9188" max="9188" width="2" style="479" customWidth="1"/>
    <col min="9189" max="9189" width="1.7109375" style="479" customWidth="1"/>
    <col min="9190" max="9431" width="11.42578125" style="479"/>
    <col min="9432" max="9432" width="1.85546875" style="479" customWidth="1"/>
    <col min="9433" max="9434" width="2" style="479" customWidth="1"/>
    <col min="9435" max="9435" width="2.5703125" style="479" customWidth="1"/>
    <col min="9436" max="9436" width="2.28515625" style="479" customWidth="1"/>
    <col min="9437" max="9437" width="11.42578125" style="479"/>
    <col min="9438" max="9438" width="1.85546875" style="479" customWidth="1"/>
    <col min="9439" max="9439" width="2" style="479" customWidth="1"/>
    <col min="9440" max="9441" width="11.42578125" style="479" hidden="1" customWidth="1"/>
    <col min="9442" max="9442" width="2.140625" style="479" customWidth="1"/>
    <col min="9443" max="9443" width="2.28515625" style="479" customWidth="1"/>
    <col min="9444" max="9444" width="2" style="479" customWidth="1"/>
    <col min="9445" max="9445" width="1.7109375" style="479" customWidth="1"/>
    <col min="9446" max="9687" width="11.42578125" style="479"/>
    <col min="9688" max="9688" width="1.85546875" style="479" customWidth="1"/>
    <col min="9689" max="9690" width="2" style="479" customWidth="1"/>
    <col min="9691" max="9691" width="2.5703125" style="479" customWidth="1"/>
    <col min="9692" max="9692" width="2.28515625" style="479" customWidth="1"/>
    <col min="9693" max="9693" width="11.42578125" style="479"/>
    <col min="9694" max="9694" width="1.85546875" style="479" customWidth="1"/>
    <col min="9695" max="9695" width="2" style="479" customWidth="1"/>
    <col min="9696" max="9697" width="11.42578125" style="479" hidden="1" customWidth="1"/>
    <col min="9698" max="9698" width="2.140625" style="479" customWidth="1"/>
    <col min="9699" max="9699" width="2.28515625" style="479" customWidth="1"/>
    <col min="9700" max="9700" width="2" style="479" customWidth="1"/>
    <col min="9701" max="9701" width="1.7109375" style="479" customWidth="1"/>
    <col min="9702" max="9943" width="11.42578125" style="479"/>
    <col min="9944" max="9944" width="1.85546875" style="479" customWidth="1"/>
    <col min="9945" max="9946" width="2" style="479" customWidth="1"/>
    <col min="9947" max="9947" width="2.5703125" style="479" customWidth="1"/>
    <col min="9948" max="9948" width="2.28515625" style="479" customWidth="1"/>
    <col min="9949" max="9949" width="11.42578125" style="479"/>
    <col min="9950" max="9950" width="1.85546875" style="479" customWidth="1"/>
    <col min="9951" max="9951" width="2" style="479" customWidth="1"/>
    <col min="9952" max="9953" width="11.42578125" style="479" hidden="1" customWidth="1"/>
    <col min="9954" max="9954" width="2.140625" style="479" customWidth="1"/>
    <col min="9955" max="9955" width="2.28515625" style="479" customWidth="1"/>
    <col min="9956" max="9956" width="2" style="479" customWidth="1"/>
    <col min="9957" max="9957" width="1.7109375" style="479" customWidth="1"/>
    <col min="9958" max="10199" width="11.42578125" style="479"/>
    <col min="10200" max="10200" width="1.85546875" style="479" customWidth="1"/>
    <col min="10201" max="10202" width="2" style="479" customWidth="1"/>
    <col min="10203" max="10203" width="2.5703125" style="479" customWidth="1"/>
    <col min="10204" max="10204" width="2.28515625" style="479" customWidth="1"/>
    <col min="10205" max="10205" width="11.42578125" style="479"/>
    <col min="10206" max="10206" width="1.85546875" style="479" customWidth="1"/>
    <col min="10207" max="10207" width="2" style="479" customWidth="1"/>
    <col min="10208" max="10209" width="11.42578125" style="479" hidden="1" customWidth="1"/>
    <col min="10210" max="10210" width="2.140625" style="479" customWidth="1"/>
    <col min="10211" max="10211" width="2.28515625" style="479" customWidth="1"/>
    <col min="10212" max="10212" width="2" style="479" customWidth="1"/>
    <col min="10213" max="10213" width="1.7109375" style="479" customWidth="1"/>
    <col min="10214" max="10455" width="11.42578125" style="479"/>
    <col min="10456" max="10456" width="1.85546875" style="479" customWidth="1"/>
    <col min="10457" max="10458" width="2" style="479" customWidth="1"/>
    <col min="10459" max="10459" width="2.5703125" style="479" customWidth="1"/>
    <col min="10460" max="10460" width="2.28515625" style="479" customWidth="1"/>
    <col min="10461" max="10461" width="11.42578125" style="479"/>
    <col min="10462" max="10462" width="1.85546875" style="479" customWidth="1"/>
    <col min="10463" max="10463" width="2" style="479" customWidth="1"/>
    <col min="10464" max="10465" width="11.42578125" style="479" hidden="1" customWidth="1"/>
    <col min="10466" max="10466" width="2.140625" style="479" customWidth="1"/>
    <col min="10467" max="10467" width="2.28515625" style="479" customWidth="1"/>
    <col min="10468" max="10468" width="2" style="479" customWidth="1"/>
    <col min="10469" max="10469" width="1.7109375" style="479" customWidth="1"/>
    <col min="10470" max="10711" width="11.42578125" style="479"/>
    <col min="10712" max="10712" width="1.85546875" style="479" customWidth="1"/>
    <col min="10713" max="10714" width="2" style="479" customWidth="1"/>
    <col min="10715" max="10715" width="2.5703125" style="479" customWidth="1"/>
    <col min="10716" max="10716" width="2.28515625" style="479" customWidth="1"/>
    <col min="10717" max="10717" width="11.42578125" style="479"/>
    <col min="10718" max="10718" width="1.85546875" style="479" customWidth="1"/>
    <col min="10719" max="10719" width="2" style="479" customWidth="1"/>
    <col min="10720" max="10721" width="11.42578125" style="479" hidden="1" customWidth="1"/>
    <col min="10722" max="10722" width="2.140625" style="479" customWidth="1"/>
    <col min="10723" max="10723" width="2.28515625" style="479" customWidth="1"/>
    <col min="10724" max="10724" width="2" style="479" customWidth="1"/>
    <col min="10725" max="10725" width="1.7109375" style="479" customWidth="1"/>
    <col min="10726" max="10967" width="11.42578125" style="479"/>
    <col min="10968" max="10968" width="1.85546875" style="479" customWidth="1"/>
    <col min="10969" max="10970" width="2" style="479" customWidth="1"/>
    <col min="10971" max="10971" width="2.5703125" style="479" customWidth="1"/>
    <col min="10972" max="10972" width="2.28515625" style="479" customWidth="1"/>
    <col min="10973" max="10973" width="11.42578125" style="479"/>
    <col min="10974" max="10974" width="1.85546875" style="479" customWidth="1"/>
    <col min="10975" max="10975" width="2" style="479" customWidth="1"/>
    <col min="10976" max="10977" width="11.42578125" style="479" hidden="1" customWidth="1"/>
    <col min="10978" max="10978" width="2.140625" style="479" customWidth="1"/>
    <col min="10979" max="10979" width="2.28515625" style="479" customWidth="1"/>
    <col min="10980" max="10980" width="2" style="479" customWidth="1"/>
    <col min="10981" max="10981" width="1.7109375" style="479" customWidth="1"/>
    <col min="10982" max="11223" width="11.42578125" style="479"/>
    <col min="11224" max="11224" width="1.85546875" style="479" customWidth="1"/>
    <col min="11225" max="11226" width="2" style="479" customWidth="1"/>
    <col min="11227" max="11227" width="2.5703125" style="479" customWidth="1"/>
    <col min="11228" max="11228" width="2.28515625" style="479" customWidth="1"/>
    <col min="11229" max="11229" width="11.42578125" style="479"/>
    <col min="11230" max="11230" width="1.85546875" style="479" customWidth="1"/>
    <col min="11231" max="11231" width="2" style="479" customWidth="1"/>
    <col min="11232" max="11233" width="11.42578125" style="479" hidden="1" customWidth="1"/>
    <col min="11234" max="11234" width="2.140625" style="479" customWidth="1"/>
    <col min="11235" max="11235" width="2.28515625" style="479" customWidth="1"/>
    <col min="11236" max="11236" width="2" style="479" customWidth="1"/>
    <col min="11237" max="11237" width="1.7109375" style="479" customWidth="1"/>
    <col min="11238" max="11479" width="11.42578125" style="479"/>
    <col min="11480" max="11480" width="1.85546875" style="479" customWidth="1"/>
    <col min="11481" max="11482" width="2" style="479" customWidth="1"/>
    <col min="11483" max="11483" width="2.5703125" style="479" customWidth="1"/>
    <col min="11484" max="11484" width="2.28515625" style="479" customWidth="1"/>
    <col min="11485" max="11485" width="11.42578125" style="479"/>
    <col min="11486" max="11486" width="1.85546875" style="479" customWidth="1"/>
    <col min="11487" max="11487" width="2" style="479" customWidth="1"/>
    <col min="11488" max="11489" width="11.42578125" style="479" hidden="1" customWidth="1"/>
    <col min="11490" max="11490" width="2.140625" style="479" customWidth="1"/>
    <col min="11491" max="11491" width="2.28515625" style="479" customWidth="1"/>
    <col min="11492" max="11492" width="2" style="479" customWidth="1"/>
    <col min="11493" max="11493" width="1.7109375" style="479" customWidth="1"/>
    <col min="11494" max="11735" width="11.42578125" style="479"/>
    <col min="11736" max="11736" width="1.85546875" style="479" customWidth="1"/>
    <col min="11737" max="11738" width="2" style="479" customWidth="1"/>
    <col min="11739" max="11739" width="2.5703125" style="479" customWidth="1"/>
    <col min="11740" max="11740" width="2.28515625" style="479" customWidth="1"/>
    <col min="11741" max="11741" width="11.42578125" style="479"/>
    <col min="11742" max="11742" width="1.85546875" style="479" customWidth="1"/>
    <col min="11743" max="11743" width="2" style="479" customWidth="1"/>
    <col min="11744" max="11745" width="11.42578125" style="479" hidden="1" customWidth="1"/>
    <col min="11746" max="11746" width="2.140625" style="479" customWidth="1"/>
    <col min="11747" max="11747" width="2.28515625" style="479" customWidth="1"/>
    <col min="11748" max="11748" width="2" style="479" customWidth="1"/>
    <col min="11749" max="11749" width="1.7109375" style="479" customWidth="1"/>
    <col min="11750" max="11991" width="11.42578125" style="479"/>
    <col min="11992" max="11992" width="1.85546875" style="479" customWidth="1"/>
    <col min="11993" max="11994" width="2" style="479" customWidth="1"/>
    <col min="11995" max="11995" width="2.5703125" style="479" customWidth="1"/>
    <col min="11996" max="11996" width="2.28515625" style="479" customWidth="1"/>
    <col min="11997" max="11997" width="11.42578125" style="479"/>
    <col min="11998" max="11998" width="1.85546875" style="479" customWidth="1"/>
    <col min="11999" max="11999" width="2" style="479" customWidth="1"/>
    <col min="12000" max="12001" width="11.42578125" style="479" hidden="1" customWidth="1"/>
    <col min="12002" max="12002" width="2.140625" style="479" customWidth="1"/>
    <col min="12003" max="12003" width="2.28515625" style="479" customWidth="1"/>
    <col min="12004" max="12004" width="2" style="479" customWidth="1"/>
    <col min="12005" max="12005" width="1.7109375" style="479" customWidth="1"/>
    <col min="12006" max="12247" width="11.42578125" style="479"/>
    <col min="12248" max="12248" width="1.85546875" style="479" customWidth="1"/>
    <col min="12249" max="12250" width="2" style="479" customWidth="1"/>
    <col min="12251" max="12251" width="2.5703125" style="479" customWidth="1"/>
    <col min="12252" max="12252" width="2.28515625" style="479" customWidth="1"/>
    <col min="12253" max="12253" width="11.42578125" style="479"/>
    <col min="12254" max="12254" width="1.85546875" style="479" customWidth="1"/>
    <col min="12255" max="12255" width="2" style="479" customWidth="1"/>
    <col min="12256" max="12257" width="11.42578125" style="479" hidden="1" customWidth="1"/>
    <col min="12258" max="12258" width="2.140625" style="479" customWidth="1"/>
    <col min="12259" max="12259" width="2.28515625" style="479" customWidth="1"/>
    <col min="12260" max="12260" width="2" style="479" customWidth="1"/>
    <col min="12261" max="12261" width="1.7109375" style="479" customWidth="1"/>
    <col min="12262" max="12503" width="11.42578125" style="479"/>
    <col min="12504" max="12504" width="1.85546875" style="479" customWidth="1"/>
    <col min="12505" max="12506" width="2" style="479" customWidth="1"/>
    <col min="12507" max="12507" width="2.5703125" style="479" customWidth="1"/>
    <col min="12508" max="12508" width="2.28515625" style="479" customWidth="1"/>
    <col min="12509" max="12509" width="11.42578125" style="479"/>
    <col min="12510" max="12510" width="1.85546875" style="479" customWidth="1"/>
    <col min="12511" max="12511" width="2" style="479" customWidth="1"/>
    <col min="12512" max="12513" width="11.42578125" style="479" hidden="1" customWidth="1"/>
    <col min="12514" max="12514" width="2.140625" style="479" customWidth="1"/>
    <col min="12515" max="12515" width="2.28515625" style="479" customWidth="1"/>
    <col min="12516" max="12516" width="2" style="479" customWidth="1"/>
    <col min="12517" max="12517" width="1.7109375" style="479" customWidth="1"/>
    <col min="12518" max="12759" width="11.42578125" style="479"/>
    <col min="12760" max="12760" width="1.85546875" style="479" customWidth="1"/>
    <col min="12761" max="12762" width="2" style="479" customWidth="1"/>
    <col min="12763" max="12763" width="2.5703125" style="479" customWidth="1"/>
    <col min="12764" max="12764" width="2.28515625" style="479" customWidth="1"/>
    <col min="12765" max="12765" width="11.42578125" style="479"/>
    <col min="12766" max="12766" width="1.85546875" style="479" customWidth="1"/>
    <col min="12767" max="12767" width="2" style="479" customWidth="1"/>
    <col min="12768" max="12769" width="11.42578125" style="479" hidden="1" customWidth="1"/>
    <col min="12770" max="12770" width="2.140625" style="479" customWidth="1"/>
    <col min="12771" max="12771" width="2.28515625" style="479" customWidth="1"/>
    <col min="12772" max="12772" width="2" style="479" customWidth="1"/>
    <col min="12773" max="12773" width="1.7109375" style="479" customWidth="1"/>
    <col min="12774" max="13015" width="11.42578125" style="479"/>
    <col min="13016" max="13016" width="1.85546875" style="479" customWidth="1"/>
    <col min="13017" max="13018" width="2" style="479" customWidth="1"/>
    <col min="13019" max="13019" width="2.5703125" style="479" customWidth="1"/>
    <col min="13020" max="13020" width="2.28515625" style="479" customWidth="1"/>
    <col min="13021" max="13021" width="11.42578125" style="479"/>
    <col min="13022" max="13022" width="1.85546875" style="479" customWidth="1"/>
    <col min="13023" max="13023" width="2" style="479" customWidth="1"/>
    <col min="13024" max="13025" width="11.42578125" style="479" hidden="1" customWidth="1"/>
    <col min="13026" max="13026" width="2.140625" style="479" customWidth="1"/>
    <col min="13027" max="13027" width="2.28515625" style="479" customWidth="1"/>
    <col min="13028" max="13028" width="2" style="479" customWidth="1"/>
    <col min="13029" max="13029" width="1.7109375" style="479" customWidth="1"/>
    <col min="13030" max="13271" width="11.42578125" style="479"/>
    <col min="13272" max="13272" width="1.85546875" style="479" customWidth="1"/>
    <col min="13273" max="13274" width="2" style="479" customWidth="1"/>
    <col min="13275" max="13275" width="2.5703125" style="479" customWidth="1"/>
    <col min="13276" max="13276" width="2.28515625" style="479" customWidth="1"/>
    <col min="13277" max="13277" width="11.42578125" style="479"/>
    <col min="13278" max="13278" width="1.85546875" style="479" customWidth="1"/>
    <col min="13279" max="13279" width="2" style="479" customWidth="1"/>
    <col min="13280" max="13281" width="11.42578125" style="479" hidden="1" customWidth="1"/>
    <col min="13282" max="13282" width="2.140625" style="479" customWidth="1"/>
    <col min="13283" max="13283" width="2.28515625" style="479" customWidth="1"/>
    <col min="13284" max="13284" width="2" style="479" customWidth="1"/>
    <col min="13285" max="13285" width="1.7109375" style="479" customWidth="1"/>
    <col min="13286" max="13527" width="11.42578125" style="479"/>
    <col min="13528" max="13528" width="1.85546875" style="479" customWidth="1"/>
    <col min="13529" max="13530" width="2" style="479" customWidth="1"/>
    <col min="13531" max="13531" width="2.5703125" style="479" customWidth="1"/>
    <col min="13532" max="13532" width="2.28515625" style="479" customWidth="1"/>
    <col min="13533" max="13533" width="11.42578125" style="479"/>
    <col min="13534" max="13534" width="1.85546875" style="479" customWidth="1"/>
    <col min="13535" max="13535" width="2" style="479" customWidth="1"/>
    <col min="13536" max="13537" width="11.42578125" style="479" hidden="1" customWidth="1"/>
    <col min="13538" max="13538" width="2.140625" style="479" customWidth="1"/>
    <col min="13539" max="13539" width="2.28515625" style="479" customWidth="1"/>
    <col min="13540" max="13540" width="2" style="479" customWidth="1"/>
    <col min="13541" max="13541" width="1.7109375" style="479" customWidth="1"/>
    <col min="13542" max="13783" width="11.42578125" style="479"/>
    <col min="13784" max="13784" width="1.85546875" style="479" customWidth="1"/>
    <col min="13785" max="13786" width="2" style="479" customWidth="1"/>
    <col min="13787" max="13787" width="2.5703125" style="479" customWidth="1"/>
    <col min="13788" max="13788" width="2.28515625" style="479" customWidth="1"/>
    <col min="13789" max="13789" width="11.42578125" style="479"/>
    <col min="13790" max="13790" width="1.85546875" style="479" customWidth="1"/>
    <col min="13791" max="13791" width="2" style="479" customWidth="1"/>
    <col min="13792" max="13793" width="11.42578125" style="479" hidden="1" customWidth="1"/>
    <col min="13794" max="13794" width="2.140625" style="479" customWidth="1"/>
    <col min="13795" max="13795" width="2.28515625" style="479" customWidth="1"/>
    <col min="13796" max="13796" width="2" style="479" customWidth="1"/>
    <col min="13797" max="13797" width="1.7109375" style="479" customWidth="1"/>
    <col min="13798" max="14039" width="11.42578125" style="479"/>
    <col min="14040" max="14040" width="1.85546875" style="479" customWidth="1"/>
    <col min="14041" max="14042" width="2" style="479" customWidth="1"/>
    <col min="14043" max="14043" width="2.5703125" style="479" customWidth="1"/>
    <col min="14044" max="14044" width="2.28515625" style="479" customWidth="1"/>
    <col min="14045" max="14045" width="11.42578125" style="479"/>
    <col min="14046" max="14046" width="1.85546875" style="479" customWidth="1"/>
    <col min="14047" max="14047" width="2" style="479" customWidth="1"/>
    <col min="14048" max="14049" width="11.42578125" style="479" hidden="1" customWidth="1"/>
    <col min="14050" max="14050" width="2.140625" style="479" customWidth="1"/>
    <col min="14051" max="14051" width="2.28515625" style="479" customWidth="1"/>
    <col min="14052" max="14052" width="2" style="479" customWidth="1"/>
    <col min="14053" max="14053" width="1.7109375" style="479" customWidth="1"/>
    <col min="14054" max="14295" width="11.42578125" style="479"/>
    <col min="14296" max="14296" width="1.85546875" style="479" customWidth="1"/>
    <col min="14297" max="14298" width="2" style="479" customWidth="1"/>
    <col min="14299" max="14299" width="2.5703125" style="479" customWidth="1"/>
    <col min="14300" max="14300" width="2.28515625" style="479" customWidth="1"/>
    <col min="14301" max="14301" width="11.42578125" style="479"/>
    <col min="14302" max="14302" width="1.85546875" style="479" customWidth="1"/>
    <col min="14303" max="14303" width="2" style="479" customWidth="1"/>
    <col min="14304" max="14305" width="11.42578125" style="479" hidden="1" customWidth="1"/>
    <col min="14306" max="14306" width="2.140625" style="479" customWidth="1"/>
    <col min="14307" max="14307" width="2.28515625" style="479" customWidth="1"/>
    <col min="14308" max="14308" width="2" style="479" customWidth="1"/>
    <col min="14309" max="14309" width="1.7109375" style="479" customWidth="1"/>
    <col min="14310" max="14551" width="11.42578125" style="479"/>
    <col min="14552" max="14552" width="1.85546875" style="479" customWidth="1"/>
    <col min="14553" max="14554" width="2" style="479" customWidth="1"/>
    <col min="14555" max="14555" width="2.5703125" style="479" customWidth="1"/>
    <col min="14556" max="14556" width="2.28515625" style="479" customWidth="1"/>
    <col min="14557" max="14557" width="11.42578125" style="479"/>
    <col min="14558" max="14558" width="1.85546875" style="479" customWidth="1"/>
    <col min="14559" max="14559" width="2" style="479" customWidth="1"/>
    <col min="14560" max="14561" width="11.42578125" style="479" hidden="1" customWidth="1"/>
    <col min="14562" max="14562" width="2.140625" style="479" customWidth="1"/>
    <col min="14563" max="14563" width="2.28515625" style="479" customWidth="1"/>
    <col min="14564" max="14564" width="2" style="479" customWidth="1"/>
    <col min="14565" max="14565" width="1.7109375" style="479" customWidth="1"/>
    <col min="14566" max="14807" width="11.42578125" style="479"/>
    <col min="14808" max="14808" width="1.85546875" style="479" customWidth="1"/>
    <col min="14809" max="14810" width="2" style="479" customWidth="1"/>
    <col min="14811" max="14811" width="2.5703125" style="479" customWidth="1"/>
    <col min="14812" max="14812" width="2.28515625" style="479" customWidth="1"/>
    <col min="14813" max="14813" width="11.42578125" style="479"/>
    <col min="14814" max="14814" width="1.85546875" style="479" customWidth="1"/>
    <col min="14815" max="14815" width="2" style="479" customWidth="1"/>
    <col min="14816" max="14817" width="11.42578125" style="479" hidden="1" customWidth="1"/>
    <col min="14818" max="14818" width="2.140625" style="479" customWidth="1"/>
    <col min="14819" max="14819" width="2.28515625" style="479" customWidth="1"/>
    <col min="14820" max="14820" width="2" style="479" customWidth="1"/>
    <col min="14821" max="14821" width="1.7109375" style="479" customWidth="1"/>
    <col min="14822" max="15063" width="11.42578125" style="479"/>
    <col min="15064" max="15064" width="1.85546875" style="479" customWidth="1"/>
    <col min="15065" max="15066" width="2" style="479" customWidth="1"/>
    <col min="15067" max="15067" width="2.5703125" style="479" customWidth="1"/>
    <col min="15068" max="15068" width="2.28515625" style="479" customWidth="1"/>
    <col min="15069" max="15069" width="11.42578125" style="479"/>
    <col min="15070" max="15070" width="1.85546875" style="479" customWidth="1"/>
    <col min="15071" max="15071" width="2" style="479" customWidth="1"/>
    <col min="15072" max="15073" width="11.42578125" style="479" hidden="1" customWidth="1"/>
    <col min="15074" max="15074" width="2.140625" style="479" customWidth="1"/>
    <col min="15075" max="15075" width="2.28515625" style="479" customWidth="1"/>
    <col min="15076" max="15076" width="2" style="479" customWidth="1"/>
    <col min="15077" max="15077" width="1.7109375" style="479" customWidth="1"/>
    <col min="15078" max="15319" width="11.42578125" style="479"/>
    <col min="15320" max="15320" width="1.85546875" style="479" customWidth="1"/>
    <col min="15321" max="15322" width="2" style="479" customWidth="1"/>
    <col min="15323" max="15323" width="2.5703125" style="479" customWidth="1"/>
    <col min="15324" max="15324" width="2.28515625" style="479" customWidth="1"/>
    <col min="15325" max="15325" width="11.42578125" style="479"/>
    <col min="15326" max="15326" width="1.85546875" style="479" customWidth="1"/>
    <col min="15327" max="15327" width="2" style="479" customWidth="1"/>
    <col min="15328" max="15329" width="11.42578125" style="479" hidden="1" customWidth="1"/>
    <col min="15330" max="15330" width="2.140625" style="479" customWidth="1"/>
    <col min="15331" max="15331" width="2.28515625" style="479" customWidth="1"/>
    <col min="15332" max="15332" width="2" style="479" customWidth="1"/>
    <col min="15333" max="15333" width="1.7109375" style="479" customWidth="1"/>
    <col min="15334" max="15575" width="11.42578125" style="479"/>
    <col min="15576" max="15576" width="1.85546875" style="479" customWidth="1"/>
    <col min="15577" max="15578" width="2" style="479" customWidth="1"/>
    <col min="15579" max="15579" width="2.5703125" style="479" customWidth="1"/>
    <col min="15580" max="15580" width="2.28515625" style="479" customWidth="1"/>
    <col min="15581" max="15581" width="11.42578125" style="479"/>
    <col min="15582" max="15582" width="1.85546875" style="479" customWidth="1"/>
    <col min="15583" max="15583" width="2" style="479" customWidth="1"/>
    <col min="15584" max="15585" width="11.42578125" style="479" hidden="1" customWidth="1"/>
    <col min="15586" max="15586" width="2.140625" style="479" customWidth="1"/>
    <col min="15587" max="15587" width="2.28515625" style="479" customWidth="1"/>
    <col min="15588" max="15588" width="2" style="479" customWidth="1"/>
    <col min="15589" max="15589" width="1.7109375" style="479" customWidth="1"/>
    <col min="15590" max="15831" width="11.42578125" style="479"/>
    <col min="15832" max="15832" width="1.85546875" style="479" customWidth="1"/>
    <col min="15833" max="15834" width="2" style="479" customWidth="1"/>
    <col min="15835" max="15835" width="2.5703125" style="479" customWidth="1"/>
    <col min="15836" max="15836" width="2.28515625" style="479" customWidth="1"/>
    <col min="15837" max="15837" width="11.42578125" style="479"/>
    <col min="15838" max="15838" width="1.85546875" style="479" customWidth="1"/>
    <col min="15839" max="15839" width="2" style="479" customWidth="1"/>
    <col min="15840" max="15841" width="11.42578125" style="479" hidden="1" customWidth="1"/>
    <col min="15842" max="15842" width="2.140625" style="479" customWidth="1"/>
    <col min="15843" max="15843" width="2.28515625" style="479" customWidth="1"/>
    <col min="15844" max="15844" width="2" style="479" customWidth="1"/>
    <col min="15845" max="15845" width="1.7109375" style="479" customWidth="1"/>
    <col min="15846" max="16087" width="11.42578125" style="479"/>
    <col min="16088" max="16088" width="1.85546875" style="479" customWidth="1"/>
    <col min="16089" max="16090" width="2" style="479" customWidth="1"/>
    <col min="16091" max="16091" width="2.5703125" style="479" customWidth="1"/>
    <col min="16092" max="16092" width="2.28515625" style="479" customWidth="1"/>
    <col min="16093" max="16093" width="11.42578125" style="479"/>
    <col min="16094" max="16094" width="1.85546875" style="479" customWidth="1"/>
    <col min="16095" max="16095" width="2" style="479" customWidth="1"/>
    <col min="16096" max="16097" width="11.42578125" style="479" hidden="1" customWidth="1"/>
    <col min="16098" max="16098" width="2.140625" style="479" customWidth="1"/>
    <col min="16099" max="16099" width="2.28515625" style="479" customWidth="1"/>
    <col min="16100" max="16100" width="2" style="479" customWidth="1"/>
    <col min="16101" max="16101" width="1.7109375" style="479" customWidth="1"/>
    <col min="16102" max="16384" width="11.42578125" style="479"/>
  </cols>
  <sheetData>
    <row r="17" spans="2:17">
      <c r="C17" s="511"/>
    </row>
    <row r="18" spans="2:17">
      <c r="E18" s="749"/>
      <c r="F18" s="511"/>
    </row>
    <row r="19" spans="2:17">
      <c r="E19" s="750"/>
      <c r="F19" s="511"/>
      <c r="J19" s="511"/>
      <c r="K19" s="779"/>
    </row>
    <row r="20" spans="2:17">
      <c r="E20" s="751"/>
      <c r="F20" s="511"/>
      <c r="J20" s="511"/>
    </row>
    <row r="21" spans="2:17">
      <c r="E21" s="752"/>
      <c r="F21" s="511"/>
      <c r="J21" s="755"/>
      <c r="K21" s="781"/>
    </row>
    <row r="22" spans="2:17">
      <c r="E22" s="752"/>
      <c r="F22" s="511"/>
      <c r="J22" s="755"/>
      <c r="K22" s="511"/>
      <c r="L22" s="511"/>
    </row>
    <row r="23" spans="2:17">
      <c r="E23" s="752"/>
      <c r="F23" s="753"/>
      <c r="G23" s="480"/>
      <c r="J23" s="511"/>
      <c r="K23" s="511"/>
    </row>
    <row r="24" spans="2:17">
      <c r="E24" s="754"/>
      <c r="F24" s="755"/>
      <c r="G24" s="511"/>
      <c r="J24" s="511"/>
      <c r="K24" s="511"/>
      <c r="N24" s="511"/>
    </row>
    <row r="25" spans="2:17">
      <c r="E25" s="752"/>
      <c r="F25" s="511"/>
    </row>
    <row r="26" spans="2:17" ht="13.5" customHeight="1">
      <c r="E26" s="752"/>
      <c r="F26" s="756"/>
      <c r="G26" s="757"/>
      <c r="J26" s="511"/>
      <c r="K26" s="779"/>
      <c r="L26" s="511"/>
      <c r="N26" s="779"/>
    </row>
    <row r="27" spans="2:17">
      <c r="E27" s="758"/>
      <c r="F27" s="511"/>
      <c r="G27" s="511"/>
      <c r="K27" s="511"/>
      <c r="L27" s="511"/>
      <c r="M27" s="511"/>
    </row>
    <row r="28" spans="2:17">
      <c r="E28" s="759"/>
      <c r="F28" s="511"/>
      <c r="G28" s="760"/>
      <c r="I28" s="511"/>
    </row>
    <row r="29" spans="2:17">
      <c r="E29" s="761"/>
      <c r="F29" s="762"/>
      <c r="K29" s="511"/>
    </row>
    <row r="30" spans="2:17">
      <c r="E30" s="763"/>
      <c r="F30" s="511"/>
      <c r="J30" s="511"/>
      <c r="O30" s="511"/>
      <c r="Q30" s="511"/>
    </row>
    <row r="31" spans="2:17" ht="18" customHeight="1">
      <c r="C31" s="511"/>
      <c r="H31" s="764"/>
    </row>
    <row r="32" spans="2:17">
      <c r="B32" s="765"/>
      <c r="C32" s="511"/>
    </row>
    <row r="33" spans="2:8">
      <c r="C33" s="511"/>
    </row>
    <row r="34" spans="2:8">
      <c r="C34" s="511"/>
      <c r="H34" s="511"/>
    </row>
    <row r="35" spans="2:8">
      <c r="C35" s="511"/>
    </row>
    <row r="36" spans="2:8">
      <c r="C36" s="511"/>
    </row>
    <row r="37" spans="2:8">
      <c r="C37" s="511"/>
    </row>
    <row r="38" spans="2:8">
      <c r="C38" s="511"/>
    </row>
    <row r="39" spans="2:8">
      <c r="C39" s="511"/>
    </row>
    <row r="40" spans="2:8">
      <c r="C40" s="511"/>
    </row>
    <row r="41" spans="2:8">
      <c r="C41" s="511"/>
    </row>
    <row r="42" spans="2:8">
      <c r="C42" s="511"/>
    </row>
    <row r="43" spans="2:8">
      <c r="C43" s="511"/>
    </row>
    <row r="44" spans="2:8" ht="38.25">
      <c r="B44" s="766" t="s">
        <v>15</v>
      </c>
      <c r="C44" s="767" t="s">
        <v>16</v>
      </c>
      <c r="D44" s="768" t="s">
        <v>17</v>
      </c>
      <c r="E44" s="768" t="s">
        <v>18</v>
      </c>
      <c r="F44" s="769"/>
    </row>
    <row r="45" spans="2:8">
      <c r="B45" s="770" t="s">
        <v>3</v>
      </c>
      <c r="C45" s="771">
        <f>+GASTO!C37</f>
        <v>80474279</v>
      </c>
      <c r="D45" s="772">
        <f>+GASTO!D37/GASTO!C37</f>
        <v>6.8635896097932109E-2</v>
      </c>
      <c r="E45" s="773">
        <v>4.1000000000000002E-2</v>
      </c>
      <c r="F45" s="774"/>
    </row>
    <row r="46" spans="2:8">
      <c r="B46" s="770" t="s">
        <v>4</v>
      </c>
      <c r="C46" s="771">
        <f>+GASTO!C38</f>
        <v>83942858</v>
      </c>
      <c r="D46" s="772">
        <f>+GASTO!E38/EFICIENCIA!C46</f>
        <v>0.15017707382562551</v>
      </c>
      <c r="E46" s="773">
        <v>8.8999999999999996E-2</v>
      </c>
      <c r="F46" s="775"/>
    </row>
    <row r="47" spans="2:8">
      <c r="B47" s="770" t="s">
        <v>5</v>
      </c>
      <c r="C47" s="771">
        <f>+GASTO!C39</f>
        <v>83398189</v>
      </c>
      <c r="D47" s="772">
        <f>+GASTO!E39/EFICIENCIA!C47</f>
        <v>0.23016547061951192</v>
      </c>
      <c r="E47" s="773">
        <v>0.14699999999999999</v>
      </c>
      <c r="F47" s="775"/>
    </row>
    <row r="48" spans="2:8">
      <c r="B48" s="770" t="s">
        <v>6</v>
      </c>
      <c r="C48" s="771">
        <f>+GASTO!C40</f>
        <v>79761344</v>
      </c>
      <c r="D48" s="772">
        <f>+GASTO!E40/GASTO!C40</f>
        <v>0.3224084306302562</v>
      </c>
      <c r="E48" s="773">
        <v>0.20300000000000001</v>
      </c>
      <c r="F48" s="775"/>
    </row>
    <row r="49" spans="1:10">
      <c r="B49" s="770" t="s">
        <v>7</v>
      </c>
      <c r="C49" s="771">
        <f>+GASTO!C41</f>
        <v>76043871</v>
      </c>
      <c r="D49" s="772">
        <f>+GASTO!E41/GASTO!C41</f>
        <v>0.40422206895543233</v>
      </c>
      <c r="E49" s="773">
        <v>0.29299999999999998</v>
      </c>
      <c r="F49" s="775"/>
    </row>
    <row r="50" spans="1:10">
      <c r="A50" s="764"/>
      <c r="B50" s="770" t="s">
        <v>8</v>
      </c>
      <c r="C50" s="771">
        <f>+GASTO!C42</f>
        <v>77158129</v>
      </c>
      <c r="D50" s="772">
        <f>+GASTO!E42/GASTO!C42</f>
        <v>0.47206232257135217</v>
      </c>
      <c r="E50" s="773">
        <v>0.35299999999999998</v>
      </c>
      <c r="F50" s="775"/>
    </row>
    <row r="51" spans="1:10">
      <c r="B51" s="770" t="s">
        <v>9</v>
      </c>
      <c r="C51" s="771">
        <f>+GASTO!C43</f>
        <v>73848948</v>
      </c>
      <c r="D51" s="772">
        <f>+GASTO!E43/GASTO!C43</f>
        <v>0.54286739831419129</v>
      </c>
      <c r="E51" s="773"/>
      <c r="F51" s="775"/>
    </row>
    <row r="52" spans="1:10">
      <c r="B52" s="770" t="s">
        <v>10</v>
      </c>
      <c r="C52" s="771"/>
      <c r="D52" s="772"/>
      <c r="E52" s="773"/>
      <c r="F52" s="775"/>
    </row>
    <row r="53" spans="1:10">
      <c r="B53" s="770" t="s">
        <v>11</v>
      </c>
      <c r="C53" s="771"/>
      <c r="D53" s="772"/>
      <c r="E53" s="773"/>
      <c r="F53" s="775"/>
      <c r="H53" s="776"/>
      <c r="J53" s="776"/>
    </row>
    <row r="54" spans="1:10">
      <c r="B54" s="770" t="s">
        <v>12</v>
      </c>
      <c r="C54" s="771"/>
      <c r="D54" s="772"/>
      <c r="E54" s="773"/>
      <c r="F54" s="769"/>
    </row>
    <row r="55" spans="1:10">
      <c r="B55" s="770" t="s">
        <v>13</v>
      </c>
      <c r="C55" s="771"/>
      <c r="D55" s="772"/>
      <c r="E55" s="777"/>
    </row>
    <row r="56" spans="1:10">
      <c r="B56" s="770" t="s">
        <v>14</v>
      </c>
      <c r="C56" s="771"/>
      <c r="D56" s="778"/>
      <c r="E56" s="777"/>
    </row>
    <row r="57" spans="1:10">
      <c r="C57" s="511"/>
    </row>
    <row r="58" spans="1:10">
      <c r="B58" s="511"/>
      <c r="C58" s="779"/>
      <c r="D58" s="780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96" orientation="landscape" r:id="rId1"/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O14"/>
  <sheetViews>
    <sheetView view="pageBreakPreview" topLeftCell="B1" zoomScale="90" zoomScaleNormal="100" zoomScaleSheetLayoutView="90" workbookViewId="0">
      <selection activeCell="N3" sqref="N3"/>
    </sheetView>
  </sheetViews>
  <sheetFormatPr baseColWidth="10" defaultColWidth="11.42578125" defaultRowHeight="15"/>
  <cols>
    <col min="1" max="1" width="6.7109375" style="597" customWidth="1"/>
    <col min="2" max="2" width="12.85546875" style="597" customWidth="1"/>
    <col min="3" max="3" width="15.7109375" style="597" customWidth="1"/>
    <col min="4" max="4" width="10.42578125" style="597" customWidth="1"/>
    <col min="5" max="6" width="15.7109375" style="597" customWidth="1"/>
    <col min="7" max="7" width="14.28515625" style="597" customWidth="1"/>
    <col min="8" max="8" width="15.7109375" style="597" customWidth="1"/>
    <col min="9" max="9" width="13.7109375" style="597" hidden="1" customWidth="1"/>
    <col min="10" max="10" width="16.28515625" style="597" customWidth="1"/>
    <col min="11" max="11" width="11.28515625" style="597" customWidth="1"/>
    <col min="12" max="12" width="15.7109375" style="597" customWidth="1"/>
    <col min="13" max="13" width="6.7109375" style="597" customWidth="1"/>
    <col min="14" max="14" width="15.85546875" style="936" bestFit="1" customWidth="1"/>
    <col min="15" max="15" width="12.7109375" style="597" bestFit="1" customWidth="1"/>
    <col min="16" max="163" width="11.42578125" style="597"/>
    <col min="164" max="164" width="2.28515625" style="597" customWidth="1"/>
    <col min="165" max="165" width="2.140625" style="597" customWidth="1"/>
    <col min="166" max="166" width="1.140625" style="597" customWidth="1"/>
    <col min="167" max="168" width="2" style="597" customWidth="1"/>
    <col min="169" max="170" width="2.140625" style="597" customWidth="1"/>
    <col min="171" max="171" width="1.7109375" style="597" customWidth="1"/>
    <col min="172" max="172" width="0.85546875" style="597" customWidth="1"/>
    <col min="173" max="173" width="2" style="597" customWidth="1"/>
    <col min="174" max="174" width="2.140625" style="597" customWidth="1"/>
    <col min="175" max="419" width="11.42578125" style="597"/>
    <col min="420" max="420" width="2.28515625" style="597" customWidth="1"/>
    <col min="421" max="421" width="2.140625" style="597" customWidth="1"/>
    <col min="422" max="422" width="1.140625" style="597" customWidth="1"/>
    <col min="423" max="424" width="2" style="597" customWidth="1"/>
    <col min="425" max="426" width="2.140625" style="597" customWidth="1"/>
    <col min="427" max="427" width="1.7109375" style="597" customWidth="1"/>
    <col min="428" max="428" width="0.85546875" style="597" customWidth="1"/>
    <col min="429" max="429" width="2" style="597" customWidth="1"/>
    <col min="430" max="430" width="2.140625" style="597" customWidth="1"/>
    <col min="431" max="675" width="11.42578125" style="597"/>
    <col min="676" max="676" width="2.28515625" style="597" customWidth="1"/>
    <col min="677" max="677" width="2.140625" style="597" customWidth="1"/>
    <col min="678" max="678" width="1.140625" style="597" customWidth="1"/>
    <col min="679" max="680" width="2" style="597" customWidth="1"/>
    <col min="681" max="682" width="2.140625" style="597" customWidth="1"/>
    <col min="683" max="683" width="1.7109375" style="597" customWidth="1"/>
    <col min="684" max="684" width="0.85546875" style="597" customWidth="1"/>
    <col min="685" max="685" width="2" style="597" customWidth="1"/>
    <col min="686" max="686" width="2.140625" style="597" customWidth="1"/>
    <col min="687" max="931" width="11.42578125" style="597"/>
    <col min="932" max="932" width="2.28515625" style="597" customWidth="1"/>
    <col min="933" max="933" width="2.140625" style="597" customWidth="1"/>
    <col min="934" max="934" width="1.140625" style="597" customWidth="1"/>
    <col min="935" max="936" width="2" style="597" customWidth="1"/>
    <col min="937" max="938" width="2.140625" style="597" customWidth="1"/>
    <col min="939" max="939" width="1.7109375" style="597" customWidth="1"/>
    <col min="940" max="940" width="0.85546875" style="597" customWidth="1"/>
    <col min="941" max="941" width="2" style="597" customWidth="1"/>
    <col min="942" max="942" width="2.140625" style="597" customWidth="1"/>
    <col min="943" max="1187" width="11.42578125" style="597"/>
    <col min="1188" max="1188" width="2.28515625" style="597" customWidth="1"/>
    <col min="1189" max="1189" width="2.140625" style="597" customWidth="1"/>
    <col min="1190" max="1190" width="1.140625" style="597" customWidth="1"/>
    <col min="1191" max="1192" width="2" style="597" customWidth="1"/>
    <col min="1193" max="1194" width="2.140625" style="597" customWidth="1"/>
    <col min="1195" max="1195" width="1.7109375" style="597" customWidth="1"/>
    <col min="1196" max="1196" width="0.85546875" style="597" customWidth="1"/>
    <col min="1197" max="1197" width="2" style="597" customWidth="1"/>
    <col min="1198" max="1198" width="2.140625" style="597" customWidth="1"/>
    <col min="1199" max="1443" width="11.42578125" style="597"/>
    <col min="1444" max="1444" width="2.28515625" style="597" customWidth="1"/>
    <col min="1445" max="1445" width="2.140625" style="597" customWidth="1"/>
    <col min="1446" max="1446" width="1.140625" style="597" customWidth="1"/>
    <col min="1447" max="1448" width="2" style="597" customWidth="1"/>
    <col min="1449" max="1450" width="2.140625" style="597" customWidth="1"/>
    <col min="1451" max="1451" width="1.7109375" style="597" customWidth="1"/>
    <col min="1452" max="1452" width="0.85546875" style="597" customWidth="1"/>
    <col min="1453" max="1453" width="2" style="597" customWidth="1"/>
    <col min="1454" max="1454" width="2.140625" style="597" customWidth="1"/>
    <col min="1455" max="1699" width="11.42578125" style="597"/>
    <col min="1700" max="1700" width="2.28515625" style="597" customWidth="1"/>
    <col min="1701" max="1701" width="2.140625" style="597" customWidth="1"/>
    <col min="1702" max="1702" width="1.140625" style="597" customWidth="1"/>
    <col min="1703" max="1704" width="2" style="597" customWidth="1"/>
    <col min="1705" max="1706" width="2.140625" style="597" customWidth="1"/>
    <col min="1707" max="1707" width="1.7109375" style="597" customWidth="1"/>
    <col min="1708" max="1708" width="0.85546875" style="597" customWidth="1"/>
    <col min="1709" max="1709" width="2" style="597" customWidth="1"/>
    <col min="1710" max="1710" width="2.140625" style="597" customWidth="1"/>
    <col min="1711" max="1955" width="11.42578125" style="597"/>
    <col min="1956" max="1956" width="2.28515625" style="597" customWidth="1"/>
    <col min="1957" max="1957" width="2.140625" style="597" customWidth="1"/>
    <col min="1958" max="1958" width="1.140625" style="597" customWidth="1"/>
    <col min="1959" max="1960" width="2" style="597" customWidth="1"/>
    <col min="1961" max="1962" width="2.140625" style="597" customWidth="1"/>
    <col min="1963" max="1963" width="1.7109375" style="597" customWidth="1"/>
    <col min="1964" max="1964" width="0.85546875" style="597" customWidth="1"/>
    <col min="1965" max="1965" width="2" style="597" customWidth="1"/>
    <col min="1966" max="1966" width="2.140625" style="597" customWidth="1"/>
    <col min="1967" max="2211" width="11.42578125" style="597"/>
    <col min="2212" max="2212" width="2.28515625" style="597" customWidth="1"/>
    <col min="2213" max="2213" width="2.140625" style="597" customWidth="1"/>
    <col min="2214" max="2214" width="1.140625" style="597" customWidth="1"/>
    <col min="2215" max="2216" width="2" style="597" customWidth="1"/>
    <col min="2217" max="2218" width="2.140625" style="597" customWidth="1"/>
    <col min="2219" max="2219" width="1.7109375" style="597" customWidth="1"/>
    <col min="2220" max="2220" width="0.85546875" style="597" customWidth="1"/>
    <col min="2221" max="2221" width="2" style="597" customWidth="1"/>
    <col min="2222" max="2222" width="2.140625" style="597" customWidth="1"/>
    <col min="2223" max="2467" width="11.42578125" style="597"/>
    <col min="2468" max="2468" width="2.28515625" style="597" customWidth="1"/>
    <col min="2469" max="2469" width="2.140625" style="597" customWidth="1"/>
    <col min="2470" max="2470" width="1.140625" style="597" customWidth="1"/>
    <col min="2471" max="2472" width="2" style="597" customWidth="1"/>
    <col min="2473" max="2474" width="2.140625" style="597" customWidth="1"/>
    <col min="2475" max="2475" width="1.7109375" style="597" customWidth="1"/>
    <col min="2476" max="2476" width="0.85546875" style="597" customWidth="1"/>
    <col min="2477" max="2477" width="2" style="597" customWidth="1"/>
    <col min="2478" max="2478" width="2.140625" style="597" customWidth="1"/>
    <col min="2479" max="2723" width="11.42578125" style="597"/>
    <col min="2724" max="2724" width="2.28515625" style="597" customWidth="1"/>
    <col min="2725" max="2725" width="2.140625" style="597" customWidth="1"/>
    <col min="2726" max="2726" width="1.140625" style="597" customWidth="1"/>
    <col min="2727" max="2728" width="2" style="597" customWidth="1"/>
    <col min="2729" max="2730" width="2.140625" style="597" customWidth="1"/>
    <col min="2731" max="2731" width="1.7109375" style="597" customWidth="1"/>
    <col min="2732" max="2732" width="0.85546875" style="597" customWidth="1"/>
    <col min="2733" max="2733" width="2" style="597" customWidth="1"/>
    <col min="2734" max="2734" width="2.140625" style="597" customWidth="1"/>
    <col min="2735" max="2979" width="11.42578125" style="597"/>
    <col min="2980" max="2980" width="2.28515625" style="597" customWidth="1"/>
    <col min="2981" max="2981" width="2.140625" style="597" customWidth="1"/>
    <col min="2982" max="2982" width="1.140625" style="597" customWidth="1"/>
    <col min="2983" max="2984" width="2" style="597" customWidth="1"/>
    <col min="2985" max="2986" width="2.140625" style="597" customWidth="1"/>
    <col min="2987" max="2987" width="1.7109375" style="597" customWidth="1"/>
    <col min="2988" max="2988" width="0.85546875" style="597" customWidth="1"/>
    <col min="2989" max="2989" width="2" style="597" customWidth="1"/>
    <col min="2990" max="2990" width="2.140625" style="597" customWidth="1"/>
    <col min="2991" max="3235" width="11.42578125" style="597"/>
    <col min="3236" max="3236" width="2.28515625" style="597" customWidth="1"/>
    <col min="3237" max="3237" width="2.140625" style="597" customWidth="1"/>
    <col min="3238" max="3238" width="1.140625" style="597" customWidth="1"/>
    <col min="3239" max="3240" width="2" style="597" customWidth="1"/>
    <col min="3241" max="3242" width="2.140625" style="597" customWidth="1"/>
    <col min="3243" max="3243" width="1.7109375" style="597" customWidth="1"/>
    <col min="3244" max="3244" width="0.85546875" style="597" customWidth="1"/>
    <col min="3245" max="3245" width="2" style="597" customWidth="1"/>
    <col min="3246" max="3246" width="2.140625" style="597" customWidth="1"/>
    <col min="3247" max="3491" width="11.42578125" style="597"/>
    <col min="3492" max="3492" width="2.28515625" style="597" customWidth="1"/>
    <col min="3493" max="3493" width="2.140625" style="597" customWidth="1"/>
    <col min="3494" max="3494" width="1.140625" style="597" customWidth="1"/>
    <col min="3495" max="3496" width="2" style="597" customWidth="1"/>
    <col min="3497" max="3498" width="2.140625" style="597" customWidth="1"/>
    <col min="3499" max="3499" width="1.7109375" style="597" customWidth="1"/>
    <col min="3500" max="3500" width="0.85546875" style="597" customWidth="1"/>
    <col min="3501" max="3501" width="2" style="597" customWidth="1"/>
    <col min="3502" max="3502" width="2.140625" style="597" customWidth="1"/>
    <col min="3503" max="3747" width="11.42578125" style="597"/>
    <col min="3748" max="3748" width="2.28515625" style="597" customWidth="1"/>
    <col min="3749" max="3749" width="2.140625" style="597" customWidth="1"/>
    <col min="3750" max="3750" width="1.140625" style="597" customWidth="1"/>
    <col min="3751" max="3752" width="2" style="597" customWidth="1"/>
    <col min="3753" max="3754" width="2.140625" style="597" customWidth="1"/>
    <col min="3755" max="3755" width="1.7109375" style="597" customWidth="1"/>
    <col min="3756" max="3756" width="0.85546875" style="597" customWidth="1"/>
    <col min="3757" max="3757" width="2" style="597" customWidth="1"/>
    <col min="3758" max="3758" width="2.140625" style="597" customWidth="1"/>
    <col min="3759" max="4003" width="11.42578125" style="597"/>
    <col min="4004" max="4004" width="2.28515625" style="597" customWidth="1"/>
    <col min="4005" max="4005" width="2.140625" style="597" customWidth="1"/>
    <col min="4006" max="4006" width="1.140625" style="597" customWidth="1"/>
    <col min="4007" max="4008" width="2" style="597" customWidth="1"/>
    <col min="4009" max="4010" width="2.140625" style="597" customWidth="1"/>
    <col min="4011" max="4011" width="1.7109375" style="597" customWidth="1"/>
    <col min="4012" max="4012" width="0.85546875" style="597" customWidth="1"/>
    <col min="4013" max="4013" width="2" style="597" customWidth="1"/>
    <col min="4014" max="4014" width="2.140625" style="597" customWidth="1"/>
    <col min="4015" max="4259" width="11.42578125" style="597"/>
    <col min="4260" max="4260" width="2.28515625" style="597" customWidth="1"/>
    <col min="4261" max="4261" width="2.140625" style="597" customWidth="1"/>
    <col min="4262" max="4262" width="1.140625" style="597" customWidth="1"/>
    <col min="4263" max="4264" width="2" style="597" customWidth="1"/>
    <col min="4265" max="4266" width="2.140625" style="597" customWidth="1"/>
    <col min="4267" max="4267" width="1.7109375" style="597" customWidth="1"/>
    <col min="4268" max="4268" width="0.85546875" style="597" customWidth="1"/>
    <col min="4269" max="4269" width="2" style="597" customWidth="1"/>
    <col min="4270" max="4270" width="2.140625" style="597" customWidth="1"/>
    <col min="4271" max="4515" width="11.42578125" style="597"/>
    <col min="4516" max="4516" width="2.28515625" style="597" customWidth="1"/>
    <col min="4517" max="4517" width="2.140625" style="597" customWidth="1"/>
    <col min="4518" max="4518" width="1.140625" style="597" customWidth="1"/>
    <col min="4519" max="4520" width="2" style="597" customWidth="1"/>
    <col min="4521" max="4522" width="2.140625" style="597" customWidth="1"/>
    <col min="4523" max="4523" width="1.7109375" style="597" customWidth="1"/>
    <col min="4524" max="4524" width="0.85546875" style="597" customWidth="1"/>
    <col min="4525" max="4525" width="2" style="597" customWidth="1"/>
    <col min="4526" max="4526" width="2.140625" style="597" customWidth="1"/>
    <col min="4527" max="4771" width="11.42578125" style="597"/>
    <col min="4772" max="4772" width="2.28515625" style="597" customWidth="1"/>
    <col min="4773" max="4773" width="2.140625" style="597" customWidth="1"/>
    <col min="4774" max="4774" width="1.140625" style="597" customWidth="1"/>
    <col min="4775" max="4776" width="2" style="597" customWidth="1"/>
    <col min="4777" max="4778" width="2.140625" style="597" customWidth="1"/>
    <col min="4779" max="4779" width="1.7109375" style="597" customWidth="1"/>
    <col min="4780" max="4780" width="0.85546875" style="597" customWidth="1"/>
    <col min="4781" max="4781" width="2" style="597" customWidth="1"/>
    <col min="4782" max="4782" width="2.140625" style="597" customWidth="1"/>
    <col min="4783" max="5027" width="11.42578125" style="597"/>
    <col min="5028" max="5028" width="2.28515625" style="597" customWidth="1"/>
    <col min="5029" max="5029" width="2.140625" style="597" customWidth="1"/>
    <col min="5030" max="5030" width="1.140625" style="597" customWidth="1"/>
    <col min="5031" max="5032" width="2" style="597" customWidth="1"/>
    <col min="5033" max="5034" width="2.140625" style="597" customWidth="1"/>
    <col min="5035" max="5035" width="1.7109375" style="597" customWidth="1"/>
    <col min="5036" max="5036" width="0.85546875" style="597" customWidth="1"/>
    <col min="5037" max="5037" width="2" style="597" customWidth="1"/>
    <col min="5038" max="5038" width="2.140625" style="597" customWidth="1"/>
    <col min="5039" max="5283" width="11.42578125" style="597"/>
    <col min="5284" max="5284" width="2.28515625" style="597" customWidth="1"/>
    <col min="5285" max="5285" width="2.140625" style="597" customWidth="1"/>
    <col min="5286" max="5286" width="1.140625" style="597" customWidth="1"/>
    <col min="5287" max="5288" width="2" style="597" customWidth="1"/>
    <col min="5289" max="5290" width="2.140625" style="597" customWidth="1"/>
    <col min="5291" max="5291" width="1.7109375" style="597" customWidth="1"/>
    <col min="5292" max="5292" width="0.85546875" style="597" customWidth="1"/>
    <col min="5293" max="5293" width="2" style="597" customWidth="1"/>
    <col min="5294" max="5294" width="2.140625" style="597" customWidth="1"/>
    <col min="5295" max="5539" width="11.42578125" style="597"/>
    <col min="5540" max="5540" width="2.28515625" style="597" customWidth="1"/>
    <col min="5541" max="5541" width="2.140625" style="597" customWidth="1"/>
    <col min="5542" max="5542" width="1.140625" style="597" customWidth="1"/>
    <col min="5543" max="5544" width="2" style="597" customWidth="1"/>
    <col min="5545" max="5546" width="2.140625" style="597" customWidth="1"/>
    <col min="5547" max="5547" width="1.7109375" style="597" customWidth="1"/>
    <col min="5548" max="5548" width="0.85546875" style="597" customWidth="1"/>
    <col min="5549" max="5549" width="2" style="597" customWidth="1"/>
    <col min="5550" max="5550" width="2.140625" style="597" customWidth="1"/>
    <col min="5551" max="5795" width="11.42578125" style="597"/>
    <col min="5796" max="5796" width="2.28515625" style="597" customWidth="1"/>
    <col min="5797" max="5797" width="2.140625" style="597" customWidth="1"/>
    <col min="5798" max="5798" width="1.140625" style="597" customWidth="1"/>
    <col min="5799" max="5800" width="2" style="597" customWidth="1"/>
    <col min="5801" max="5802" width="2.140625" style="597" customWidth="1"/>
    <col min="5803" max="5803" width="1.7109375" style="597" customWidth="1"/>
    <col min="5804" max="5804" width="0.85546875" style="597" customWidth="1"/>
    <col min="5805" max="5805" width="2" style="597" customWidth="1"/>
    <col min="5806" max="5806" width="2.140625" style="597" customWidth="1"/>
    <col min="5807" max="6051" width="11.42578125" style="597"/>
    <col min="6052" max="6052" width="2.28515625" style="597" customWidth="1"/>
    <col min="6053" max="6053" width="2.140625" style="597" customWidth="1"/>
    <col min="6054" max="6054" width="1.140625" style="597" customWidth="1"/>
    <col min="6055" max="6056" width="2" style="597" customWidth="1"/>
    <col min="6057" max="6058" width="2.140625" style="597" customWidth="1"/>
    <col min="6059" max="6059" width="1.7109375" style="597" customWidth="1"/>
    <col min="6060" max="6060" width="0.85546875" style="597" customWidth="1"/>
    <col min="6061" max="6061" width="2" style="597" customWidth="1"/>
    <col min="6062" max="6062" width="2.140625" style="597" customWidth="1"/>
    <col min="6063" max="6307" width="11.42578125" style="597"/>
    <col min="6308" max="6308" width="2.28515625" style="597" customWidth="1"/>
    <col min="6309" max="6309" width="2.140625" style="597" customWidth="1"/>
    <col min="6310" max="6310" width="1.140625" style="597" customWidth="1"/>
    <col min="6311" max="6312" width="2" style="597" customWidth="1"/>
    <col min="6313" max="6314" width="2.140625" style="597" customWidth="1"/>
    <col min="6315" max="6315" width="1.7109375" style="597" customWidth="1"/>
    <col min="6316" max="6316" width="0.85546875" style="597" customWidth="1"/>
    <col min="6317" max="6317" width="2" style="597" customWidth="1"/>
    <col min="6318" max="6318" width="2.140625" style="597" customWidth="1"/>
    <col min="6319" max="6563" width="11.42578125" style="597"/>
    <col min="6564" max="6564" width="2.28515625" style="597" customWidth="1"/>
    <col min="6565" max="6565" width="2.140625" style="597" customWidth="1"/>
    <col min="6566" max="6566" width="1.140625" style="597" customWidth="1"/>
    <col min="6567" max="6568" width="2" style="597" customWidth="1"/>
    <col min="6569" max="6570" width="2.140625" style="597" customWidth="1"/>
    <col min="6571" max="6571" width="1.7109375" style="597" customWidth="1"/>
    <col min="6572" max="6572" width="0.85546875" style="597" customWidth="1"/>
    <col min="6573" max="6573" width="2" style="597" customWidth="1"/>
    <col min="6574" max="6574" width="2.140625" style="597" customWidth="1"/>
    <col min="6575" max="6819" width="11.42578125" style="597"/>
    <col min="6820" max="6820" width="2.28515625" style="597" customWidth="1"/>
    <col min="6821" max="6821" width="2.140625" style="597" customWidth="1"/>
    <col min="6822" max="6822" width="1.140625" style="597" customWidth="1"/>
    <col min="6823" max="6824" width="2" style="597" customWidth="1"/>
    <col min="6825" max="6826" width="2.140625" style="597" customWidth="1"/>
    <col min="6827" max="6827" width="1.7109375" style="597" customWidth="1"/>
    <col min="6828" max="6828" width="0.85546875" style="597" customWidth="1"/>
    <col min="6829" max="6829" width="2" style="597" customWidth="1"/>
    <col min="6830" max="6830" width="2.140625" style="597" customWidth="1"/>
    <col min="6831" max="7075" width="11.42578125" style="597"/>
    <col min="7076" max="7076" width="2.28515625" style="597" customWidth="1"/>
    <col min="7077" max="7077" width="2.140625" style="597" customWidth="1"/>
    <col min="7078" max="7078" width="1.140625" style="597" customWidth="1"/>
    <col min="7079" max="7080" width="2" style="597" customWidth="1"/>
    <col min="7081" max="7082" width="2.140625" style="597" customWidth="1"/>
    <col min="7083" max="7083" width="1.7109375" style="597" customWidth="1"/>
    <col min="7084" max="7084" width="0.85546875" style="597" customWidth="1"/>
    <col min="7085" max="7085" width="2" style="597" customWidth="1"/>
    <col min="7086" max="7086" width="2.140625" style="597" customWidth="1"/>
    <col min="7087" max="7331" width="11.42578125" style="597"/>
    <col min="7332" max="7332" width="2.28515625" style="597" customWidth="1"/>
    <col min="7333" max="7333" width="2.140625" style="597" customWidth="1"/>
    <col min="7334" max="7334" width="1.140625" style="597" customWidth="1"/>
    <col min="7335" max="7336" width="2" style="597" customWidth="1"/>
    <col min="7337" max="7338" width="2.140625" style="597" customWidth="1"/>
    <col min="7339" max="7339" width="1.7109375" style="597" customWidth="1"/>
    <col min="7340" max="7340" width="0.85546875" style="597" customWidth="1"/>
    <col min="7341" max="7341" width="2" style="597" customWidth="1"/>
    <col min="7342" max="7342" width="2.140625" style="597" customWidth="1"/>
    <col min="7343" max="7587" width="11.42578125" style="597"/>
    <col min="7588" max="7588" width="2.28515625" style="597" customWidth="1"/>
    <col min="7589" max="7589" width="2.140625" style="597" customWidth="1"/>
    <col min="7590" max="7590" width="1.140625" style="597" customWidth="1"/>
    <col min="7591" max="7592" width="2" style="597" customWidth="1"/>
    <col min="7593" max="7594" width="2.140625" style="597" customWidth="1"/>
    <col min="7595" max="7595" width="1.7109375" style="597" customWidth="1"/>
    <col min="7596" max="7596" width="0.85546875" style="597" customWidth="1"/>
    <col min="7597" max="7597" width="2" style="597" customWidth="1"/>
    <col min="7598" max="7598" width="2.140625" style="597" customWidth="1"/>
    <col min="7599" max="7843" width="11.42578125" style="597"/>
    <col min="7844" max="7844" width="2.28515625" style="597" customWidth="1"/>
    <col min="7845" max="7845" width="2.140625" style="597" customWidth="1"/>
    <col min="7846" max="7846" width="1.140625" style="597" customWidth="1"/>
    <col min="7847" max="7848" width="2" style="597" customWidth="1"/>
    <col min="7849" max="7850" width="2.140625" style="597" customWidth="1"/>
    <col min="7851" max="7851" width="1.7109375" style="597" customWidth="1"/>
    <col min="7852" max="7852" width="0.85546875" style="597" customWidth="1"/>
    <col min="7853" max="7853" width="2" style="597" customWidth="1"/>
    <col min="7854" max="7854" width="2.140625" style="597" customWidth="1"/>
    <col min="7855" max="8099" width="11.42578125" style="597"/>
    <col min="8100" max="8100" width="2.28515625" style="597" customWidth="1"/>
    <col min="8101" max="8101" width="2.140625" style="597" customWidth="1"/>
    <col min="8102" max="8102" width="1.140625" style="597" customWidth="1"/>
    <col min="8103" max="8104" width="2" style="597" customWidth="1"/>
    <col min="8105" max="8106" width="2.140625" style="597" customWidth="1"/>
    <col min="8107" max="8107" width="1.7109375" style="597" customWidth="1"/>
    <col min="8108" max="8108" width="0.85546875" style="597" customWidth="1"/>
    <col min="8109" max="8109" width="2" style="597" customWidth="1"/>
    <col min="8110" max="8110" width="2.140625" style="597" customWidth="1"/>
    <col min="8111" max="8355" width="11.42578125" style="597"/>
    <col min="8356" max="8356" width="2.28515625" style="597" customWidth="1"/>
    <col min="8357" max="8357" width="2.140625" style="597" customWidth="1"/>
    <col min="8358" max="8358" width="1.140625" style="597" customWidth="1"/>
    <col min="8359" max="8360" width="2" style="597" customWidth="1"/>
    <col min="8361" max="8362" width="2.140625" style="597" customWidth="1"/>
    <col min="8363" max="8363" width="1.7109375" style="597" customWidth="1"/>
    <col min="8364" max="8364" width="0.85546875" style="597" customWidth="1"/>
    <col min="8365" max="8365" width="2" style="597" customWidth="1"/>
    <col min="8366" max="8366" width="2.140625" style="597" customWidth="1"/>
    <col min="8367" max="8611" width="11.42578125" style="597"/>
    <col min="8612" max="8612" width="2.28515625" style="597" customWidth="1"/>
    <col min="8613" max="8613" width="2.140625" style="597" customWidth="1"/>
    <col min="8614" max="8614" width="1.140625" style="597" customWidth="1"/>
    <col min="8615" max="8616" width="2" style="597" customWidth="1"/>
    <col min="8617" max="8618" width="2.140625" style="597" customWidth="1"/>
    <col min="8619" max="8619" width="1.7109375" style="597" customWidth="1"/>
    <col min="8620" max="8620" width="0.85546875" style="597" customWidth="1"/>
    <col min="8621" max="8621" width="2" style="597" customWidth="1"/>
    <col min="8622" max="8622" width="2.140625" style="597" customWidth="1"/>
    <col min="8623" max="8867" width="11.42578125" style="597"/>
    <col min="8868" max="8868" width="2.28515625" style="597" customWidth="1"/>
    <col min="8869" max="8869" width="2.140625" style="597" customWidth="1"/>
    <col min="8870" max="8870" width="1.140625" style="597" customWidth="1"/>
    <col min="8871" max="8872" width="2" style="597" customWidth="1"/>
    <col min="8873" max="8874" width="2.140625" style="597" customWidth="1"/>
    <col min="8875" max="8875" width="1.7109375" style="597" customWidth="1"/>
    <col min="8876" max="8876" width="0.85546875" style="597" customWidth="1"/>
    <col min="8877" max="8877" width="2" style="597" customWidth="1"/>
    <col min="8878" max="8878" width="2.140625" style="597" customWidth="1"/>
    <col min="8879" max="9123" width="11.42578125" style="597"/>
    <col min="9124" max="9124" width="2.28515625" style="597" customWidth="1"/>
    <col min="9125" max="9125" width="2.140625" style="597" customWidth="1"/>
    <col min="9126" max="9126" width="1.140625" style="597" customWidth="1"/>
    <col min="9127" max="9128" width="2" style="597" customWidth="1"/>
    <col min="9129" max="9130" width="2.140625" style="597" customWidth="1"/>
    <col min="9131" max="9131" width="1.7109375" style="597" customWidth="1"/>
    <col min="9132" max="9132" width="0.85546875" style="597" customWidth="1"/>
    <col min="9133" max="9133" width="2" style="597" customWidth="1"/>
    <col min="9134" max="9134" width="2.140625" style="597" customWidth="1"/>
    <col min="9135" max="9379" width="11.42578125" style="597"/>
    <col min="9380" max="9380" width="2.28515625" style="597" customWidth="1"/>
    <col min="9381" max="9381" width="2.140625" style="597" customWidth="1"/>
    <col min="9382" max="9382" width="1.140625" style="597" customWidth="1"/>
    <col min="9383" max="9384" width="2" style="597" customWidth="1"/>
    <col min="9385" max="9386" width="2.140625" style="597" customWidth="1"/>
    <col min="9387" max="9387" width="1.7109375" style="597" customWidth="1"/>
    <col min="9388" max="9388" width="0.85546875" style="597" customWidth="1"/>
    <col min="9389" max="9389" width="2" style="597" customWidth="1"/>
    <col min="9390" max="9390" width="2.140625" style="597" customWidth="1"/>
    <col min="9391" max="9635" width="11.42578125" style="597"/>
    <col min="9636" max="9636" width="2.28515625" style="597" customWidth="1"/>
    <col min="9637" max="9637" width="2.140625" style="597" customWidth="1"/>
    <col min="9638" max="9638" width="1.140625" style="597" customWidth="1"/>
    <col min="9639" max="9640" width="2" style="597" customWidth="1"/>
    <col min="9641" max="9642" width="2.140625" style="597" customWidth="1"/>
    <col min="9643" max="9643" width="1.7109375" style="597" customWidth="1"/>
    <col min="9644" max="9644" width="0.85546875" style="597" customWidth="1"/>
    <col min="9645" max="9645" width="2" style="597" customWidth="1"/>
    <col min="9646" max="9646" width="2.140625" style="597" customWidth="1"/>
    <col min="9647" max="9891" width="11.42578125" style="597"/>
    <col min="9892" max="9892" width="2.28515625" style="597" customWidth="1"/>
    <col min="9893" max="9893" width="2.140625" style="597" customWidth="1"/>
    <col min="9894" max="9894" width="1.140625" style="597" customWidth="1"/>
    <col min="9895" max="9896" width="2" style="597" customWidth="1"/>
    <col min="9897" max="9898" width="2.140625" style="597" customWidth="1"/>
    <col min="9899" max="9899" width="1.7109375" style="597" customWidth="1"/>
    <col min="9900" max="9900" width="0.85546875" style="597" customWidth="1"/>
    <col min="9901" max="9901" width="2" style="597" customWidth="1"/>
    <col min="9902" max="9902" width="2.140625" style="597" customWidth="1"/>
    <col min="9903" max="10147" width="11.42578125" style="597"/>
    <col min="10148" max="10148" width="2.28515625" style="597" customWidth="1"/>
    <col min="10149" max="10149" width="2.140625" style="597" customWidth="1"/>
    <col min="10150" max="10150" width="1.140625" style="597" customWidth="1"/>
    <col min="10151" max="10152" width="2" style="597" customWidth="1"/>
    <col min="10153" max="10154" width="2.140625" style="597" customWidth="1"/>
    <col min="10155" max="10155" width="1.7109375" style="597" customWidth="1"/>
    <col min="10156" max="10156" width="0.85546875" style="597" customWidth="1"/>
    <col min="10157" max="10157" width="2" style="597" customWidth="1"/>
    <col min="10158" max="10158" width="2.140625" style="597" customWidth="1"/>
    <col min="10159" max="10403" width="11.42578125" style="597"/>
    <col min="10404" max="10404" width="2.28515625" style="597" customWidth="1"/>
    <col min="10405" max="10405" width="2.140625" style="597" customWidth="1"/>
    <col min="10406" max="10406" width="1.140625" style="597" customWidth="1"/>
    <col min="10407" max="10408" width="2" style="597" customWidth="1"/>
    <col min="10409" max="10410" width="2.140625" style="597" customWidth="1"/>
    <col min="10411" max="10411" width="1.7109375" style="597" customWidth="1"/>
    <col min="10412" max="10412" width="0.85546875" style="597" customWidth="1"/>
    <col min="10413" max="10413" width="2" style="597" customWidth="1"/>
    <col min="10414" max="10414" width="2.140625" style="597" customWidth="1"/>
    <col min="10415" max="10659" width="11.42578125" style="597"/>
    <col min="10660" max="10660" width="2.28515625" style="597" customWidth="1"/>
    <col min="10661" max="10661" width="2.140625" style="597" customWidth="1"/>
    <col min="10662" max="10662" width="1.140625" style="597" customWidth="1"/>
    <col min="10663" max="10664" width="2" style="597" customWidth="1"/>
    <col min="10665" max="10666" width="2.140625" style="597" customWidth="1"/>
    <col min="10667" max="10667" width="1.7109375" style="597" customWidth="1"/>
    <col min="10668" max="10668" width="0.85546875" style="597" customWidth="1"/>
    <col min="10669" max="10669" width="2" style="597" customWidth="1"/>
    <col min="10670" max="10670" width="2.140625" style="597" customWidth="1"/>
    <col min="10671" max="10915" width="11.42578125" style="597"/>
    <col min="10916" max="10916" width="2.28515625" style="597" customWidth="1"/>
    <col min="10917" max="10917" width="2.140625" style="597" customWidth="1"/>
    <col min="10918" max="10918" width="1.140625" style="597" customWidth="1"/>
    <col min="10919" max="10920" width="2" style="597" customWidth="1"/>
    <col min="10921" max="10922" width="2.140625" style="597" customWidth="1"/>
    <col min="10923" max="10923" width="1.7109375" style="597" customWidth="1"/>
    <col min="10924" max="10924" width="0.85546875" style="597" customWidth="1"/>
    <col min="10925" max="10925" width="2" style="597" customWidth="1"/>
    <col min="10926" max="10926" width="2.140625" style="597" customWidth="1"/>
    <col min="10927" max="11171" width="11.42578125" style="597"/>
    <col min="11172" max="11172" width="2.28515625" style="597" customWidth="1"/>
    <col min="11173" max="11173" width="2.140625" style="597" customWidth="1"/>
    <col min="11174" max="11174" width="1.140625" style="597" customWidth="1"/>
    <col min="11175" max="11176" width="2" style="597" customWidth="1"/>
    <col min="11177" max="11178" width="2.140625" style="597" customWidth="1"/>
    <col min="11179" max="11179" width="1.7109375" style="597" customWidth="1"/>
    <col min="11180" max="11180" width="0.85546875" style="597" customWidth="1"/>
    <col min="11181" max="11181" width="2" style="597" customWidth="1"/>
    <col min="11182" max="11182" width="2.140625" style="597" customWidth="1"/>
    <col min="11183" max="11427" width="11.42578125" style="597"/>
    <col min="11428" max="11428" width="2.28515625" style="597" customWidth="1"/>
    <col min="11429" max="11429" width="2.140625" style="597" customWidth="1"/>
    <col min="11430" max="11430" width="1.140625" style="597" customWidth="1"/>
    <col min="11431" max="11432" width="2" style="597" customWidth="1"/>
    <col min="11433" max="11434" width="2.140625" style="597" customWidth="1"/>
    <col min="11435" max="11435" width="1.7109375" style="597" customWidth="1"/>
    <col min="11436" max="11436" width="0.85546875" style="597" customWidth="1"/>
    <col min="11437" max="11437" width="2" style="597" customWidth="1"/>
    <col min="11438" max="11438" width="2.140625" style="597" customWidth="1"/>
    <col min="11439" max="11683" width="11.42578125" style="597"/>
    <col min="11684" max="11684" width="2.28515625" style="597" customWidth="1"/>
    <col min="11685" max="11685" width="2.140625" style="597" customWidth="1"/>
    <col min="11686" max="11686" width="1.140625" style="597" customWidth="1"/>
    <col min="11687" max="11688" width="2" style="597" customWidth="1"/>
    <col min="11689" max="11690" width="2.140625" style="597" customWidth="1"/>
    <col min="11691" max="11691" width="1.7109375" style="597" customWidth="1"/>
    <col min="11692" max="11692" width="0.85546875" style="597" customWidth="1"/>
    <col min="11693" max="11693" width="2" style="597" customWidth="1"/>
    <col min="11694" max="11694" width="2.140625" style="597" customWidth="1"/>
    <col min="11695" max="11939" width="11.42578125" style="597"/>
    <col min="11940" max="11940" width="2.28515625" style="597" customWidth="1"/>
    <col min="11941" max="11941" width="2.140625" style="597" customWidth="1"/>
    <col min="11942" max="11942" width="1.140625" style="597" customWidth="1"/>
    <col min="11943" max="11944" width="2" style="597" customWidth="1"/>
    <col min="11945" max="11946" width="2.140625" style="597" customWidth="1"/>
    <col min="11947" max="11947" width="1.7109375" style="597" customWidth="1"/>
    <col min="11948" max="11948" width="0.85546875" style="597" customWidth="1"/>
    <col min="11949" max="11949" width="2" style="597" customWidth="1"/>
    <col min="11950" max="11950" width="2.140625" style="597" customWidth="1"/>
    <col min="11951" max="12195" width="11.42578125" style="597"/>
    <col min="12196" max="12196" width="2.28515625" style="597" customWidth="1"/>
    <col min="12197" max="12197" width="2.140625" style="597" customWidth="1"/>
    <col min="12198" max="12198" width="1.140625" style="597" customWidth="1"/>
    <col min="12199" max="12200" width="2" style="597" customWidth="1"/>
    <col min="12201" max="12202" width="2.140625" style="597" customWidth="1"/>
    <col min="12203" max="12203" width="1.7109375" style="597" customWidth="1"/>
    <col min="12204" max="12204" width="0.85546875" style="597" customWidth="1"/>
    <col min="12205" max="12205" width="2" style="597" customWidth="1"/>
    <col min="12206" max="12206" width="2.140625" style="597" customWidth="1"/>
    <col min="12207" max="12451" width="11.42578125" style="597"/>
    <col min="12452" max="12452" width="2.28515625" style="597" customWidth="1"/>
    <col min="12453" max="12453" width="2.140625" style="597" customWidth="1"/>
    <col min="12454" max="12454" width="1.140625" style="597" customWidth="1"/>
    <col min="12455" max="12456" width="2" style="597" customWidth="1"/>
    <col min="12457" max="12458" width="2.140625" style="597" customWidth="1"/>
    <col min="12459" max="12459" width="1.7109375" style="597" customWidth="1"/>
    <col min="12460" max="12460" width="0.85546875" style="597" customWidth="1"/>
    <col min="12461" max="12461" width="2" style="597" customWidth="1"/>
    <col min="12462" max="12462" width="2.140625" style="597" customWidth="1"/>
    <col min="12463" max="12707" width="11.42578125" style="597"/>
    <col min="12708" max="12708" width="2.28515625" style="597" customWidth="1"/>
    <col min="12709" max="12709" width="2.140625" style="597" customWidth="1"/>
    <col min="12710" max="12710" width="1.140625" style="597" customWidth="1"/>
    <col min="12711" max="12712" width="2" style="597" customWidth="1"/>
    <col min="12713" max="12714" width="2.140625" style="597" customWidth="1"/>
    <col min="12715" max="12715" width="1.7109375" style="597" customWidth="1"/>
    <col min="12716" max="12716" width="0.85546875" style="597" customWidth="1"/>
    <col min="12717" max="12717" width="2" style="597" customWidth="1"/>
    <col min="12718" max="12718" width="2.140625" style="597" customWidth="1"/>
    <col min="12719" max="12963" width="11.42578125" style="597"/>
    <col min="12964" max="12964" width="2.28515625" style="597" customWidth="1"/>
    <col min="12965" max="12965" width="2.140625" style="597" customWidth="1"/>
    <col min="12966" max="12966" width="1.140625" style="597" customWidth="1"/>
    <col min="12967" max="12968" width="2" style="597" customWidth="1"/>
    <col min="12969" max="12970" width="2.140625" style="597" customWidth="1"/>
    <col min="12971" max="12971" width="1.7109375" style="597" customWidth="1"/>
    <col min="12972" max="12972" width="0.85546875" style="597" customWidth="1"/>
    <col min="12973" max="12973" width="2" style="597" customWidth="1"/>
    <col min="12974" max="12974" width="2.140625" style="597" customWidth="1"/>
    <col min="12975" max="13219" width="11.42578125" style="597"/>
    <col min="13220" max="13220" width="2.28515625" style="597" customWidth="1"/>
    <col min="13221" max="13221" width="2.140625" style="597" customWidth="1"/>
    <col min="13222" max="13222" width="1.140625" style="597" customWidth="1"/>
    <col min="13223" max="13224" width="2" style="597" customWidth="1"/>
    <col min="13225" max="13226" width="2.140625" style="597" customWidth="1"/>
    <col min="13227" max="13227" width="1.7109375" style="597" customWidth="1"/>
    <col min="13228" max="13228" width="0.85546875" style="597" customWidth="1"/>
    <col min="13229" max="13229" width="2" style="597" customWidth="1"/>
    <col min="13230" max="13230" width="2.140625" style="597" customWidth="1"/>
    <col min="13231" max="13475" width="11.42578125" style="597"/>
    <col min="13476" max="13476" width="2.28515625" style="597" customWidth="1"/>
    <col min="13477" max="13477" width="2.140625" style="597" customWidth="1"/>
    <col min="13478" max="13478" width="1.140625" style="597" customWidth="1"/>
    <col min="13479" max="13480" width="2" style="597" customWidth="1"/>
    <col min="13481" max="13482" width="2.140625" style="597" customWidth="1"/>
    <col min="13483" max="13483" width="1.7109375" style="597" customWidth="1"/>
    <col min="13484" max="13484" width="0.85546875" style="597" customWidth="1"/>
    <col min="13485" max="13485" width="2" style="597" customWidth="1"/>
    <col min="13486" max="13486" width="2.140625" style="597" customWidth="1"/>
    <col min="13487" max="13731" width="11.42578125" style="597"/>
    <col min="13732" max="13732" width="2.28515625" style="597" customWidth="1"/>
    <col min="13733" max="13733" width="2.140625" style="597" customWidth="1"/>
    <col min="13734" max="13734" width="1.140625" style="597" customWidth="1"/>
    <col min="13735" max="13736" width="2" style="597" customWidth="1"/>
    <col min="13737" max="13738" width="2.140625" style="597" customWidth="1"/>
    <col min="13739" max="13739" width="1.7109375" style="597" customWidth="1"/>
    <col min="13740" max="13740" width="0.85546875" style="597" customWidth="1"/>
    <col min="13741" max="13741" width="2" style="597" customWidth="1"/>
    <col min="13742" max="13742" width="2.140625" style="597" customWidth="1"/>
    <col min="13743" max="13987" width="11.42578125" style="597"/>
    <col min="13988" max="13988" width="2.28515625" style="597" customWidth="1"/>
    <col min="13989" max="13989" width="2.140625" style="597" customWidth="1"/>
    <col min="13990" max="13990" width="1.140625" style="597" customWidth="1"/>
    <col min="13991" max="13992" width="2" style="597" customWidth="1"/>
    <col min="13993" max="13994" width="2.140625" style="597" customWidth="1"/>
    <col min="13995" max="13995" width="1.7109375" style="597" customWidth="1"/>
    <col min="13996" max="13996" width="0.85546875" style="597" customWidth="1"/>
    <col min="13997" max="13997" width="2" style="597" customWidth="1"/>
    <col min="13998" max="13998" width="2.140625" style="597" customWidth="1"/>
    <col min="13999" max="14243" width="11.42578125" style="597"/>
    <col min="14244" max="14244" width="2.28515625" style="597" customWidth="1"/>
    <col min="14245" max="14245" width="2.140625" style="597" customWidth="1"/>
    <col min="14246" max="14246" width="1.140625" style="597" customWidth="1"/>
    <col min="14247" max="14248" width="2" style="597" customWidth="1"/>
    <col min="14249" max="14250" width="2.140625" style="597" customWidth="1"/>
    <col min="14251" max="14251" width="1.7109375" style="597" customWidth="1"/>
    <col min="14252" max="14252" width="0.85546875" style="597" customWidth="1"/>
    <col min="14253" max="14253" width="2" style="597" customWidth="1"/>
    <col min="14254" max="14254" width="2.140625" style="597" customWidth="1"/>
    <col min="14255" max="14499" width="11.42578125" style="597"/>
    <col min="14500" max="14500" width="2.28515625" style="597" customWidth="1"/>
    <col min="14501" max="14501" width="2.140625" style="597" customWidth="1"/>
    <col min="14502" max="14502" width="1.140625" style="597" customWidth="1"/>
    <col min="14503" max="14504" width="2" style="597" customWidth="1"/>
    <col min="14505" max="14506" width="2.140625" style="597" customWidth="1"/>
    <col min="14507" max="14507" width="1.7109375" style="597" customWidth="1"/>
    <col min="14508" max="14508" width="0.85546875" style="597" customWidth="1"/>
    <col min="14509" max="14509" width="2" style="597" customWidth="1"/>
    <col min="14510" max="14510" width="2.140625" style="597" customWidth="1"/>
    <col min="14511" max="14755" width="11.42578125" style="597"/>
    <col min="14756" max="14756" width="2.28515625" style="597" customWidth="1"/>
    <col min="14757" max="14757" width="2.140625" style="597" customWidth="1"/>
    <col min="14758" max="14758" width="1.140625" style="597" customWidth="1"/>
    <col min="14759" max="14760" width="2" style="597" customWidth="1"/>
    <col min="14761" max="14762" width="2.140625" style="597" customWidth="1"/>
    <col min="14763" max="14763" width="1.7109375" style="597" customWidth="1"/>
    <col min="14764" max="14764" width="0.85546875" style="597" customWidth="1"/>
    <col min="14765" max="14765" width="2" style="597" customWidth="1"/>
    <col min="14766" max="14766" width="2.140625" style="597" customWidth="1"/>
    <col min="14767" max="15011" width="11.42578125" style="597"/>
    <col min="15012" max="15012" width="2.28515625" style="597" customWidth="1"/>
    <col min="15013" max="15013" width="2.140625" style="597" customWidth="1"/>
    <col min="15014" max="15014" width="1.140625" style="597" customWidth="1"/>
    <col min="15015" max="15016" width="2" style="597" customWidth="1"/>
    <col min="15017" max="15018" width="2.140625" style="597" customWidth="1"/>
    <col min="15019" max="15019" width="1.7109375" style="597" customWidth="1"/>
    <col min="15020" max="15020" width="0.85546875" style="597" customWidth="1"/>
    <col min="15021" max="15021" width="2" style="597" customWidth="1"/>
    <col min="15022" max="15022" width="2.140625" style="597" customWidth="1"/>
    <col min="15023" max="15267" width="11.42578125" style="597"/>
    <col min="15268" max="15268" width="2.28515625" style="597" customWidth="1"/>
    <col min="15269" max="15269" width="2.140625" style="597" customWidth="1"/>
    <col min="15270" max="15270" width="1.140625" style="597" customWidth="1"/>
    <col min="15271" max="15272" width="2" style="597" customWidth="1"/>
    <col min="15273" max="15274" width="2.140625" style="597" customWidth="1"/>
    <col min="15275" max="15275" width="1.7109375" style="597" customWidth="1"/>
    <col min="15276" max="15276" width="0.85546875" style="597" customWidth="1"/>
    <col min="15277" max="15277" width="2" style="597" customWidth="1"/>
    <col min="15278" max="15278" width="2.140625" style="597" customWidth="1"/>
    <col min="15279" max="15523" width="11.42578125" style="597"/>
    <col min="15524" max="15524" width="2.28515625" style="597" customWidth="1"/>
    <col min="15525" max="15525" width="2.140625" style="597" customWidth="1"/>
    <col min="15526" max="15526" width="1.140625" style="597" customWidth="1"/>
    <col min="15527" max="15528" width="2" style="597" customWidth="1"/>
    <col min="15529" max="15530" width="2.140625" style="597" customWidth="1"/>
    <col min="15531" max="15531" width="1.7109375" style="597" customWidth="1"/>
    <col min="15532" max="15532" width="0.85546875" style="597" customWidth="1"/>
    <col min="15533" max="15533" width="2" style="597" customWidth="1"/>
    <col min="15534" max="15534" width="2.140625" style="597" customWidth="1"/>
    <col min="15535" max="15779" width="11.42578125" style="597"/>
    <col min="15780" max="15780" width="2.28515625" style="597" customWidth="1"/>
    <col min="15781" max="15781" width="2.140625" style="597" customWidth="1"/>
    <col min="15782" max="15782" width="1.140625" style="597" customWidth="1"/>
    <col min="15783" max="15784" width="2" style="597" customWidth="1"/>
    <col min="15785" max="15786" width="2.140625" style="597" customWidth="1"/>
    <col min="15787" max="15787" width="1.7109375" style="597" customWidth="1"/>
    <col min="15788" max="15788" width="0.85546875" style="597" customWidth="1"/>
    <col min="15789" max="15789" width="2" style="597" customWidth="1"/>
    <col min="15790" max="15790" width="2.140625" style="597" customWidth="1"/>
    <col min="15791" max="16035" width="11.42578125" style="597"/>
    <col min="16036" max="16036" width="2.28515625" style="597" customWidth="1"/>
    <col min="16037" max="16037" width="2.140625" style="597" customWidth="1"/>
    <col min="16038" max="16038" width="1.140625" style="597" customWidth="1"/>
    <col min="16039" max="16040" width="2" style="597" customWidth="1"/>
    <col min="16041" max="16042" width="2.140625" style="597" customWidth="1"/>
    <col min="16043" max="16043" width="1.7109375" style="597" customWidth="1"/>
    <col min="16044" max="16044" width="0.85546875" style="597" customWidth="1"/>
    <col min="16045" max="16045" width="2" style="597" customWidth="1"/>
    <col min="16046" max="16046" width="2.140625" style="597" customWidth="1"/>
    <col min="16047" max="16384" width="11.42578125" style="597"/>
  </cols>
  <sheetData>
    <row r="2" spans="2:15" ht="57.75" customHeight="1"/>
    <row r="4" spans="2:15">
      <c r="B4" s="479"/>
      <c r="C4" s="479"/>
      <c r="D4" s="479"/>
      <c r="E4" s="479"/>
      <c r="F4" s="479"/>
      <c r="G4" s="479"/>
      <c r="H4" s="512"/>
      <c r="I4" s="512"/>
      <c r="J4" s="512"/>
      <c r="K4" s="479"/>
      <c r="L4" s="511"/>
    </row>
    <row r="5" spans="2:15" ht="42" customHeight="1">
      <c r="B5" s="479"/>
      <c r="C5" s="969" t="s">
        <v>19</v>
      </c>
      <c r="D5" s="970"/>
      <c r="E5" s="479"/>
      <c r="F5" s="971" t="s">
        <v>20</v>
      </c>
      <c r="G5" s="972"/>
      <c r="H5" s="972"/>
      <c r="I5" s="972"/>
      <c r="J5" s="972"/>
      <c r="K5" s="973"/>
      <c r="L5" s="729"/>
    </row>
    <row r="6" spans="2:15" s="595" customFormat="1" ht="53.25" customHeight="1">
      <c r="B6" s="699" t="s">
        <v>21</v>
      </c>
      <c r="C6" s="700" t="s">
        <v>22</v>
      </c>
      <c r="D6" s="701" t="s">
        <v>23</v>
      </c>
      <c r="E6" s="702" t="s">
        <v>24</v>
      </c>
      <c r="F6" s="703" t="s">
        <v>25</v>
      </c>
      <c r="G6" s="704" t="s">
        <v>26</v>
      </c>
      <c r="H6" s="705" t="s">
        <v>27</v>
      </c>
      <c r="I6" s="730" t="s">
        <v>28</v>
      </c>
      <c r="J6" s="731" t="s">
        <v>29</v>
      </c>
      <c r="K6" s="705" t="s">
        <v>30</v>
      </c>
      <c r="L6" s="732" t="s">
        <v>31</v>
      </c>
      <c r="N6" s="937"/>
    </row>
    <row r="7" spans="2:15">
      <c r="B7" s="706" t="s">
        <v>32</v>
      </c>
      <c r="C7" s="489">
        <f>RESUMEN!B5</f>
        <v>93186605861</v>
      </c>
      <c r="D7" s="707">
        <f t="shared" ref="D7:D13" si="0">C7/C$13</f>
        <v>0.21501633010917406</v>
      </c>
      <c r="E7" s="708">
        <f>RESUMEN!C5</f>
        <v>31468023844</v>
      </c>
      <c r="F7" s="709">
        <f>RESUMEN!D5</f>
        <v>17685010467.999992</v>
      </c>
      <c r="G7" s="710">
        <f t="shared" ref="G7:G12" si="1">F7/F$13</f>
        <v>0.16034200040561478</v>
      </c>
      <c r="H7" s="510">
        <f>RESUMEN!E5</f>
        <v>9349256892</v>
      </c>
      <c r="I7" s="733">
        <f t="shared" ref="I7:I12" si="2">+F7-H7</f>
        <v>8335753575.9999924</v>
      </c>
      <c r="J7" s="734">
        <f>RESUMEN!F5</f>
        <v>8335753575.9999933</v>
      </c>
      <c r="K7" s="735">
        <f>H7/F7</f>
        <v>0.52865430353671217</v>
      </c>
      <c r="L7" s="736">
        <f>+VLOOKUP(B7,RESUMEN!$A$5:$G$10,7,FALSE)</f>
        <v>44033571549.000015</v>
      </c>
      <c r="N7" s="936">
        <v>17674519537</v>
      </c>
      <c r="O7" s="936">
        <f t="shared" ref="O7:O13" si="3">+N7-F7</f>
        <v>-10490930.999992371</v>
      </c>
    </row>
    <row r="8" spans="2:15">
      <c r="B8" s="529" t="s">
        <v>33</v>
      </c>
      <c r="C8" s="496">
        <f>RESUMEN!B6</f>
        <v>113404416519</v>
      </c>
      <c r="D8" s="711">
        <f t="shared" si="0"/>
        <v>0.26166637611481636</v>
      </c>
      <c r="E8" s="712">
        <f>RESUMEN!C6</f>
        <v>28678511839</v>
      </c>
      <c r="F8" s="713">
        <f>RESUMEN!D6</f>
        <v>25307496695</v>
      </c>
      <c r="G8" s="714">
        <f t="shared" si="1"/>
        <v>0.22945163943652952</v>
      </c>
      <c r="H8" s="715">
        <f>RESUMEN!E6</f>
        <v>11161729473</v>
      </c>
      <c r="I8" s="737">
        <f t="shared" si="2"/>
        <v>14145767222</v>
      </c>
      <c r="J8" s="738">
        <f>RESUMEN!F6</f>
        <v>14145767222</v>
      </c>
      <c r="K8" s="739">
        <f t="shared" ref="K8:K12" si="4">H8/F8</f>
        <v>0.44104439121413463</v>
      </c>
      <c r="L8" s="740">
        <f>+VLOOKUP(B8,RESUMEN!$A$5:$G$10,7,FALSE)</f>
        <v>59418407985</v>
      </c>
      <c r="N8" s="936">
        <v>25308515564</v>
      </c>
      <c r="O8" s="936">
        <f t="shared" si="3"/>
        <v>1018869</v>
      </c>
    </row>
    <row r="9" spans="2:15">
      <c r="B9" s="529" t="s">
        <v>34</v>
      </c>
      <c r="C9" s="496">
        <f>RESUMEN!B7</f>
        <v>64335175440</v>
      </c>
      <c r="D9" s="711">
        <f t="shared" si="0"/>
        <v>0.14844529631943634</v>
      </c>
      <c r="E9" s="712">
        <f>RESUMEN!C7</f>
        <v>20510004027</v>
      </c>
      <c r="F9" s="713">
        <f>RESUMEN!D7</f>
        <v>19920486762.333336</v>
      </c>
      <c r="G9" s="714">
        <f t="shared" si="1"/>
        <v>0.18061005405145891</v>
      </c>
      <c r="H9" s="715">
        <f>RESUMEN!E7</f>
        <v>9483088978</v>
      </c>
      <c r="I9" s="737">
        <f t="shared" si="2"/>
        <v>10437397784.333336</v>
      </c>
      <c r="J9" s="738">
        <f>RESUMEN!F7</f>
        <v>10437397784.333336</v>
      </c>
      <c r="K9" s="739">
        <f t="shared" si="4"/>
        <v>0.47604705101539507</v>
      </c>
      <c r="L9" s="740">
        <f>+VLOOKUP(B9,RESUMEN!$A$5:$G$10,7,FALSE)</f>
        <v>23904684650.666664</v>
      </c>
      <c r="N9" s="936">
        <v>19754600762</v>
      </c>
      <c r="O9" s="936">
        <f t="shared" si="3"/>
        <v>-165886000.33333588</v>
      </c>
    </row>
    <row r="10" spans="2:15">
      <c r="B10" s="529" t="s">
        <v>35</v>
      </c>
      <c r="C10" s="496">
        <f>RESUMEN!B8</f>
        <v>78850978922</v>
      </c>
      <c r="D10" s="711">
        <f t="shared" si="0"/>
        <v>0.18193868052897813</v>
      </c>
      <c r="E10" s="712">
        <f>RESUMEN!C8</f>
        <v>10487580278</v>
      </c>
      <c r="F10" s="713">
        <f>RESUMEN!D8</f>
        <v>14415978013</v>
      </c>
      <c r="G10" s="714">
        <f t="shared" si="1"/>
        <v>0.13070315997778353</v>
      </c>
      <c r="H10" s="715">
        <f>RESUMEN!E8</f>
        <v>6065476811</v>
      </c>
      <c r="I10" s="737">
        <f t="shared" si="2"/>
        <v>8350501202</v>
      </c>
      <c r="J10" s="738">
        <f>RESUMEN!F8</f>
        <v>8350501202</v>
      </c>
      <c r="K10" s="739">
        <f t="shared" si="4"/>
        <v>0.42074681339901404</v>
      </c>
      <c r="L10" s="740">
        <f>+VLOOKUP(B10,RESUMEN!$A$5:$G$10,7,FALSE)</f>
        <v>53947420631</v>
      </c>
      <c r="N10" s="936">
        <v>14685864013</v>
      </c>
      <c r="O10" s="936">
        <f t="shared" si="3"/>
        <v>269886000</v>
      </c>
    </row>
    <row r="11" spans="2:15">
      <c r="B11" s="716" t="s">
        <v>36</v>
      </c>
      <c r="C11" s="496">
        <f>RESUMEN!B9</f>
        <v>43016339998</v>
      </c>
      <c r="D11" s="711">
        <f t="shared" si="0"/>
        <v>9.9254774606716015E-2</v>
      </c>
      <c r="E11" s="712">
        <f>RESUMEN!C9</f>
        <v>5914276781</v>
      </c>
      <c r="F11" s="713">
        <f>RESUMEN!D9</f>
        <v>19283988305</v>
      </c>
      <c r="G11" s="714">
        <f t="shared" si="1"/>
        <v>0.17483921008794631</v>
      </c>
      <c r="H11" s="715">
        <f>RESUMEN!E9</f>
        <v>2683181697</v>
      </c>
      <c r="I11" s="737">
        <f t="shared" si="2"/>
        <v>16600806608</v>
      </c>
      <c r="J11" s="738">
        <f>RESUMEN!F9</f>
        <v>16600806608</v>
      </c>
      <c r="K11" s="739">
        <f t="shared" si="4"/>
        <v>0.1391403922550761</v>
      </c>
      <c r="L11" s="740">
        <f>+VLOOKUP(B11,RESUMEN!$A$5:$G$10,7,FALSE)</f>
        <v>17818074912</v>
      </c>
      <c r="N11" s="936">
        <v>19189460367</v>
      </c>
      <c r="O11" s="936">
        <f t="shared" si="3"/>
        <v>-94527938</v>
      </c>
    </row>
    <row r="12" spans="2:15">
      <c r="B12" s="716" t="s">
        <v>37</v>
      </c>
      <c r="C12" s="717">
        <f>RESUMEN!B10</f>
        <v>40599639090</v>
      </c>
      <c r="D12" s="718">
        <f t="shared" si="0"/>
        <v>9.3678542320879091E-2</v>
      </c>
      <c r="E12" s="719">
        <f>RESUMEN!C10</f>
        <v>12223592199</v>
      </c>
      <c r="F12" s="720">
        <f>RESUMEN!D10</f>
        <v>13682598146</v>
      </c>
      <c r="G12" s="721">
        <f t="shared" si="1"/>
        <v>0.12405393604066692</v>
      </c>
      <c r="H12" s="722">
        <f>RESUMEN!E10</f>
        <v>1347452418</v>
      </c>
      <c r="I12" s="741">
        <f t="shared" si="2"/>
        <v>12335145728</v>
      </c>
      <c r="J12" s="742">
        <f>RESUMEN!F10</f>
        <v>12335145728</v>
      </c>
      <c r="K12" s="743">
        <f t="shared" si="4"/>
        <v>9.8479280296185356E-2</v>
      </c>
      <c r="L12" s="744">
        <f>+VLOOKUP(B12,RESUMEN!$A$5:$G$10,7,FALSE)</f>
        <v>14693448745</v>
      </c>
      <c r="N12" s="936">
        <v>13682598146</v>
      </c>
      <c r="O12" s="936">
        <f t="shared" si="3"/>
        <v>0</v>
      </c>
    </row>
    <row r="13" spans="2:15">
      <c r="B13" s="723" t="s">
        <v>38</v>
      </c>
      <c r="C13" s="724">
        <f>SUM(C7:C12)</f>
        <v>433393155830</v>
      </c>
      <c r="D13" s="725">
        <f t="shared" si="0"/>
        <v>1</v>
      </c>
      <c r="E13" s="703">
        <f>SUM(E7:E12)</f>
        <v>109281988968</v>
      </c>
      <c r="F13" s="726">
        <f>SUM(F7:F12)</f>
        <v>110295558389.33333</v>
      </c>
      <c r="G13" s="727">
        <f>SUM(G7:G12)</f>
        <v>1</v>
      </c>
      <c r="H13" s="728">
        <f>SUM(H7:H12)</f>
        <v>40090186269</v>
      </c>
      <c r="I13" s="745"/>
      <c r="J13" s="746">
        <f>SUM(J7:J12)</f>
        <v>70205372120.333328</v>
      </c>
      <c r="K13" s="747"/>
      <c r="L13" s="748">
        <f>SUM(L7:L12)</f>
        <v>213815608472.66669</v>
      </c>
      <c r="N13" s="936">
        <f>+N7+N8+N9+N10+N11+N12</f>
        <v>110295558389</v>
      </c>
      <c r="O13" s="936">
        <f t="shared" si="3"/>
        <v>-0.3333282470703125</v>
      </c>
    </row>
    <row r="14" spans="2:15" ht="18">
      <c r="B14" s="479"/>
      <c r="C14" s="547"/>
      <c r="D14" s="547"/>
      <c r="E14" s="547"/>
      <c r="F14" s="547"/>
      <c r="G14" s="479"/>
      <c r="H14" s="547"/>
      <c r="I14" s="547"/>
      <c r="J14" s="547"/>
      <c r="K14" s="547"/>
      <c r="L14" s="511"/>
    </row>
  </sheetData>
  <mergeCells count="2">
    <mergeCell ref="C5:D5"/>
    <mergeCell ref="F5:K5"/>
  </mergeCells>
  <printOptions horizontalCentered="1" verticalCentered="1"/>
  <pageMargins left="0.235416666666667" right="0.235416666666667" top="0.74791666666666701" bottom="0.74791666666666701" header="0.31388888888888899" footer="0.31388888888888899"/>
  <pageSetup paperSize="5" scale="83" orientation="landscape" r:id="rId1"/>
  <colBreaks count="1" manualBreakCount="1">
    <brk id="1584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P26"/>
  <sheetViews>
    <sheetView view="pageBreakPreview" topLeftCell="C1" zoomScaleNormal="100" zoomScaleSheetLayoutView="100" workbookViewId="0">
      <selection activeCell="O2" sqref="O2"/>
    </sheetView>
  </sheetViews>
  <sheetFormatPr baseColWidth="10" defaultColWidth="11.42578125" defaultRowHeight="15"/>
  <cols>
    <col min="1" max="1" width="6.7109375" style="597" customWidth="1"/>
    <col min="2" max="2" width="23.5703125" style="597" customWidth="1"/>
    <col min="3" max="3" width="12.140625" style="598" customWidth="1"/>
    <col min="4" max="4" width="14.7109375" style="597" customWidth="1"/>
    <col min="5" max="5" width="10.42578125" style="597" customWidth="1"/>
    <col min="6" max="6" width="15.7109375" style="597" customWidth="1"/>
    <col min="7" max="7" width="14.7109375" style="597" customWidth="1"/>
    <col min="8" max="9" width="14.140625" style="597" customWidth="1"/>
    <col min="10" max="10" width="15" style="597" hidden="1" customWidth="1"/>
    <col min="11" max="11" width="13.7109375" style="597" customWidth="1"/>
    <col min="12" max="12" width="11.28515625" style="597" customWidth="1"/>
    <col min="13" max="13" width="13.7109375" style="597" customWidth="1"/>
    <col min="14" max="14" width="6.7109375" style="597" customWidth="1"/>
    <col min="15" max="15" width="12" style="597" bestFit="1" customWidth="1"/>
    <col min="16" max="164" width="11.42578125" style="597"/>
    <col min="165" max="165" width="2.28515625" style="597" customWidth="1"/>
    <col min="166" max="166" width="2.140625" style="597" customWidth="1"/>
    <col min="167" max="167" width="1.140625" style="597" customWidth="1"/>
    <col min="168" max="169" width="2" style="597" customWidth="1"/>
    <col min="170" max="171" width="2.140625" style="597" customWidth="1"/>
    <col min="172" max="172" width="1.7109375" style="597" customWidth="1"/>
    <col min="173" max="173" width="0.85546875" style="597" customWidth="1"/>
    <col min="174" max="174" width="2" style="597" customWidth="1"/>
    <col min="175" max="175" width="2.140625" style="597" customWidth="1"/>
    <col min="176" max="420" width="11.42578125" style="597"/>
    <col min="421" max="421" width="2.28515625" style="597" customWidth="1"/>
    <col min="422" max="422" width="2.140625" style="597" customWidth="1"/>
    <col min="423" max="423" width="1.140625" style="597" customWidth="1"/>
    <col min="424" max="425" width="2" style="597" customWidth="1"/>
    <col min="426" max="427" width="2.140625" style="597" customWidth="1"/>
    <col min="428" max="428" width="1.7109375" style="597" customWidth="1"/>
    <col min="429" max="429" width="0.85546875" style="597" customWidth="1"/>
    <col min="430" max="430" width="2" style="597" customWidth="1"/>
    <col min="431" max="431" width="2.140625" style="597" customWidth="1"/>
    <col min="432" max="676" width="11.42578125" style="597"/>
    <col min="677" max="677" width="2.28515625" style="597" customWidth="1"/>
    <col min="678" max="678" width="2.140625" style="597" customWidth="1"/>
    <col min="679" max="679" width="1.140625" style="597" customWidth="1"/>
    <col min="680" max="681" width="2" style="597" customWidth="1"/>
    <col min="682" max="683" width="2.140625" style="597" customWidth="1"/>
    <col min="684" max="684" width="1.7109375" style="597" customWidth="1"/>
    <col min="685" max="685" width="0.85546875" style="597" customWidth="1"/>
    <col min="686" max="686" width="2" style="597" customWidth="1"/>
    <col min="687" max="687" width="2.140625" style="597" customWidth="1"/>
    <col min="688" max="932" width="11.42578125" style="597"/>
    <col min="933" max="933" width="2.28515625" style="597" customWidth="1"/>
    <col min="934" max="934" width="2.140625" style="597" customWidth="1"/>
    <col min="935" max="935" width="1.140625" style="597" customWidth="1"/>
    <col min="936" max="937" width="2" style="597" customWidth="1"/>
    <col min="938" max="939" width="2.140625" style="597" customWidth="1"/>
    <col min="940" max="940" width="1.7109375" style="597" customWidth="1"/>
    <col min="941" max="941" width="0.85546875" style="597" customWidth="1"/>
    <col min="942" max="942" width="2" style="597" customWidth="1"/>
    <col min="943" max="943" width="2.140625" style="597" customWidth="1"/>
    <col min="944" max="1188" width="11.42578125" style="597"/>
    <col min="1189" max="1189" width="2.28515625" style="597" customWidth="1"/>
    <col min="1190" max="1190" width="2.140625" style="597" customWidth="1"/>
    <col min="1191" max="1191" width="1.140625" style="597" customWidth="1"/>
    <col min="1192" max="1193" width="2" style="597" customWidth="1"/>
    <col min="1194" max="1195" width="2.140625" style="597" customWidth="1"/>
    <col min="1196" max="1196" width="1.7109375" style="597" customWidth="1"/>
    <col min="1197" max="1197" width="0.85546875" style="597" customWidth="1"/>
    <col min="1198" max="1198" width="2" style="597" customWidth="1"/>
    <col min="1199" max="1199" width="2.140625" style="597" customWidth="1"/>
    <col min="1200" max="1444" width="11.42578125" style="597"/>
    <col min="1445" max="1445" width="2.28515625" style="597" customWidth="1"/>
    <col min="1446" max="1446" width="2.140625" style="597" customWidth="1"/>
    <col min="1447" max="1447" width="1.140625" style="597" customWidth="1"/>
    <col min="1448" max="1449" width="2" style="597" customWidth="1"/>
    <col min="1450" max="1451" width="2.140625" style="597" customWidth="1"/>
    <col min="1452" max="1452" width="1.7109375" style="597" customWidth="1"/>
    <col min="1453" max="1453" width="0.85546875" style="597" customWidth="1"/>
    <col min="1454" max="1454" width="2" style="597" customWidth="1"/>
    <col min="1455" max="1455" width="2.140625" style="597" customWidth="1"/>
    <col min="1456" max="1700" width="11.42578125" style="597"/>
    <col min="1701" max="1701" width="2.28515625" style="597" customWidth="1"/>
    <col min="1702" max="1702" width="2.140625" style="597" customWidth="1"/>
    <col min="1703" max="1703" width="1.140625" style="597" customWidth="1"/>
    <col min="1704" max="1705" width="2" style="597" customWidth="1"/>
    <col min="1706" max="1707" width="2.140625" style="597" customWidth="1"/>
    <col min="1708" max="1708" width="1.7109375" style="597" customWidth="1"/>
    <col min="1709" max="1709" width="0.85546875" style="597" customWidth="1"/>
    <col min="1710" max="1710" width="2" style="597" customWidth="1"/>
    <col min="1711" max="1711" width="2.140625" style="597" customWidth="1"/>
    <col min="1712" max="1956" width="11.42578125" style="597"/>
    <col min="1957" max="1957" width="2.28515625" style="597" customWidth="1"/>
    <col min="1958" max="1958" width="2.140625" style="597" customWidth="1"/>
    <col min="1959" max="1959" width="1.140625" style="597" customWidth="1"/>
    <col min="1960" max="1961" width="2" style="597" customWidth="1"/>
    <col min="1962" max="1963" width="2.140625" style="597" customWidth="1"/>
    <col min="1964" max="1964" width="1.7109375" style="597" customWidth="1"/>
    <col min="1965" max="1965" width="0.85546875" style="597" customWidth="1"/>
    <col min="1966" max="1966" width="2" style="597" customWidth="1"/>
    <col min="1967" max="1967" width="2.140625" style="597" customWidth="1"/>
    <col min="1968" max="2212" width="11.42578125" style="597"/>
    <col min="2213" max="2213" width="2.28515625" style="597" customWidth="1"/>
    <col min="2214" max="2214" width="2.140625" style="597" customWidth="1"/>
    <col min="2215" max="2215" width="1.140625" style="597" customWidth="1"/>
    <col min="2216" max="2217" width="2" style="597" customWidth="1"/>
    <col min="2218" max="2219" width="2.140625" style="597" customWidth="1"/>
    <col min="2220" max="2220" width="1.7109375" style="597" customWidth="1"/>
    <col min="2221" max="2221" width="0.85546875" style="597" customWidth="1"/>
    <col min="2222" max="2222" width="2" style="597" customWidth="1"/>
    <col min="2223" max="2223" width="2.140625" style="597" customWidth="1"/>
    <col min="2224" max="2468" width="11.42578125" style="597"/>
    <col min="2469" max="2469" width="2.28515625" style="597" customWidth="1"/>
    <col min="2470" max="2470" width="2.140625" style="597" customWidth="1"/>
    <col min="2471" max="2471" width="1.140625" style="597" customWidth="1"/>
    <col min="2472" max="2473" width="2" style="597" customWidth="1"/>
    <col min="2474" max="2475" width="2.140625" style="597" customWidth="1"/>
    <col min="2476" max="2476" width="1.7109375" style="597" customWidth="1"/>
    <col min="2477" max="2477" width="0.85546875" style="597" customWidth="1"/>
    <col min="2478" max="2478" width="2" style="597" customWidth="1"/>
    <col min="2479" max="2479" width="2.140625" style="597" customWidth="1"/>
    <col min="2480" max="2724" width="11.42578125" style="597"/>
    <col min="2725" max="2725" width="2.28515625" style="597" customWidth="1"/>
    <col min="2726" max="2726" width="2.140625" style="597" customWidth="1"/>
    <col min="2727" max="2727" width="1.140625" style="597" customWidth="1"/>
    <col min="2728" max="2729" width="2" style="597" customWidth="1"/>
    <col min="2730" max="2731" width="2.140625" style="597" customWidth="1"/>
    <col min="2732" max="2732" width="1.7109375" style="597" customWidth="1"/>
    <col min="2733" max="2733" width="0.85546875" style="597" customWidth="1"/>
    <col min="2734" max="2734" width="2" style="597" customWidth="1"/>
    <col min="2735" max="2735" width="2.140625" style="597" customWidth="1"/>
    <col min="2736" max="2980" width="11.42578125" style="597"/>
    <col min="2981" max="2981" width="2.28515625" style="597" customWidth="1"/>
    <col min="2982" max="2982" width="2.140625" style="597" customWidth="1"/>
    <col min="2983" max="2983" width="1.140625" style="597" customWidth="1"/>
    <col min="2984" max="2985" width="2" style="597" customWidth="1"/>
    <col min="2986" max="2987" width="2.140625" style="597" customWidth="1"/>
    <col min="2988" max="2988" width="1.7109375" style="597" customWidth="1"/>
    <col min="2989" max="2989" width="0.85546875" style="597" customWidth="1"/>
    <col min="2990" max="2990" width="2" style="597" customWidth="1"/>
    <col min="2991" max="2991" width="2.140625" style="597" customWidth="1"/>
    <col min="2992" max="3236" width="11.42578125" style="597"/>
    <col min="3237" max="3237" width="2.28515625" style="597" customWidth="1"/>
    <col min="3238" max="3238" width="2.140625" style="597" customWidth="1"/>
    <col min="3239" max="3239" width="1.140625" style="597" customWidth="1"/>
    <col min="3240" max="3241" width="2" style="597" customWidth="1"/>
    <col min="3242" max="3243" width="2.140625" style="597" customWidth="1"/>
    <col min="3244" max="3244" width="1.7109375" style="597" customWidth="1"/>
    <col min="3245" max="3245" width="0.85546875" style="597" customWidth="1"/>
    <col min="3246" max="3246" width="2" style="597" customWidth="1"/>
    <col min="3247" max="3247" width="2.140625" style="597" customWidth="1"/>
    <col min="3248" max="3492" width="11.42578125" style="597"/>
    <col min="3493" max="3493" width="2.28515625" style="597" customWidth="1"/>
    <col min="3494" max="3494" width="2.140625" style="597" customWidth="1"/>
    <col min="3495" max="3495" width="1.140625" style="597" customWidth="1"/>
    <col min="3496" max="3497" width="2" style="597" customWidth="1"/>
    <col min="3498" max="3499" width="2.140625" style="597" customWidth="1"/>
    <col min="3500" max="3500" width="1.7109375" style="597" customWidth="1"/>
    <col min="3501" max="3501" width="0.85546875" style="597" customWidth="1"/>
    <col min="3502" max="3502" width="2" style="597" customWidth="1"/>
    <col min="3503" max="3503" width="2.140625" style="597" customWidth="1"/>
    <col min="3504" max="3748" width="11.42578125" style="597"/>
    <col min="3749" max="3749" width="2.28515625" style="597" customWidth="1"/>
    <col min="3750" max="3750" width="2.140625" style="597" customWidth="1"/>
    <col min="3751" max="3751" width="1.140625" style="597" customWidth="1"/>
    <col min="3752" max="3753" width="2" style="597" customWidth="1"/>
    <col min="3754" max="3755" width="2.140625" style="597" customWidth="1"/>
    <col min="3756" max="3756" width="1.7109375" style="597" customWidth="1"/>
    <col min="3757" max="3757" width="0.85546875" style="597" customWidth="1"/>
    <col min="3758" max="3758" width="2" style="597" customWidth="1"/>
    <col min="3759" max="3759" width="2.140625" style="597" customWidth="1"/>
    <col min="3760" max="4004" width="11.42578125" style="597"/>
    <col min="4005" max="4005" width="2.28515625" style="597" customWidth="1"/>
    <col min="4006" max="4006" width="2.140625" style="597" customWidth="1"/>
    <col min="4007" max="4007" width="1.140625" style="597" customWidth="1"/>
    <col min="4008" max="4009" width="2" style="597" customWidth="1"/>
    <col min="4010" max="4011" width="2.140625" style="597" customWidth="1"/>
    <col min="4012" max="4012" width="1.7109375" style="597" customWidth="1"/>
    <col min="4013" max="4013" width="0.85546875" style="597" customWidth="1"/>
    <col min="4014" max="4014" width="2" style="597" customWidth="1"/>
    <col min="4015" max="4015" width="2.140625" style="597" customWidth="1"/>
    <col min="4016" max="4260" width="11.42578125" style="597"/>
    <col min="4261" max="4261" width="2.28515625" style="597" customWidth="1"/>
    <col min="4262" max="4262" width="2.140625" style="597" customWidth="1"/>
    <col min="4263" max="4263" width="1.140625" style="597" customWidth="1"/>
    <col min="4264" max="4265" width="2" style="597" customWidth="1"/>
    <col min="4266" max="4267" width="2.140625" style="597" customWidth="1"/>
    <col min="4268" max="4268" width="1.7109375" style="597" customWidth="1"/>
    <col min="4269" max="4269" width="0.85546875" style="597" customWidth="1"/>
    <col min="4270" max="4270" width="2" style="597" customWidth="1"/>
    <col min="4271" max="4271" width="2.140625" style="597" customWidth="1"/>
    <col min="4272" max="4516" width="11.42578125" style="597"/>
    <col min="4517" max="4517" width="2.28515625" style="597" customWidth="1"/>
    <col min="4518" max="4518" width="2.140625" style="597" customWidth="1"/>
    <col min="4519" max="4519" width="1.140625" style="597" customWidth="1"/>
    <col min="4520" max="4521" width="2" style="597" customWidth="1"/>
    <col min="4522" max="4523" width="2.140625" style="597" customWidth="1"/>
    <col min="4524" max="4524" width="1.7109375" style="597" customWidth="1"/>
    <col min="4525" max="4525" width="0.85546875" style="597" customWidth="1"/>
    <col min="4526" max="4526" width="2" style="597" customWidth="1"/>
    <col min="4527" max="4527" width="2.140625" style="597" customWidth="1"/>
    <col min="4528" max="4772" width="11.42578125" style="597"/>
    <col min="4773" max="4773" width="2.28515625" style="597" customWidth="1"/>
    <col min="4774" max="4774" width="2.140625" style="597" customWidth="1"/>
    <col min="4775" max="4775" width="1.140625" style="597" customWidth="1"/>
    <col min="4776" max="4777" width="2" style="597" customWidth="1"/>
    <col min="4778" max="4779" width="2.140625" style="597" customWidth="1"/>
    <col min="4780" max="4780" width="1.7109375" style="597" customWidth="1"/>
    <col min="4781" max="4781" width="0.85546875" style="597" customWidth="1"/>
    <col min="4782" max="4782" width="2" style="597" customWidth="1"/>
    <col min="4783" max="4783" width="2.140625" style="597" customWidth="1"/>
    <col min="4784" max="5028" width="11.42578125" style="597"/>
    <col min="5029" max="5029" width="2.28515625" style="597" customWidth="1"/>
    <col min="5030" max="5030" width="2.140625" style="597" customWidth="1"/>
    <col min="5031" max="5031" width="1.140625" style="597" customWidth="1"/>
    <col min="5032" max="5033" width="2" style="597" customWidth="1"/>
    <col min="5034" max="5035" width="2.140625" style="597" customWidth="1"/>
    <col min="5036" max="5036" width="1.7109375" style="597" customWidth="1"/>
    <col min="5037" max="5037" width="0.85546875" style="597" customWidth="1"/>
    <col min="5038" max="5038" width="2" style="597" customWidth="1"/>
    <col min="5039" max="5039" width="2.140625" style="597" customWidth="1"/>
    <col min="5040" max="5284" width="11.42578125" style="597"/>
    <col min="5285" max="5285" width="2.28515625" style="597" customWidth="1"/>
    <col min="5286" max="5286" width="2.140625" style="597" customWidth="1"/>
    <col min="5287" max="5287" width="1.140625" style="597" customWidth="1"/>
    <col min="5288" max="5289" width="2" style="597" customWidth="1"/>
    <col min="5290" max="5291" width="2.140625" style="597" customWidth="1"/>
    <col min="5292" max="5292" width="1.7109375" style="597" customWidth="1"/>
    <col min="5293" max="5293" width="0.85546875" style="597" customWidth="1"/>
    <col min="5294" max="5294" width="2" style="597" customWidth="1"/>
    <col min="5295" max="5295" width="2.140625" style="597" customWidth="1"/>
    <col min="5296" max="5540" width="11.42578125" style="597"/>
    <col min="5541" max="5541" width="2.28515625" style="597" customWidth="1"/>
    <col min="5542" max="5542" width="2.140625" style="597" customWidth="1"/>
    <col min="5543" max="5543" width="1.140625" style="597" customWidth="1"/>
    <col min="5544" max="5545" width="2" style="597" customWidth="1"/>
    <col min="5546" max="5547" width="2.140625" style="597" customWidth="1"/>
    <col min="5548" max="5548" width="1.7109375" style="597" customWidth="1"/>
    <col min="5549" max="5549" width="0.85546875" style="597" customWidth="1"/>
    <col min="5550" max="5550" width="2" style="597" customWidth="1"/>
    <col min="5551" max="5551" width="2.140625" style="597" customWidth="1"/>
    <col min="5552" max="5796" width="11.42578125" style="597"/>
    <col min="5797" max="5797" width="2.28515625" style="597" customWidth="1"/>
    <col min="5798" max="5798" width="2.140625" style="597" customWidth="1"/>
    <col min="5799" max="5799" width="1.140625" style="597" customWidth="1"/>
    <col min="5800" max="5801" width="2" style="597" customWidth="1"/>
    <col min="5802" max="5803" width="2.140625" style="597" customWidth="1"/>
    <col min="5804" max="5804" width="1.7109375" style="597" customWidth="1"/>
    <col min="5805" max="5805" width="0.85546875" style="597" customWidth="1"/>
    <col min="5806" max="5806" width="2" style="597" customWidth="1"/>
    <col min="5807" max="5807" width="2.140625" style="597" customWidth="1"/>
    <col min="5808" max="6052" width="11.42578125" style="597"/>
    <col min="6053" max="6053" width="2.28515625" style="597" customWidth="1"/>
    <col min="6054" max="6054" width="2.140625" style="597" customWidth="1"/>
    <col min="6055" max="6055" width="1.140625" style="597" customWidth="1"/>
    <col min="6056" max="6057" width="2" style="597" customWidth="1"/>
    <col min="6058" max="6059" width="2.140625" style="597" customWidth="1"/>
    <col min="6060" max="6060" width="1.7109375" style="597" customWidth="1"/>
    <col min="6061" max="6061" width="0.85546875" style="597" customWidth="1"/>
    <col min="6062" max="6062" width="2" style="597" customWidth="1"/>
    <col min="6063" max="6063" width="2.140625" style="597" customWidth="1"/>
    <col min="6064" max="6308" width="11.42578125" style="597"/>
    <col min="6309" max="6309" width="2.28515625" style="597" customWidth="1"/>
    <col min="6310" max="6310" width="2.140625" style="597" customWidth="1"/>
    <col min="6311" max="6311" width="1.140625" style="597" customWidth="1"/>
    <col min="6312" max="6313" width="2" style="597" customWidth="1"/>
    <col min="6314" max="6315" width="2.140625" style="597" customWidth="1"/>
    <col min="6316" max="6316" width="1.7109375" style="597" customWidth="1"/>
    <col min="6317" max="6317" width="0.85546875" style="597" customWidth="1"/>
    <col min="6318" max="6318" width="2" style="597" customWidth="1"/>
    <col min="6319" max="6319" width="2.140625" style="597" customWidth="1"/>
    <col min="6320" max="6564" width="11.42578125" style="597"/>
    <col min="6565" max="6565" width="2.28515625" style="597" customWidth="1"/>
    <col min="6566" max="6566" width="2.140625" style="597" customWidth="1"/>
    <col min="6567" max="6567" width="1.140625" style="597" customWidth="1"/>
    <col min="6568" max="6569" width="2" style="597" customWidth="1"/>
    <col min="6570" max="6571" width="2.140625" style="597" customWidth="1"/>
    <col min="6572" max="6572" width="1.7109375" style="597" customWidth="1"/>
    <col min="6573" max="6573" width="0.85546875" style="597" customWidth="1"/>
    <col min="6574" max="6574" width="2" style="597" customWidth="1"/>
    <col min="6575" max="6575" width="2.140625" style="597" customWidth="1"/>
    <col min="6576" max="6820" width="11.42578125" style="597"/>
    <col min="6821" max="6821" width="2.28515625" style="597" customWidth="1"/>
    <col min="6822" max="6822" width="2.140625" style="597" customWidth="1"/>
    <col min="6823" max="6823" width="1.140625" style="597" customWidth="1"/>
    <col min="6824" max="6825" width="2" style="597" customWidth="1"/>
    <col min="6826" max="6827" width="2.140625" style="597" customWidth="1"/>
    <col min="6828" max="6828" width="1.7109375" style="597" customWidth="1"/>
    <col min="6829" max="6829" width="0.85546875" style="597" customWidth="1"/>
    <col min="6830" max="6830" width="2" style="597" customWidth="1"/>
    <col min="6831" max="6831" width="2.140625" style="597" customWidth="1"/>
    <col min="6832" max="7076" width="11.42578125" style="597"/>
    <col min="7077" max="7077" width="2.28515625" style="597" customWidth="1"/>
    <col min="7078" max="7078" width="2.140625" style="597" customWidth="1"/>
    <col min="7079" max="7079" width="1.140625" style="597" customWidth="1"/>
    <col min="7080" max="7081" width="2" style="597" customWidth="1"/>
    <col min="7082" max="7083" width="2.140625" style="597" customWidth="1"/>
    <col min="7084" max="7084" width="1.7109375" style="597" customWidth="1"/>
    <col min="7085" max="7085" width="0.85546875" style="597" customWidth="1"/>
    <col min="7086" max="7086" width="2" style="597" customWidth="1"/>
    <col min="7087" max="7087" width="2.140625" style="597" customWidth="1"/>
    <col min="7088" max="7332" width="11.42578125" style="597"/>
    <col min="7333" max="7333" width="2.28515625" style="597" customWidth="1"/>
    <col min="7334" max="7334" width="2.140625" style="597" customWidth="1"/>
    <col min="7335" max="7335" width="1.140625" style="597" customWidth="1"/>
    <col min="7336" max="7337" width="2" style="597" customWidth="1"/>
    <col min="7338" max="7339" width="2.140625" style="597" customWidth="1"/>
    <col min="7340" max="7340" width="1.7109375" style="597" customWidth="1"/>
    <col min="7341" max="7341" width="0.85546875" style="597" customWidth="1"/>
    <col min="7342" max="7342" width="2" style="597" customWidth="1"/>
    <col min="7343" max="7343" width="2.140625" style="597" customWidth="1"/>
    <col min="7344" max="7588" width="11.42578125" style="597"/>
    <col min="7589" max="7589" width="2.28515625" style="597" customWidth="1"/>
    <col min="7590" max="7590" width="2.140625" style="597" customWidth="1"/>
    <col min="7591" max="7591" width="1.140625" style="597" customWidth="1"/>
    <col min="7592" max="7593" width="2" style="597" customWidth="1"/>
    <col min="7594" max="7595" width="2.140625" style="597" customWidth="1"/>
    <col min="7596" max="7596" width="1.7109375" style="597" customWidth="1"/>
    <col min="7597" max="7597" width="0.85546875" style="597" customWidth="1"/>
    <col min="7598" max="7598" width="2" style="597" customWidth="1"/>
    <col min="7599" max="7599" width="2.140625" style="597" customWidth="1"/>
    <col min="7600" max="7844" width="11.42578125" style="597"/>
    <col min="7845" max="7845" width="2.28515625" style="597" customWidth="1"/>
    <col min="7846" max="7846" width="2.140625" style="597" customWidth="1"/>
    <col min="7847" max="7847" width="1.140625" style="597" customWidth="1"/>
    <col min="7848" max="7849" width="2" style="597" customWidth="1"/>
    <col min="7850" max="7851" width="2.140625" style="597" customWidth="1"/>
    <col min="7852" max="7852" width="1.7109375" style="597" customWidth="1"/>
    <col min="7853" max="7853" width="0.85546875" style="597" customWidth="1"/>
    <col min="7854" max="7854" width="2" style="597" customWidth="1"/>
    <col min="7855" max="7855" width="2.140625" style="597" customWidth="1"/>
    <col min="7856" max="8100" width="11.42578125" style="597"/>
    <col min="8101" max="8101" width="2.28515625" style="597" customWidth="1"/>
    <col min="8102" max="8102" width="2.140625" style="597" customWidth="1"/>
    <col min="8103" max="8103" width="1.140625" style="597" customWidth="1"/>
    <col min="8104" max="8105" width="2" style="597" customWidth="1"/>
    <col min="8106" max="8107" width="2.140625" style="597" customWidth="1"/>
    <col min="8108" max="8108" width="1.7109375" style="597" customWidth="1"/>
    <col min="8109" max="8109" width="0.85546875" style="597" customWidth="1"/>
    <col min="8110" max="8110" width="2" style="597" customWidth="1"/>
    <col min="8111" max="8111" width="2.140625" style="597" customWidth="1"/>
    <col min="8112" max="8356" width="11.42578125" style="597"/>
    <col min="8357" max="8357" width="2.28515625" style="597" customWidth="1"/>
    <col min="8358" max="8358" width="2.140625" style="597" customWidth="1"/>
    <col min="8359" max="8359" width="1.140625" style="597" customWidth="1"/>
    <col min="8360" max="8361" width="2" style="597" customWidth="1"/>
    <col min="8362" max="8363" width="2.140625" style="597" customWidth="1"/>
    <col min="8364" max="8364" width="1.7109375" style="597" customWidth="1"/>
    <col min="8365" max="8365" width="0.85546875" style="597" customWidth="1"/>
    <col min="8366" max="8366" width="2" style="597" customWidth="1"/>
    <col min="8367" max="8367" width="2.140625" style="597" customWidth="1"/>
    <col min="8368" max="8612" width="11.42578125" style="597"/>
    <col min="8613" max="8613" width="2.28515625" style="597" customWidth="1"/>
    <col min="8614" max="8614" width="2.140625" style="597" customWidth="1"/>
    <col min="8615" max="8615" width="1.140625" style="597" customWidth="1"/>
    <col min="8616" max="8617" width="2" style="597" customWidth="1"/>
    <col min="8618" max="8619" width="2.140625" style="597" customWidth="1"/>
    <col min="8620" max="8620" width="1.7109375" style="597" customWidth="1"/>
    <col min="8621" max="8621" width="0.85546875" style="597" customWidth="1"/>
    <col min="8622" max="8622" width="2" style="597" customWidth="1"/>
    <col min="8623" max="8623" width="2.140625" style="597" customWidth="1"/>
    <col min="8624" max="8868" width="11.42578125" style="597"/>
    <col min="8869" max="8869" width="2.28515625" style="597" customWidth="1"/>
    <col min="8870" max="8870" width="2.140625" style="597" customWidth="1"/>
    <col min="8871" max="8871" width="1.140625" style="597" customWidth="1"/>
    <col min="8872" max="8873" width="2" style="597" customWidth="1"/>
    <col min="8874" max="8875" width="2.140625" style="597" customWidth="1"/>
    <col min="8876" max="8876" width="1.7109375" style="597" customWidth="1"/>
    <col min="8877" max="8877" width="0.85546875" style="597" customWidth="1"/>
    <col min="8878" max="8878" width="2" style="597" customWidth="1"/>
    <col min="8879" max="8879" width="2.140625" style="597" customWidth="1"/>
    <col min="8880" max="9124" width="11.42578125" style="597"/>
    <col min="9125" max="9125" width="2.28515625" style="597" customWidth="1"/>
    <col min="9126" max="9126" width="2.140625" style="597" customWidth="1"/>
    <col min="9127" max="9127" width="1.140625" style="597" customWidth="1"/>
    <col min="9128" max="9129" width="2" style="597" customWidth="1"/>
    <col min="9130" max="9131" width="2.140625" style="597" customWidth="1"/>
    <col min="9132" max="9132" width="1.7109375" style="597" customWidth="1"/>
    <col min="9133" max="9133" width="0.85546875" style="597" customWidth="1"/>
    <col min="9134" max="9134" width="2" style="597" customWidth="1"/>
    <col min="9135" max="9135" width="2.140625" style="597" customWidth="1"/>
    <col min="9136" max="9380" width="11.42578125" style="597"/>
    <col min="9381" max="9381" width="2.28515625" style="597" customWidth="1"/>
    <col min="9382" max="9382" width="2.140625" style="597" customWidth="1"/>
    <col min="9383" max="9383" width="1.140625" style="597" customWidth="1"/>
    <col min="9384" max="9385" width="2" style="597" customWidth="1"/>
    <col min="9386" max="9387" width="2.140625" style="597" customWidth="1"/>
    <col min="9388" max="9388" width="1.7109375" style="597" customWidth="1"/>
    <col min="9389" max="9389" width="0.85546875" style="597" customWidth="1"/>
    <col min="9390" max="9390" width="2" style="597" customWidth="1"/>
    <col min="9391" max="9391" width="2.140625" style="597" customWidth="1"/>
    <col min="9392" max="9636" width="11.42578125" style="597"/>
    <col min="9637" max="9637" width="2.28515625" style="597" customWidth="1"/>
    <col min="9638" max="9638" width="2.140625" style="597" customWidth="1"/>
    <col min="9639" max="9639" width="1.140625" style="597" customWidth="1"/>
    <col min="9640" max="9641" width="2" style="597" customWidth="1"/>
    <col min="9642" max="9643" width="2.140625" style="597" customWidth="1"/>
    <col min="9644" max="9644" width="1.7109375" style="597" customWidth="1"/>
    <col min="9645" max="9645" width="0.85546875" style="597" customWidth="1"/>
    <col min="9646" max="9646" width="2" style="597" customWidth="1"/>
    <col min="9647" max="9647" width="2.140625" style="597" customWidth="1"/>
    <col min="9648" max="9892" width="11.42578125" style="597"/>
    <col min="9893" max="9893" width="2.28515625" style="597" customWidth="1"/>
    <col min="9894" max="9894" width="2.140625" style="597" customWidth="1"/>
    <col min="9895" max="9895" width="1.140625" style="597" customWidth="1"/>
    <col min="9896" max="9897" width="2" style="597" customWidth="1"/>
    <col min="9898" max="9899" width="2.140625" style="597" customWidth="1"/>
    <col min="9900" max="9900" width="1.7109375" style="597" customWidth="1"/>
    <col min="9901" max="9901" width="0.85546875" style="597" customWidth="1"/>
    <col min="9902" max="9902" width="2" style="597" customWidth="1"/>
    <col min="9903" max="9903" width="2.140625" style="597" customWidth="1"/>
    <col min="9904" max="10148" width="11.42578125" style="597"/>
    <col min="10149" max="10149" width="2.28515625" style="597" customWidth="1"/>
    <col min="10150" max="10150" width="2.140625" style="597" customWidth="1"/>
    <col min="10151" max="10151" width="1.140625" style="597" customWidth="1"/>
    <col min="10152" max="10153" width="2" style="597" customWidth="1"/>
    <col min="10154" max="10155" width="2.140625" style="597" customWidth="1"/>
    <col min="10156" max="10156" width="1.7109375" style="597" customWidth="1"/>
    <col min="10157" max="10157" width="0.85546875" style="597" customWidth="1"/>
    <col min="10158" max="10158" width="2" style="597" customWidth="1"/>
    <col min="10159" max="10159" width="2.140625" style="597" customWidth="1"/>
    <col min="10160" max="10404" width="11.42578125" style="597"/>
    <col min="10405" max="10405" width="2.28515625" style="597" customWidth="1"/>
    <col min="10406" max="10406" width="2.140625" style="597" customWidth="1"/>
    <col min="10407" max="10407" width="1.140625" style="597" customWidth="1"/>
    <col min="10408" max="10409" width="2" style="597" customWidth="1"/>
    <col min="10410" max="10411" width="2.140625" style="597" customWidth="1"/>
    <col min="10412" max="10412" width="1.7109375" style="597" customWidth="1"/>
    <col min="10413" max="10413" width="0.85546875" style="597" customWidth="1"/>
    <col min="10414" max="10414" width="2" style="597" customWidth="1"/>
    <col min="10415" max="10415" width="2.140625" style="597" customWidth="1"/>
    <col min="10416" max="10660" width="11.42578125" style="597"/>
    <col min="10661" max="10661" width="2.28515625" style="597" customWidth="1"/>
    <col min="10662" max="10662" width="2.140625" style="597" customWidth="1"/>
    <col min="10663" max="10663" width="1.140625" style="597" customWidth="1"/>
    <col min="10664" max="10665" width="2" style="597" customWidth="1"/>
    <col min="10666" max="10667" width="2.140625" style="597" customWidth="1"/>
    <col min="10668" max="10668" width="1.7109375" style="597" customWidth="1"/>
    <col min="10669" max="10669" width="0.85546875" style="597" customWidth="1"/>
    <col min="10670" max="10670" width="2" style="597" customWidth="1"/>
    <col min="10671" max="10671" width="2.140625" style="597" customWidth="1"/>
    <col min="10672" max="10916" width="11.42578125" style="597"/>
    <col min="10917" max="10917" width="2.28515625" style="597" customWidth="1"/>
    <col min="10918" max="10918" width="2.140625" style="597" customWidth="1"/>
    <col min="10919" max="10919" width="1.140625" style="597" customWidth="1"/>
    <col min="10920" max="10921" width="2" style="597" customWidth="1"/>
    <col min="10922" max="10923" width="2.140625" style="597" customWidth="1"/>
    <col min="10924" max="10924" width="1.7109375" style="597" customWidth="1"/>
    <col min="10925" max="10925" width="0.85546875" style="597" customWidth="1"/>
    <col min="10926" max="10926" width="2" style="597" customWidth="1"/>
    <col min="10927" max="10927" width="2.140625" style="597" customWidth="1"/>
    <col min="10928" max="11172" width="11.42578125" style="597"/>
    <col min="11173" max="11173" width="2.28515625" style="597" customWidth="1"/>
    <col min="11174" max="11174" width="2.140625" style="597" customWidth="1"/>
    <col min="11175" max="11175" width="1.140625" style="597" customWidth="1"/>
    <col min="11176" max="11177" width="2" style="597" customWidth="1"/>
    <col min="11178" max="11179" width="2.140625" style="597" customWidth="1"/>
    <col min="11180" max="11180" width="1.7109375" style="597" customWidth="1"/>
    <col min="11181" max="11181" width="0.85546875" style="597" customWidth="1"/>
    <col min="11182" max="11182" width="2" style="597" customWidth="1"/>
    <col min="11183" max="11183" width="2.140625" style="597" customWidth="1"/>
    <col min="11184" max="11428" width="11.42578125" style="597"/>
    <col min="11429" max="11429" width="2.28515625" style="597" customWidth="1"/>
    <col min="11430" max="11430" width="2.140625" style="597" customWidth="1"/>
    <col min="11431" max="11431" width="1.140625" style="597" customWidth="1"/>
    <col min="11432" max="11433" width="2" style="597" customWidth="1"/>
    <col min="11434" max="11435" width="2.140625" style="597" customWidth="1"/>
    <col min="11436" max="11436" width="1.7109375" style="597" customWidth="1"/>
    <col min="11437" max="11437" width="0.85546875" style="597" customWidth="1"/>
    <col min="11438" max="11438" width="2" style="597" customWidth="1"/>
    <col min="11439" max="11439" width="2.140625" style="597" customWidth="1"/>
    <col min="11440" max="11684" width="11.42578125" style="597"/>
    <col min="11685" max="11685" width="2.28515625" style="597" customWidth="1"/>
    <col min="11686" max="11686" width="2.140625" style="597" customWidth="1"/>
    <col min="11687" max="11687" width="1.140625" style="597" customWidth="1"/>
    <col min="11688" max="11689" width="2" style="597" customWidth="1"/>
    <col min="11690" max="11691" width="2.140625" style="597" customWidth="1"/>
    <col min="11692" max="11692" width="1.7109375" style="597" customWidth="1"/>
    <col min="11693" max="11693" width="0.85546875" style="597" customWidth="1"/>
    <col min="11694" max="11694" width="2" style="597" customWidth="1"/>
    <col min="11695" max="11695" width="2.140625" style="597" customWidth="1"/>
    <col min="11696" max="11940" width="11.42578125" style="597"/>
    <col min="11941" max="11941" width="2.28515625" style="597" customWidth="1"/>
    <col min="11942" max="11942" width="2.140625" style="597" customWidth="1"/>
    <col min="11943" max="11943" width="1.140625" style="597" customWidth="1"/>
    <col min="11944" max="11945" width="2" style="597" customWidth="1"/>
    <col min="11946" max="11947" width="2.140625" style="597" customWidth="1"/>
    <col min="11948" max="11948" width="1.7109375" style="597" customWidth="1"/>
    <col min="11949" max="11949" width="0.85546875" style="597" customWidth="1"/>
    <col min="11950" max="11950" width="2" style="597" customWidth="1"/>
    <col min="11951" max="11951" width="2.140625" style="597" customWidth="1"/>
    <col min="11952" max="12196" width="11.42578125" style="597"/>
    <col min="12197" max="12197" width="2.28515625" style="597" customWidth="1"/>
    <col min="12198" max="12198" width="2.140625" style="597" customWidth="1"/>
    <col min="12199" max="12199" width="1.140625" style="597" customWidth="1"/>
    <col min="12200" max="12201" width="2" style="597" customWidth="1"/>
    <col min="12202" max="12203" width="2.140625" style="597" customWidth="1"/>
    <col min="12204" max="12204" width="1.7109375" style="597" customWidth="1"/>
    <col min="12205" max="12205" width="0.85546875" style="597" customWidth="1"/>
    <col min="12206" max="12206" width="2" style="597" customWidth="1"/>
    <col min="12207" max="12207" width="2.140625" style="597" customWidth="1"/>
    <col min="12208" max="12452" width="11.42578125" style="597"/>
    <col min="12453" max="12453" width="2.28515625" style="597" customWidth="1"/>
    <col min="12454" max="12454" width="2.140625" style="597" customWidth="1"/>
    <col min="12455" max="12455" width="1.140625" style="597" customWidth="1"/>
    <col min="12456" max="12457" width="2" style="597" customWidth="1"/>
    <col min="12458" max="12459" width="2.140625" style="597" customWidth="1"/>
    <col min="12460" max="12460" width="1.7109375" style="597" customWidth="1"/>
    <col min="12461" max="12461" width="0.85546875" style="597" customWidth="1"/>
    <col min="12462" max="12462" width="2" style="597" customWidth="1"/>
    <col min="12463" max="12463" width="2.140625" style="597" customWidth="1"/>
    <col min="12464" max="12708" width="11.42578125" style="597"/>
    <col min="12709" max="12709" width="2.28515625" style="597" customWidth="1"/>
    <col min="12710" max="12710" width="2.140625" style="597" customWidth="1"/>
    <col min="12711" max="12711" width="1.140625" style="597" customWidth="1"/>
    <col min="12712" max="12713" width="2" style="597" customWidth="1"/>
    <col min="12714" max="12715" width="2.140625" style="597" customWidth="1"/>
    <col min="12716" max="12716" width="1.7109375" style="597" customWidth="1"/>
    <col min="12717" max="12717" width="0.85546875" style="597" customWidth="1"/>
    <col min="12718" max="12718" width="2" style="597" customWidth="1"/>
    <col min="12719" max="12719" width="2.140625" style="597" customWidth="1"/>
    <col min="12720" max="12964" width="11.42578125" style="597"/>
    <col min="12965" max="12965" width="2.28515625" style="597" customWidth="1"/>
    <col min="12966" max="12966" width="2.140625" style="597" customWidth="1"/>
    <col min="12967" max="12967" width="1.140625" style="597" customWidth="1"/>
    <col min="12968" max="12969" width="2" style="597" customWidth="1"/>
    <col min="12970" max="12971" width="2.140625" style="597" customWidth="1"/>
    <col min="12972" max="12972" width="1.7109375" style="597" customWidth="1"/>
    <col min="12973" max="12973" width="0.85546875" style="597" customWidth="1"/>
    <col min="12974" max="12974" width="2" style="597" customWidth="1"/>
    <col min="12975" max="12975" width="2.140625" style="597" customWidth="1"/>
    <col min="12976" max="13220" width="11.42578125" style="597"/>
    <col min="13221" max="13221" width="2.28515625" style="597" customWidth="1"/>
    <col min="13222" max="13222" width="2.140625" style="597" customWidth="1"/>
    <col min="13223" max="13223" width="1.140625" style="597" customWidth="1"/>
    <col min="13224" max="13225" width="2" style="597" customWidth="1"/>
    <col min="13226" max="13227" width="2.140625" style="597" customWidth="1"/>
    <col min="13228" max="13228" width="1.7109375" style="597" customWidth="1"/>
    <col min="13229" max="13229" width="0.85546875" style="597" customWidth="1"/>
    <col min="13230" max="13230" width="2" style="597" customWidth="1"/>
    <col min="13231" max="13231" width="2.140625" style="597" customWidth="1"/>
    <col min="13232" max="13476" width="11.42578125" style="597"/>
    <col min="13477" max="13477" width="2.28515625" style="597" customWidth="1"/>
    <col min="13478" max="13478" width="2.140625" style="597" customWidth="1"/>
    <col min="13479" max="13479" width="1.140625" style="597" customWidth="1"/>
    <col min="13480" max="13481" width="2" style="597" customWidth="1"/>
    <col min="13482" max="13483" width="2.140625" style="597" customWidth="1"/>
    <col min="13484" max="13484" width="1.7109375" style="597" customWidth="1"/>
    <col min="13485" max="13485" width="0.85546875" style="597" customWidth="1"/>
    <col min="13486" max="13486" width="2" style="597" customWidth="1"/>
    <col min="13487" max="13487" width="2.140625" style="597" customWidth="1"/>
    <col min="13488" max="13732" width="11.42578125" style="597"/>
    <col min="13733" max="13733" width="2.28515625" style="597" customWidth="1"/>
    <col min="13734" max="13734" width="2.140625" style="597" customWidth="1"/>
    <col min="13735" max="13735" width="1.140625" style="597" customWidth="1"/>
    <col min="13736" max="13737" width="2" style="597" customWidth="1"/>
    <col min="13738" max="13739" width="2.140625" style="597" customWidth="1"/>
    <col min="13740" max="13740" width="1.7109375" style="597" customWidth="1"/>
    <col min="13741" max="13741" width="0.85546875" style="597" customWidth="1"/>
    <col min="13742" max="13742" width="2" style="597" customWidth="1"/>
    <col min="13743" max="13743" width="2.140625" style="597" customWidth="1"/>
    <col min="13744" max="13988" width="11.42578125" style="597"/>
    <col min="13989" max="13989" width="2.28515625" style="597" customWidth="1"/>
    <col min="13990" max="13990" width="2.140625" style="597" customWidth="1"/>
    <col min="13991" max="13991" width="1.140625" style="597" customWidth="1"/>
    <col min="13992" max="13993" width="2" style="597" customWidth="1"/>
    <col min="13994" max="13995" width="2.140625" style="597" customWidth="1"/>
    <col min="13996" max="13996" width="1.7109375" style="597" customWidth="1"/>
    <col min="13997" max="13997" width="0.85546875" style="597" customWidth="1"/>
    <col min="13998" max="13998" width="2" style="597" customWidth="1"/>
    <col min="13999" max="13999" width="2.140625" style="597" customWidth="1"/>
    <col min="14000" max="14244" width="11.42578125" style="597"/>
    <col min="14245" max="14245" width="2.28515625" style="597" customWidth="1"/>
    <col min="14246" max="14246" width="2.140625" style="597" customWidth="1"/>
    <col min="14247" max="14247" width="1.140625" style="597" customWidth="1"/>
    <col min="14248" max="14249" width="2" style="597" customWidth="1"/>
    <col min="14250" max="14251" width="2.140625" style="597" customWidth="1"/>
    <col min="14252" max="14252" width="1.7109375" style="597" customWidth="1"/>
    <col min="14253" max="14253" width="0.85546875" style="597" customWidth="1"/>
    <col min="14254" max="14254" width="2" style="597" customWidth="1"/>
    <col min="14255" max="14255" width="2.140625" style="597" customWidth="1"/>
    <col min="14256" max="14500" width="11.42578125" style="597"/>
    <col min="14501" max="14501" width="2.28515625" style="597" customWidth="1"/>
    <col min="14502" max="14502" width="2.140625" style="597" customWidth="1"/>
    <col min="14503" max="14503" width="1.140625" style="597" customWidth="1"/>
    <col min="14504" max="14505" width="2" style="597" customWidth="1"/>
    <col min="14506" max="14507" width="2.140625" style="597" customWidth="1"/>
    <col min="14508" max="14508" width="1.7109375" style="597" customWidth="1"/>
    <col min="14509" max="14509" width="0.85546875" style="597" customWidth="1"/>
    <col min="14510" max="14510" width="2" style="597" customWidth="1"/>
    <col min="14511" max="14511" width="2.140625" style="597" customWidth="1"/>
    <col min="14512" max="14756" width="11.42578125" style="597"/>
    <col min="14757" max="14757" width="2.28515625" style="597" customWidth="1"/>
    <col min="14758" max="14758" width="2.140625" style="597" customWidth="1"/>
    <col min="14759" max="14759" width="1.140625" style="597" customWidth="1"/>
    <col min="14760" max="14761" width="2" style="597" customWidth="1"/>
    <col min="14762" max="14763" width="2.140625" style="597" customWidth="1"/>
    <col min="14764" max="14764" width="1.7109375" style="597" customWidth="1"/>
    <col min="14765" max="14765" width="0.85546875" style="597" customWidth="1"/>
    <col min="14766" max="14766" width="2" style="597" customWidth="1"/>
    <col min="14767" max="14767" width="2.140625" style="597" customWidth="1"/>
    <col min="14768" max="15012" width="11.42578125" style="597"/>
    <col min="15013" max="15013" width="2.28515625" style="597" customWidth="1"/>
    <col min="15014" max="15014" width="2.140625" style="597" customWidth="1"/>
    <col min="15015" max="15015" width="1.140625" style="597" customWidth="1"/>
    <col min="15016" max="15017" width="2" style="597" customWidth="1"/>
    <col min="15018" max="15019" width="2.140625" style="597" customWidth="1"/>
    <col min="15020" max="15020" width="1.7109375" style="597" customWidth="1"/>
    <col min="15021" max="15021" width="0.85546875" style="597" customWidth="1"/>
    <col min="15022" max="15022" width="2" style="597" customWidth="1"/>
    <col min="15023" max="15023" width="2.140625" style="597" customWidth="1"/>
    <col min="15024" max="15268" width="11.42578125" style="597"/>
    <col min="15269" max="15269" width="2.28515625" style="597" customWidth="1"/>
    <col min="15270" max="15270" width="2.140625" style="597" customWidth="1"/>
    <col min="15271" max="15271" width="1.140625" style="597" customWidth="1"/>
    <col min="15272" max="15273" width="2" style="597" customWidth="1"/>
    <col min="15274" max="15275" width="2.140625" style="597" customWidth="1"/>
    <col min="15276" max="15276" width="1.7109375" style="597" customWidth="1"/>
    <col min="15277" max="15277" width="0.85546875" style="597" customWidth="1"/>
    <col min="15278" max="15278" width="2" style="597" customWidth="1"/>
    <col min="15279" max="15279" width="2.140625" style="597" customWidth="1"/>
    <col min="15280" max="15524" width="11.42578125" style="597"/>
    <col min="15525" max="15525" width="2.28515625" style="597" customWidth="1"/>
    <col min="15526" max="15526" width="2.140625" style="597" customWidth="1"/>
    <col min="15527" max="15527" width="1.140625" style="597" customWidth="1"/>
    <col min="15528" max="15529" width="2" style="597" customWidth="1"/>
    <col min="15530" max="15531" width="2.140625" style="597" customWidth="1"/>
    <col min="15532" max="15532" width="1.7109375" style="597" customWidth="1"/>
    <col min="15533" max="15533" width="0.85546875" style="597" customWidth="1"/>
    <col min="15534" max="15534" width="2" style="597" customWidth="1"/>
    <col min="15535" max="15535" width="2.140625" style="597" customWidth="1"/>
    <col min="15536" max="15780" width="11.42578125" style="597"/>
    <col min="15781" max="15781" width="2.28515625" style="597" customWidth="1"/>
    <col min="15782" max="15782" width="2.140625" style="597" customWidth="1"/>
    <col min="15783" max="15783" width="1.140625" style="597" customWidth="1"/>
    <col min="15784" max="15785" width="2" style="597" customWidth="1"/>
    <col min="15786" max="15787" width="2.140625" style="597" customWidth="1"/>
    <col min="15788" max="15788" width="1.7109375" style="597" customWidth="1"/>
    <col min="15789" max="15789" width="0.85546875" style="597" customWidth="1"/>
    <col min="15790" max="15790" width="2" style="597" customWidth="1"/>
    <col min="15791" max="15791" width="2.140625" style="597" customWidth="1"/>
    <col min="15792" max="16036" width="11.42578125" style="597"/>
    <col min="16037" max="16037" width="2.28515625" style="597" customWidth="1"/>
    <col min="16038" max="16038" width="2.140625" style="597" customWidth="1"/>
    <col min="16039" max="16039" width="1.140625" style="597" customWidth="1"/>
    <col min="16040" max="16041" width="2" style="597" customWidth="1"/>
    <col min="16042" max="16043" width="2.140625" style="597" customWidth="1"/>
    <col min="16044" max="16044" width="1.7109375" style="597" customWidth="1"/>
    <col min="16045" max="16045" width="0.85546875" style="597" customWidth="1"/>
    <col min="16046" max="16046" width="2" style="597" customWidth="1"/>
    <col min="16047" max="16047" width="2.140625" style="597" customWidth="1"/>
    <col min="16048" max="16384" width="11.42578125" style="597"/>
  </cols>
  <sheetData>
    <row r="1" spans="2:16" ht="8.25" customHeight="1"/>
    <row r="2" spans="2:16" ht="57.75" customHeight="1"/>
    <row r="3" spans="2:16" s="594" customFormat="1" ht="15.75">
      <c r="B3" s="599"/>
      <c r="C3" s="600"/>
      <c r="D3" s="974" t="s">
        <v>19</v>
      </c>
      <c r="E3" s="975"/>
      <c r="F3" s="599"/>
      <c r="G3" s="976" t="s">
        <v>20</v>
      </c>
      <c r="H3" s="977"/>
      <c r="I3" s="977"/>
      <c r="J3" s="977"/>
      <c r="K3" s="977"/>
      <c r="L3" s="978"/>
      <c r="M3" s="693"/>
    </row>
    <row r="4" spans="2:16" s="595" customFormat="1" ht="43.5" customHeight="1">
      <c r="B4" s="682" t="s">
        <v>21</v>
      </c>
      <c r="C4" s="683" t="s">
        <v>39</v>
      </c>
      <c r="D4" s="684" t="s">
        <v>22</v>
      </c>
      <c r="E4" s="685" t="s">
        <v>23</v>
      </c>
      <c r="F4" s="686" t="s">
        <v>24</v>
      </c>
      <c r="G4" s="686" t="s">
        <v>25</v>
      </c>
      <c r="H4" s="686" t="s">
        <v>26</v>
      </c>
      <c r="I4" s="686" t="s">
        <v>27</v>
      </c>
      <c r="J4" s="685" t="s">
        <v>28</v>
      </c>
      <c r="K4" s="686" t="s">
        <v>29</v>
      </c>
      <c r="L4" s="686" t="s">
        <v>30</v>
      </c>
      <c r="M4" s="686" t="s">
        <v>31</v>
      </c>
    </row>
    <row r="5" spans="2:16" s="596" customFormat="1" ht="12">
      <c r="B5" s="606" t="s">
        <v>40</v>
      </c>
      <c r="C5" s="607">
        <f>+VLOOKUP($B5,RESUMEN!$B$45:$I$87,2,FALSE)</f>
        <v>13</v>
      </c>
      <c r="D5" s="608">
        <f>+VLOOKUP($B$5,RESUMEN!$B$45:$I$87,3,FALSE)</f>
        <v>32573522567</v>
      </c>
      <c r="E5" s="609">
        <f>D5/D$13</f>
        <v>0.34955155052634568</v>
      </c>
      <c r="F5" s="610">
        <f>+VLOOKUP($B$5,RESUMEN!$B$45:$I$87,4,FALSE)</f>
        <v>9393959757</v>
      </c>
      <c r="G5" s="608">
        <f>+VLOOKUP(B5,RESUMEN!$B$45:$I$87,5,FALSE)</f>
        <v>3524371835.6666603</v>
      </c>
      <c r="H5" s="611">
        <f t="shared" ref="H5:H12" si="0">G5/G$13</f>
        <v>0.19928582129164177</v>
      </c>
      <c r="I5" s="634">
        <f>+VLOOKUP($B5,RESUMEN!$B$45:$I$87,6,FALSE)</f>
        <v>2500595634</v>
      </c>
      <c r="J5" s="633">
        <f t="shared" ref="J5:J12" si="1">+G5-I5</f>
        <v>1023776201.6666603</v>
      </c>
      <c r="K5" s="677">
        <f>+VLOOKUP($B5,RESUMEN!$B$45:$I$87,7,FALSE)</f>
        <v>1023776201.6666601</v>
      </c>
      <c r="L5" s="635">
        <f t="shared" ref="L5:L13" si="2">I5/G5</f>
        <v>0.70951526984013435</v>
      </c>
      <c r="M5" s="636">
        <f>+VLOOKUP($B5,RESUMEN!$B$45:$I$87,8,FALSE)</f>
        <v>19655190974.33334</v>
      </c>
      <c r="O5" s="596">
        <v>3523352967</v>
      </c>
      <c r="P5" s="938">
        <f>+O5-G5</f>
        <v>-1018868.6666603088</v>
      </c>
    </row>
    <row r="6" spans="2:16" s="596" customFormat="1" ht="12">
      <c r="B6" s="612" t="s">
        <v>32</v>
      </c>
      <c r="C6" s="613">
        <f>+VLOOKUP($B6,RESUMEN!$B$45:$I$87,2,FALSE)</f>
        <v>17</v>
      </c>
      <c r="D6" s="614">
        <f>+VLOOKUP($B$6,RESUMEN!$B$45:$I$87,3,FALSE)</f>
        <v>39368094574</v>
      </c>
      <c r="E6" s="615">
        <f t="shared" ref="E6:E12" si="3">D6/D$13</f>
        <v>0.42246516235093545</v>
      </c>
      <c r="F6" s="616">
        <f>+VLOOKUP($B$6,RESUMEN!$B$45:$I$87,4,FALSE)</f>
        <v>13864577742</v>
      </c>
      <c r="G6" s="614">
        <f>+VLOOKUP(B6,RESUMEN!$B$45:$I$87,5,FALSE)</f>
        <v>6240132006</v>
      </c>
      <c r="H6" s="617">
        <f t="shared" si="0"/>
        <v>0.35284864644503089</v>
      </c>
      <c r="I6" s="676">
        <f>+VLOOKUP($B6,RESUMEN!$B$45:$I$87,6,FALSE)</f>
        <v>2414239324</v>
      </c>
      <c r="J6" s="637">
        <f t="shared" si="1"/>
        <v>3825892682</v>
      </c>
      <c r="K6" s="694">
        <f>+VLOOKUP($B6,RESUMEN!$B$45:$I$87,7,FALSE)</f>
        <v>3825892682</v>
      </c>
      <c r="L6" s="638">
        <f t="shared" si="2"/>
        <v>0.38688914299868421</v>
      </c>
      <c r="M6" s="639">
        <f>+VLOOKUP($B6,RESUMEN!$B$45:$I$87,8,FALSE)</f>
        <v>19263384826</v>
      </c>
      <c r="O6" s="596">
        <v>6230659944</v>
      </c>
      <c r="P6" s="938">
        <f t="shared" ref="P6:P12" si="4">+O6-G6</f>
        <v>-9472062</v>
      </c>
    </row>
    <row r="7" spans="2:16" s="596" customFormat="1" ht="12">
      <c r="B7" s="612" t="s">
        <v>41</v>
      </c>
      <c r="C7" s="613">
        <f>+VLOOKUP($B7,RESUMEN!$B$45:$I$87,2,FALSE)</f>
        <v>8</v>
      </c>
      <c r="D7" s="614">
        <f>+VLOOKUP($B$7,RESUMEN!$B$45:$I$87,3,FALSE)</f>
        <v>2903678000</v>
      </c>
      <c r="E7" s="615">
        <f t="shared" si="3"/>
        <v>3.1159821448279973E-2</v>
      </c>
      <c r="F7" s="616">
        <f>+VLOOKUP($B$7,RESUMEN!$B$45:$I$87,4,FALSE)</f>
        <v>7512000</v>
      </c>
      <c r="G7" s="614">
        <f>+VLOOKUP(B7,RESUMEN!$B$45:$I$87,5,FALSE)</f>
        <v>2021456076</v>
      </c>
      <c r="H7" s="617">
        <f t="shared" si="0"/>
        <v>0.11430335761789388</v>
      </c>
      <c r="I7" s="676">
        <f>+VLOOKUP($B7,RESUMEN!$B$45:$I$87,6,FALSE)</f>
        <v>1087251162</v>
      </c>
      <c r="J7" s="637">
        <f t="shared" si="1"/>
        <v>934204914</v>
      </c>
      <c r="K7" s="694">
        <f>+VLOOKUP($B7,RESUMEN!$B$45:$I$87,7,FALSE)</f>
        <v>934204914</v>
      </c>
      <c r="L7" s="638">
        <f t="shared" si="2"/>
        <v>0.53785544732261603</v>
      </c>
      <c r="M7" s="639">
        <f>+VLOOKUP($B7,RESUMEN!$B$45:$I$87,8,FALSE)</f>
        <v>874709924</v>
      </c>
      <c r="O7" s="596">
        <v>1962109538</v>
      </c>
      <c r="P7" s="938">
        <f t="shared" si="4"/>
        <v>-59346538</v>
      </c>
    </row>
    <row r="8" spans="2:16" s="596" customFormat="1" ht="12">
      <c r="B8" s="612" t="s">
        <v>42</v>
      </c>
      <c r="C8" s="613">
        <f>+VLOOKUP($B8,RESUMEN!$B$45:$I$87,2,FALSE)</f>
        <v>15</v>
      </c>
      <c r="D8" s="614">
        <f>+VLOOKUP($B$8,RESUMEN!$B$45:$I$87,3,FALSE)</f>
        <v>4745054372</v>
      </c>
      <c r="E8" s="615">
        <f t="shared" si="3"/>
        <v>5.0919918459932628E-2</v>
      </c>
      <c r="F8" s="616">
        <f>+VLOOKUP($B$8,RESUMEN!$B$45:$I$87,4,FALSE)</f>
        <v>955247076</v>
      </c>
      <c r="G8" s="614">
        <f>+VLOOKUP(B8,RESUMEN!$B$45:$I$87,5,FALSE)</f>
        <v>1946324680.3333333</v>
      </c>
      <c r="H8" s="617">
        <f t="shared" si="0"/>
        <v>0.11005504824863381</v>
      </c>
      <c r="I8" s="676">
        <f>+VLOOKUP($B8,RESUMEN!$B$45:$I$87,6,FALSE)</f>
        <v>1098533127</v>
      </c>
      <c r="J8" s="637">
        <f t="shared" si="1"/>
        <v>847791553.33333325</v>
      </c>
      <c r="K8" s="694">
        <f>+VLOOKUP($B8,RESUMEN!$B$45:$I$87,7,FALSE)</f>
        <v>847791553.33333337</v>
      </c>
      <c r="L8" s="638">
        <f t="shared" si="2"/>
        <v>0.56441411759309446</v>
      </c>
      <c r="M8" s="639">
        <f>+VLOOKUP($B8,RESUMEN!$B$45:$I$87,8,FALSE)</f>
        <v>1843482615.6666665</v>
      </c>
      <c r="O8" s="596">
        <v>1946324680</v>
      </c>
      <c r="P8" s="938">
        <f t="shared" si="4"/>
        <v>-0.33333325386047363</v>
      </c>
    </row>
    <row r="9" spans="2:16" s="596" customFormat="1" ht="12">
      <c r="B9" s="618" t="s">
        <v>43</v>
      </c>
      <c r="C9" s="613">
        <f>+VLOOKUP($B9,RESUMEN!$B$45:$I$87,2,FALSE)</f>
        <v>7</v>
      </c>
      <c r="D9" s="614">
        <f>+VLOOKUP($B$9,RESUMEN!$B$45:$I$87,3,FALSE)</f>
        <v>3869018160</v>
      </c>
      <c r="E9" s="615">
        <f t="shared" si="3"/>
        <v>4.1519037250601722E-2</v>
      </c>
      <c r="F9" s="616">
        <f>+VLOOKUP($B$9,RESUMEN!$B$45:$I$87,4,FALSE)</f>
        <v>3115184988</v>
      </c>
      <c r="G9" s="614">
        <f>+VLOOKUP(B9,RESUMEN!$B$45:$I$87,5,FALSE)</f>
        <v>712506633</v>
      </c>
      <c r="H9" s="617">
        <f t="shared" si="0"/>
        <v>4.0288731199183608E-2</v>
      </c>
      <c r="I9" s="676">
        <f>+VLOOKUP($B9,RESUMEN!$B$45:$I$87,6,FALSE)</f>
        <v>383684418</v>
      </c>
      <c r="J9" s="637">
        <f t="shared" si="1"/>
        <v>328822215</v>
      </c>
      <c r="K9" s="694">
        <f>+VLOOKUP($B9,RESUMEN!$B$45:$I$87,7,FALSE)</f>
        <v>328822215</v>
      </c>
      <c r="L9" s="638">
        <f t="shared" si="2"/>
        <v>0.53849943316948745</v>
      </c>
      <c r="M9" s="639">
        <f>+VLOOKUP($B9,RESUMEN!$B$45:$I$87,8,FALSE)</f>
        <v>41326539</v>
      </c>
      <c r="O9" s="596">
        <v>712506633</v>
      </c>
      <c r="P9" s="938">
        <f t="shared" si="4"/>
        <v>0</v>
      </c>
    </row>
    <row r="10" spans="2:16" s="596" customFormat="1" ht="12">
      <c r="B10" s="618" t="s">
        <v>44</v>
      </c>
      <c r="C10" s="613">
        <f>+VLOOKUP($B10,RESUMEN!$B$45:$I$87,2,FALSE)</f>
        <v>7</v>
      </c>
      <c r="D10" s="614">
        <f>+VLOOKUP($B$10,RESUMEN!$B$45:$I$87,3,FALSE)</f>
        <v>2041600887</v>
      </c>
      <c r="E10" s="615">
        <f t="shared" si="3"/>
        <v>2.190873750724771E-2</v>
      </c>
      <c r="F10" s="616">
        <f>+VLOOKUP($B$10,RESUMEN!$B$45:$I$87,4,FALSE)</f>
        <v>913033364</v>
      </c>
      <c r="G10" s="614">
        <f>+VLOOKUP(B10,RESUMEN!$B$45:$I$87,5,FALSE)</f>
        <v>1071191420</v>
      </c>
      <c r="H10" s="617">
        <f t="shared" si="0"/>
        <v>6.0570584447108992E-2</v>
      </c>
      <c r="I10" s="676">
        <f>+VLOOKUP($B10,RESUMEN!$B$45:$I$87,6,FALSE)</f>
        <v>888493482</v>
      </c>
      <c r="J10" s="637">
        <f t="shared" si="1"/>
        <v>182697938</v>
      </c>
      <c r="K10" s="694">
        <f>+VLOOKUP($B10,RESUMEN!$B$45:$I$87,7,FALSE)</f>
        <v>182697938</v>
      </c>
      <c r="L10" s="638">
        <f t="shared" si="2"/>
        <v>0.82944417347928345</v>
      </c>
      <c r="M10" s="639">
        <f>+VLOOKUP($B10,RESUMEN!$B$45:$I$87,8,FALSE)</f>
        <v>57376103</v>
      </c>
      <c r="O10" s="596">
        <v>1071191420</v>
      </c>
      <c r="P10" s="938">
        <f t="shared" si="4"/>
        <v>0</v>
      </c>
    </row>
    <row r="11" spans="2:16" s="596" customFormat="1" ht="12">
      <c r="B11" s="618" t="s">
        <v>45</v>
      </c>
      <c r="C11" s="613">
        <f>+VLOOKUP($B11,RESUMEN!$B$45:$I$87,2,FALSE)</f>
        <v>5</v>
      </c>
      <c r="D11" s="614">
        <f>+VLOOKUP($B$11,RESUMEN!$B$45:$I$87,3,FALSE)</f>
        <v>6615101000</v>
      </c>
      <c r="E11" s="615">
        <f t="shared" si="3"/>
        <v>7.098768045986445E-2</v>
      </c>
      <c r="F11" s="616">
        <f>+VLOOKUP($B$11,RESUMEN!$B$45:$I$87,4,FALSE)</f>
        <v>3059398659</v>
      </c>
      <c r="G11" s="614">
        <f>+VLOOKUP(B11,RESUMEN!$B$45:$I$87,5,FALSE)</f>
        <v>1257875803</v>
      </c>
      <c r="H11" s="617">
        <f t="shared" si="0"/>
        <v>7.1126664316996241E-2</v>
      </c>
      <c r="I11" s="676">
        <f>+VLOOKUP($B11,RESUMEN!$B$45:$I$87,6,FALSE)</f>
        <v>597761253</v>
      </c>
      <c r="J11" s="637">
        <f t="shared" si="1"/>
        <v>660114550</v>
      </c>
      <c r="K11" s="694">
        <f>+VLOOKUP($B11,RESUMEN!$B$45:$I$87,7,FALSE)</f>
        <v>660114550</v>
      </c>
      <c r="L11" s="638">
        <f t="shared" si="2"/>
        <v>0.47521484360725874</v>
      </c>
      <c r="M11" s="639">
        <f>+VLOOKUP($B11,RESUMEN!$B$45:$I$87,8,FALSE)</f>
        <v>2297826538</v>
      </c>
      <c r="O11" s="596">
        <v>1453174341</v>
      </c>
      <c r="P11" s="938">
        <f t="shared" si="4"/>
        <v>195298538</v>
      </c>
    </row>
    <row r="12" spans="2:16" s="596" customFormat="1" ht="12">
      <c r="B12" s="618" t="s">
        <v>46</v>
      </c>
      <c r="C12" s="613">
        <f>+VLOOKUP($B12,RESUMEN!$B$45:$I$87,2,FALSE)</f>
        <v>8</v>
      </c>
      <c r="D12" s="614">
        <f>+VLOOKUP($B$12,RESUMEN!$B$45:$I$87,3,FALSE)</f>
        <v>1070536301</v>
      </c>
      <c r="E12" s="615">
        <f t="shared" si="3"/>
        <v>1.148809199679238E-2</v>
      </c>
      <c r="F12" s="616">
        <f>+VLOOKUP($B$12,RESUMEN!$B$45:$I$87,4,FALSE)</f>
        <v>159110258</v>
      </c>
      <c r="G12" s="614">
        <f>+VLOOKUP(B12,RESUMEN!$B$45:$I$87,5,FALSE)</f>
        <v>911152014</v>
      </c>
      <c r="H12" s="617">
        <f t="shared" si="0"/>
        <v>5.1521146433510856E-2</v>
      </c>
      <c r="I12" s="676">
        <f>+VLOOKUP($B12,RESUMEN!$B$45:$I$87,6,FALSE)</f>
        <v>378698492</v>
      </c>
      <c r="J12" s="637">
        <f t="shared" si="1"/>
        <v>532453522</v>
      </c>
      <c r="K12" s="694">
        <f>+VLOOKUP($B12,RESUMEN!$B$45:$I$87,7,FALSE)</f>
        <v>532453522</v>
      </c>
      <c r="L12" s="638">
        <f t="shared" si="2"/>
        <v>0.41562602746987948</v>
      </c>
      <c r="M12" s="639">
        <f>+VLOOKUP($B12,RESUMEN!$B$45:$I$87,8,FALSE)</f>
        <v>274029</v>
      </c>
      <c r="O12" s="596">
        <v>775200014</v>
      </c>
      <c r="P12" s="938">
        <f t="shared" si="4"/>
        <v>-135952000</v>
      </c>
    </row>
    <row r="13" spans="2:16">
      <c r="B13" s="687" t="s">
        <v>38</v>
      </c>
      <c r="C13" s="688">
        <f>SUM(C5:C12)</f>
        <v>80</v>
      </c>
      <c r="D13" s="689">
        <f>SUM(D5:D12)</f>
        <v>93186605861</v>
      </c>
      <c r="E13" s="690">
        <f t="shared" ref="E13" si="5">D13/D$13</f>
        <v>1</v>
      </c>
      <c r="F13" s="691">
        <f t="shared" ref="F13:K13" si="6">SUM(F5:F12)</f>
        <v>31468023844</v>
      </c>
      <c r="G13" s="689">
        <f t="shared" si="6"/>
        <v>17685010467.999992</v>
      </c>
      <c r="H13" s="692">
        <f t="shared" si="6"/>
        <v>1</v>
      </c>
      <c r="I13" s="695">
        <f t="shared" si="6"/>
        <v>9349256892</v>
      </c>
      <c r="J13" s="695">
        <f t="shared" si="6"/>
        <v>8335753575.9999933</v>
      </c>
      <c r="K13" s="696">
        <f t="shared" si="6"/>
        <v>8335753575.9999933</v>
      </c>
      <c r="L13" s="697">
        <f t="shared" si="2"/>
        <v>0.52865430353671217</v>
      </c>
      <c r="M13" s="698">
        <f>SUM(M5:M12)</f>
        <v>44033571549.000008</v>
      </c>
      <c r="O13" s="597">
        <f>SUM(O5:O12)</f>
        <v>17674519537</v>
      </c>
      <c r="P13" s="936">
        <f>SUM(P5:P12)</f>
        <v>-10490930.999993563</v>
      </c>
    </row>
    <row r="14" spans="2:16" ht="18">
      <c r="B14" s="479"/>
      <c r="C14" s="630"/>
      <c r="D14" s="547"/>
      <c r="E14" s="547"/>
      <c r="F14" s="547"/>
      <c r="G14" s="547"/>
      <c r="H14" s="479"/>
      <c r="I14" s="547"/>
      <c r="J14" s="547"/>
      <c r="K14" s="547"/>
      <c r="L14" s="547"/>
      <c r="M14" s="511"/>
    </row>
    <row r="17" ht="66.75" customHeight="1"/>
    <row r="21" ht="46.5" customHeight="1"/>
    <row r="26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01" bottom="0.74791666666666701" header="0.31388888888888899" footer="0.31388888888888899"/>
  <pageSetup paperSize="5" scale="9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Q28"/>
  <sheetViews>
    <sheetView view="pageBreakPreview" topLeftCell="B2" zoomScale="90" zoomScaleNormal="100" zoomScaleSheetLayoutView="90" workbookViewId="0">
      <selection activeCell="O2" sqref="O2"/>
    </sheetView>
  </sheetViews>
  <sheetFormatPr baseColWidth="10" defaultColWidth="11.42578125" defaultRowHeight="15"/>
  <cols>
    <col min="1" max="1" width="6.7109375" style="597" customWidth="1"/>
    <col min="2" max="2" width="16.7109375" style="597" customWidth="1"/>
    <col min="3" max="3" width="12.140625" style="598" customWidth="1"/>
    <col min="4" max="4" width="15.7109375" style="597" bestFit="1" customWidth="1"/>
    <col min="5" max="5" width="10.42578125" style="597" customWidth="1"/>
    <col min="6" max="6" width="15.7109375" style="597" customWidth="1"/>
    <col min="7" max="7" width="14.7109375" style="597" customWidth="1"/>
    <col min="8" max="8" width="14.140625" style="597" customWidth="1"/>
    <col min="9" max="9" width="17.140625" style="597" bestFit="1" customWidth="1"/>
    <col min="10" max="10" width="15" style="597" hidden="1" customWidth="1"/>
    <col min="11" max="11" width="14.5703125" style="597" bestFit="1" customWidth="1"/>
    <col min="12" max="12" width="11.28515625" style="597" customWidth="1"/>
    <col min="13" max="13" width="14.7109375" style="597" customWidth="1"/>
    <col min="14" max="14" width="6.7109375" style="597" customWidth="1"/>
    <col min="15" max="15" width="13" style="597" bestFit="1" customWidth="1"/>
    <col min="16" max="16" width="12.140625" style="597" bestFit="1" customWidth="1"/>
    <col min="17" max="164" width="11.42578125" style="597"/>
    <col min="165" max="165" width="2.28515625" style="597" customWidth="1"/>
    <col min="166" max="166" width="2.140625" style="597" customWidth="1"/>
    <col min="167" max="167" width="1.140625" style="597" customWidth="1"/>
    <col min="168" max="169" width="2" style="597" customWidth="1"/>
    <col min="170" max="171" width="2.140625" style="597" customWidth="1"/>
    <col min="172" max="172" width="1.7109375" style="597" customWidth="1"/>
    <col min="173" max="173" width="0.85546875" style="597" customWidth="1"/>
    <col min="174" max="174" width="2" style="597" customWidth="1"/>
    <col min="175" max="175" width="2.140625" style="597" customWidth="1"/>
    <col min="176" max="420" width="11.42578125" style="597"/>
    <col min="421" max="421" width="2.28515625" style="597" customWidth="1"/>
    <col min="422" max="422" width="2.140625" style="597" customWidth="1"/>
    <col min="423" max="423" width="1.140625" style="597" customWidth="1"/>
    <col min="424" max="425" width="2" style="597" customWidth="1"/>
    <col min="426" max="427" width="2.140625" style="597" customWidth="1"/>
    <col min="428" max="428" width="1.7109375" style="597" customWidth="1"/>
    <col min="429" max="429" width="0.85546875" style="597" customWidth="1"/>
    <col min="430" max="430" width="2" style="597" customWidth="1"/>
    <col min="431" max="431" width="2.140625" style="597" customWidth="1"/>
    <col min="432" max="676" width="11.42578125" style="597"/>
    <col min="677" max="677" width="2.28515625" style="597" customWidth="1"/>
    <col min="678" max="678" width="2.140625" style="597" customWidth="1"/>
    <col min="679" max="679" width="1.140625" style="597" customWidth="1"/>
    <col min="680" max="681" width="2" style="597" customWidth="1"/>
    <col min="682" max="683" width="2.140625" style="597" customWidth="1"/>
    <col min="684" max="684" width="1.7109375" style="597" customWidth="1"/>
    <col min="685" max="685" width="0.85546875" style="597" customWidth="1"/>
    <col min="686" max="686" width="2" style="597" customWidth="1"/>
    <col min="687" max="687" width="2.140625" style="597" customWidth="1"/>
    <col min="688" max="932" width="11.42578125" style="597"/>
    <col min="933" max="933" width="2.28515625" style="597" customWidth="1"/>
    <col min="934" max="934" width="2.140625" style="597" customWidth="1"/>
    <col min="935" max="935" width="1.140625" style="597" customWidth="1"/>
    <col min="936" max="937" width="2" style="597" customWidth="1"/>
    <col min="938" max="939" width="2.140625" style="597" customWidth="1"/>
    <col min="940" max="940" width="1.7109375" style="597" customWidth="1"/>
    <col min="941" max="941" width="0.85546875" style="597" customWidth="1"/>
    <col min="942" max="942" width="2" style="597" customWidth="1"/>
    <col min="943" max="943" width="2.140625" style="597" customWidth="1"/>
    <col min="944" max="1188" width="11.42578125" style="597"/>
    <col min="1189" max="1189" width="2.28515625" style="597" customWidth="1"/>
    <col min="1190" max="1190" width="2.140625" style="597" customWidth="1"/>
    <col min="1191" max="1191" width="1.140625" style="597" customWidth="1"/>
    <col min="1192" max="1193" width="2" style="597" customWidth="1"/>
    <col min="1194" max="1195" width="2.140625" style="597" customWidth="1"/>
    <col min="1196" max="1196" width="1.7109375" style="597" customWidth="1"/>
    <col min="1197" max="1197" width="0.85546875" style="597" customWidth="1"/>
    <col min="1198" max="1198" width="2" style="597" customWidth="1"/>
    <col min="1199" max="1199" width="2.140625" style="597" customWidth="1"/>
    <col min="1200" max="1444" width="11.42578125" style="597"/>
    <col min="1445" max="1445" width="2.28515625" style="597" customWidth="1"/>
    <col min="1446" max="1446" width="2.140625" style="597" customWidth="1"/>
    <col min="1447" max="1447" width="1.140625" style="597" customWidth="1"/>
    <col min="1448" max="1449" width="2" style="597" customWidth="1"/>
    <col min="1450" max="1451" width="2.140625" style="597" customWidth="1"/>
    <col min="1452" max="1452" width="1.7109375" style="597" customWidth="1"/>
    <col min="1453" max="1453" width="0.85546875" style="597" customWidth="1"/>
    <col min="1454" max="1454" width="2" style="597" customWidth="1"/>
    <col min="1455" max="1455" width="2.140625" style="597" customWidth="1"/>
    <col min="1456" max="1700" width="11.42578125" style="597"/>
    <col min="1701" max="1701" width="2.28515625" style="597" customWidth="1"/>
    <col min="1702" max="1702" width="2.140625" style="597" customWidth="1"/>
    <col min="1703" max="1703" width="1.140625" style="597" customWidth="1"/>
    <col min="1704" max="1705" width="2" style="597" customWidth="1"/>
    <col min="1706" max="1707" width="2.140625" style="597" customWidth="1"/>
    <col min="1708" max="1708" width="1.7109375" style="597" customWidth="1"/>
    <col min="1709" max="1709" width="0.85546875" style="597" customWidth="1"/>
    <col min="1710" max="1710" width="2" style="597" customWidth="1"/>
    <col min="1711" max="1711" width="2.140625" style="597" customWidth="1"/>
    <col min="1712" max="1956" width="11.42578125" style="597"/>
    <col min="1957" max="1957" width="2.28515625" style="597" customWidth="1"/>
    <col min="1958" max="1958" width="2.140625" style="597" customWidth="1"/>
    <col min="1959" max="1959" width="1.140625" style="597" customWidth="1"/>
    <col min="1960" max="1961" width="2" style="597" customWidth="1"/>
    <col min="1962" max="1963" width="2.140625" style="597" customWidth="1"/>
    <col min="1964" max="1964" width="1.7109375" style="597" customWidth="1"/>
    <col min="1965" max="1965" width="0.85546875" style="597" customWidth="1"/>
    <col min="1966" max="1966" width="2" style="597" customWidth="1"/>
    <col min="1967" max="1967" width="2.140625" style="597" customWidth="1"/>
    <col min="1968" max="2212" width="11.42578125" style="597"/>
    <col min="2213" max="2213" width="2.28515625" style="597" customWidth="1"/>
    <col min="2214" max="2214" width="2.140625" style="597" customWidth="1"/>
    <col min="2215" max="2215" width="1.140625" style="597" customWidth="1"/>
    <col min="2216" max="2217" width="2" style="597" customWidth="1"/>
    <col min="2218" max="2219" width="2.140625" style="597" customWidth="1"/>
    <col min="2220" max="2220" width="1.7109375" style="597" customWidth="1"/>
    <col min="2221" max="2221" width="0.85546875" style="597" customWidth="1"/>
    <col min="2222" max="2222" width="2" style="597" customWidth="1"/>
    <col min="2223" max="2223" width="2.140625" style="597" customWidth="1"/>
    <col min="2224" max="2468" width="11.42578125" style="597"/>
    <col min="2469" max="2469" width="2.28515625" style="597" customWidth="1"/>
    <col min="2470" max="2470" width="2.140625" style="597" customWidth="1"/>
    <col min="2471" max="2471" width="1.140625" style="597" customWidth="1"/>
    <col min="2472" max="2473" width="2" style="597" customWidth="1"/>
    <col min="2474" max="2475" width="2.140625" style="597" customWidth="1"/>
    <col min="2476" max="2476" width="1.7109375" style="597" customWidth="1"/>
    <col min="2477" max="2477" width="0.85546875" style="597" customWidth="1"/>
    <col min="2478" max="2478" width="2" style="597" customWidth="1"/>
    <col min="2479" max="2479" width="2.140625" style="597" customWidth="1"/>
    <col min="2480" max="2724" width="11.42578125" style="597"/>
    <col min="2725" max="2725" width="2.28515625" style="597" customWidth="1"/>
    <col min="2726" max="2726" width="2.140625" style="597" customWidth="1"/>
    <col min="2727" max="2727" width="1.140625" style="597" customWidth="1"/>
    <col min="2728" max="2729" width="2" style="597" customWidth="1"/>
    <col min="2730" max="2731" width="2.140625" style="597" customWidth="1"/>
    <col min="2732" max="2732" width="1.7109375" style="597" customWidth="1"/>
    <col min="2733" max="2733" width="0.85546875" style="597" customWidth="1"/>
    <col min="2734" max="2734" width="2" style="597" customWidth="1"/>
    <col min="2735" max="2735" width="2.140625" style="597" customWidth="1"/>
    <col min="2736" max="2980" width="11.42578125" style="597"/>
    <col min="2981" max="2981" width="2.28515625" style="597" customWidth="1"/>
    <col min="2982" max="2982" width="2.140625" style="597" customWidth="1"/>
    <col min="2983" max="2983" width="1.140625" style="597" customWidth="1"/>
    <col min="2984" max="2985" width="2" style="597" customWidth="1"/>
    <col min="2986" max="2987" width="2.140625" style="597" customWidth="1"/>
    <col min="2988" max="2988" width="1.7109375" style="597" customWidth="1"/>
    <col min="2989" max="2989" width="0.85546875" style="597" customWidth="1"/>
    <col min="2990" max="2990" width="2" style="597" customWidth="1"/>
    <col min="2991" max="2991" width="2.140625" style="597" customWidth="1"/>
    <col min="2992" max="3236" width="11.42578125" style="597"/>
    <col min="3237" max="3237" width="2.28515625" style="597" customWidth="1"/>
    <col min="3238" max="3238" width="2.140625" style="597" customWidth="1"/>
    <col min="3239" max="3239" width="1.140625" style="597" customWidth="1"/>
    <col min="3240" max="3241" width="2" style="597" customWidth="1"/>
    <col min="3242" max="3243" width="2.140625" style="597" customWidth="1"/>
    <col min="3244" max="3244" width="1.7109375" style="597" customWidth="1"/>
    <col min="3245" max="3245" width="0.85546875" style="597" customWidth="1"/>
    <col min="3246" max="3246" width="2" style="597" customWidth="1"/>
    <col min="3247" max="3247" width="2.140625" style="597" customWidth="1"/>
    <col min="3248" max="3492" width="11.42578125" style="597"/>
    <col min="3493" max="3493" width="2.28515625" style="597" customWidth="1"/>
    <col min="3494" max="3494" width="2.140625" style="597" customWidth="1"/>
    <col min="3495" max="3495" width="1.140625" style="597" customWidth="1"/>
    <col min="3496" max="3497" width="2" style="597" customWidth="1"/>
    <col min="3498" max="3499" width="2.140625" style="597" customWidth="1"/>
    <col min="3500" max="3500" width="1.7109375" style="597" customWidth="1"/>
    <col min="3501" max="3501" width="0.85546875" style="597" customWidth="1"/>
    <col min="3502" max="3502" width="2" style="597" customWidth="1"/>
    <col min="3503" max="3503" width="2.140625" style="597" customWidth="1"/>
    <col min="3504" max="3748" width="11.42578125" style="597"/>
    <col min="3749" max="3749" width="2.28515625" style="597" customWidth="1"/>
    <col min="3750" max="3750" width="2.140625" style="597" customWidth="1"/>
    <col min="3751" max="3751" width="1.140625" style="597" customWidth="1"/>
    <col min="3752" max="3753" width="2" style="597" customWidth="1"/>
    <col min="3754" max="3755" width="2.140625" style="597" customWidth="1"/>
    <col min="3756" max="3756" width="1.7109375" style="597" customWidth="1"/>
    <col min="3757" max="3757" width="0.85546875" style="597" customWidth="1"/>
    <col min="3758" max="3758" width="2" style="597" customWidth="1"/>
    <col min="3759" max="3759" width="2.140625" style="597" customWidth="1"/>
    <col min="3760" max="4004" width="11.42578125" style="597"/>
    <col min="4005" max="4005" width="2.28515625" style="597" customWidth="1"/>
    <col min="4006" max="4006" width="2.140625" style="597" customWidth="1"/>
    <col min="4007" max="4007" width="1.140625" style="597" customWidth="1"/>
    <col min="4008" max="4009" width="2" style="597" customWidth="1"/>
    <col min="4010" max="4011" width="2.140625" style="597" customWidth="1"/>
    <col min="4012" max="4012" width="1.7109375" style="597" customWidth="1"/>
    <col min="4013" max="4013" width="0.85546875" style="597" customWidth="1"/>
    <col min="4014" max="4014" width="2" style="597" customWidth="1"/>
    <col min="4015" max="4015" width="2.140625" style="597" customWidth="1"/>
    <col min="4016" max="4260" width="11.42578125" style="597"/>
    <col min="4261" max="4261" width="2.28515625" style="597" customWidth="1"/>
    <col min="4262" max="4262" width="2.140625" style="597" customWidth="1"/>
    <col min="4263" max="4263" width="1.140625" style="597" customWidth="1"/>
    <col min="4264" max="4265" width="2" style="597" customWidth="1"/>
    <col min="4266" max="4267" width="2.140625" style="597" customWidth="1"/>
    <col min="4268" max="4268" width="1.7109375" style="597" customWidth="1"/>
    <col min="4269" max="4269" width="0.85546875" style="597" customWidth="1"/>
    <col min="4270" max="4270" width="2" style="597" customWidth="1"/>
    <col min="4271" max="4271" width="2.140625" style="597" customWidth="1"/>
    <col min="4272" max="4516" width="11.42578125" style="597"/>
    <col min="4517" max="4517" width="2.28515625" style="597" customWidth="1"/>
    <col min="4518" max="4518" width="2.140625" style="597" customWidth="1"/>
    <col min="4519" max="4519" width="1.140625" style="597" customWidth="1"/>
    <col min="4520" max="4521" width="2" style="597" customWidth="1"/>
    <col min="4522" max="4523" width="2.140625" style="597" customWidth="1"/>
    <col min="4524" max="4524" width="1.7109375" style="597" customWidth="1"/>
    <col min="4525" max="4525" width="0.85546875" style="597" customWidth="1"/>
    <col min="4526" max="4526" width="2" style="597" customWidth="1"/>
    <col min="4527" max="4527" width="2.140625" style="597" customWidth="1"/>
    <col min="4528" max="4772" width="11.42578125" style="597"/>
    <col min="4773" max="4773" width="2.28515625" style="597" customWidth="1"/>
    <col min="4774" max="4774" width="2.140625" style="597" customWidth="1"/>
    <col min="4775" max="4775" width="1.140625" style="597" customWidth="1"/>
    <col min="4776" max="4777" width="2" style="597" customWidth="1"/>
    <col min="4778" max="4779" width="2.140625" style="597" customWidth="1"/>
    <col min="4780" max="4780" width="1.7109375" style="597" customWidth="1"/>
    <col min="4781" max="4781" width="0.85546875" style="597" customWidth="1"/>
    <col min="4782" max="4782" width="2" style="597" customWidth="1"/>
    <col min="4783" max="4783" width="2.140625" style="597" customWidth="1"/>
    <col min="4784" max="5028" width="11.42578125" style="597"/>
    <col min="5029" max="5029" width="2.28515625" style="597" customWidth="1"/>
    <col min="5030" max="5030" width="2.140625" style="597" customWidth="1"/>
    <col min="5031" max="5031" width="1.140625" style="597" customWidth="1"/>
    <col min="5032" max="5033" width="2" style="597" customWidth="1"/>
    <col min="5034" max="5035" width="2.140625" style="597" customWidth="1"/>
    <col min="5036" max="5036" width="1.7109375" style="597" customWidth="1"/>
    <col min="5037" max="5037" width="0.85546875" style="597" customWidth="1"/>
    <col min="5038" max="5038" width="2" style="597" customWidth="1"/>
    <col min="5039" max="5039" width="2.140625" style="597" customWidth="1"/>
    <col min="5040" max="5284" width="11.42578125" style="597"/>
    <col min="5285" max="5285" width="2.28515625" style="597" customWidth="1"/>
    <col min="5286" max="5286" width="2.140625" style="597" customWidth="1"/>
    <col min="5287" max="5287" width="1.140625" style="597" customWidth="1"/>
    <col min="5288" max="5289" width="2" style="597" customWidth="1"/>
    <col min="5290" max="5291" width="2.140625" style="597" customWidth="1"/>
    <col min="5292" max="5292" width="1.7109375" style="597" customWidth="1"/>
    <col min="5293" max="5293" width="0.85546875" style="597" customWidth="1"/>
    <col min="5294" max="5294" width="2" style="597" customWidth="1"/>
    <col min="5295" max="5295" width="2.140625" style="597" customWidth="1"/>
    <col min="5296" max="5540" width="11.42578125" style="597"/>
    <col min="5541" max="5541" width="2.28515625" style="597" customWidth="1"/>
    <col min="5542" max="5542" width="2.140625" style="597" customWidth="1"/>
    <col min="5543" max="5543" width="1.140625" style="597" customWidth="1"/>
    <col min="5544" max="5545" width="2" style="597" customWidth="1"/>
    <col min="5546" max="5547" width="2.140625" style="597" customWidth="1"/>
    <col min="5548" max="5548" width="1.7109375" style="597" customWidth="1"/>
    <col min="5549" max="5549" width="0.85546875" style="597" customWidth="1"/>
    <col min="5550" max="5550" width="2" style="597" customWidth="1"/>
    <col min="5551" max="5551" width="2.140625" style="597" customWidth="1"/>
    <col min="5552" max="5796" width="11.42578125" style="597"/>
    <col min="5797" max="5797" width="2.28515625" style="597" customWidth="1"/>
    <col min="5798" max="5798" width="2.140625" style="597" customWidth="1"/>
    <col min="5799" max="5799" width="1.140625" style="597" customWidth="1"/>
    <col min="5800" max="5801" width="2" style="597" customWidth="1"/>
    <col min="5802" max="5803" width="2.140625" style="597" customWidth="1"/>
    <col min="5804" max="5804" width="1.7109375" style="597" customWidth="1"/>
    <col min="5805" max="5805" width="0.85546875" style="597" customWidth="1"/>
    <col min="5806" max="5806" width="2" style="597" customWidth="1"/>
    <col min="5807" max="5807" width="2.140625" style="597" customWidth="1"/>
    <col min="5808" max="6052" width="11.42578125" style="597"/>
    <col min="6053" max="6053" width="2.28515625" style="597" customWidth="1"/>
    <col min="6054" max="6054" width="2.140625" style="597" customWidth="1"/>
    <col min="6055" max="6055" width="1.140625" style="597" customWidth="1"/>
    <col min="6056" max="6057" width="2" style="597" customWidth="1"/>
    <col min="6058" max="6059" width="2.140625" style="597" customWidth="1"/>
    <col min="6060" max="6060" width="1.7109375" style="597" customWidth="1"/>
    <col min="6061" max="6061" width="0.85546875" style="597" customWidth="1"/>
    <col min="6062" max="6062" width="2" style="597" customWidth="1"/>
    <col min="6063" max="6063" width="2.140625" style="597" customWidth="1"/>
    <col min="6064" max="6308" width="11.42578125" style="597"/>
    <col min="6309" max="6309" width="2.28515625" style="597" customWidth="1"/>
    <col min="6310" max="6310" width="2.140625" style="597" customWidth="1"/>
    <col min="6311" max="6311" width="1.140625" style="597" customWidth="1"/>
    <col min="6312" max="6313" width="2" style="597" customWidth="1"/>
    <col min="6314" max="6315" width="2.140625" style="597" customWidth="1"/>
    <col min="6316" max="6316" width="1.7109375" style="597" customWidth="1"/>
    <col min="6317" max="6317" width="0.85546875" style="597" customWidth="1"/>
    <col min="6318" max="6318" width="2" style="597" customWidth="1"/>
    <col min="6319" max="6319" width="2.140625" style="597" customWidth="1"/>
    <col min="6320" max="6564" width="11.42578125" style="597"/>
    <col min="6565" max="6565" width="2.28515625" style="597" customWidth="1"/>
    <col min="6566" max="6566" width="2.140625" style="597" customWidth="1"/>
    <col min="6567" max="6567" width="1.140625" style="597" customWidth="1"/>
    <col min="6568" max="6569" width="2" style="597" customWidth="1"/>
    <col min="6570" max="6571" width="2.140625" style="597" customWidth="1"/>
    <col min="6572" max="6572" width="1.7109375" style="597" customWidth="1"/>
    <col min="6573" max="6573" width="0.85546875" style="597" customWidth="1"/>
    <col min="6574" max="6574" width="2" style="597" customWidth="1"/>
    <col min="6575" max="6575" width="2.140625" style="597" customWidth="1"/>
    <col min="6576" max="6820" width="11.42578125" style="597"/>
    <col min="6821" max="6821" width="2.28515625" style="597" customWidth="1"/>
    <col min="6822" max="6822" width="2.140625" style="597" customWidth="1"/>
    <col min="6823" max="6823" width="1.140625" style="597" customWidth="1"/>
    <col min="6824" max="6825" width="2" style="597" customWidth="1"/>
    <col min="6826" max="6827" width="2.140625" style="597" customWidth="1"/>
    <col min="6828" max="6828" width="1.7109375" style="597" customWidth="1"/>
    <col min="6829" max="6829" width="0.85546875" style="597" customWidth="1"/>
    <col min="6830" max="6830" width="2" style="597" customWidth="1"/>
    <col min="6831" max="6831" width="2.140625" style="597" customWidth="1"/>
    <col min="6832" max="7076" width="11.42578125" style="597"/>
    <col min="7077" max="7077" width="2.28515625" style="597" customWidth="1"/>
    <col min="7078" max="7078" width="2.140625" style="597" customWidth="1"/>
    <col min="7079" max="7079" width="1.140625" style="597" customWidth="1"/>
    <col min="7080" max="7081" width="2" style="597" customWidth="1"/>
    <col min="7082" max="7083" width="2.140625" style="597" customWidth="1"/>
    <col min="7084" max="7084" width="1.7109375" style="597" customWidth="1"/>
    <col min="7085" max="7085" width="0.85546875" style="597" customWidth="1"/>
    <col min="7086" max="7086" width="2" style="597" customWidth="1"/>
    <col min="7087" max="7087" width="2.140625" style="597" customWidth="1"/>
    <col min="7088" max="7332" width="11.42578125" style="597"/>
    <col min="7333" max="7333" width="2.28515625" style="597" customWidth="1"/>
    <col min="7334" max="7334" width="2.140625" style="597" customWidth="1"/>
    <col min="7335" max="7335" width="1.140625" style="597" customWidth="1"/>
    <col min="7336" max="7337" width="2" style="597" customWidth="1"/>
    <col min="7338" max="7339" width="2.140625" style="597" customWidth="1"/>
    <col min="7340" max="7340" width="1.7109375" style="597" customWidth="1"/>
    <col min="7341" max="7341" width="0.85546875" style="597" customWidth="1"/>
    <col min="7342" max="7342" width="2" style="597" customWidth="1"/>
    <col min="7343" max="7343" width="2.140625" style="597" customWidth="1"/>
    <col min="7344" max="7588" width="11.42578125" style="597"/>
    <col min="7589" max="7589" width="2.28515625" style="597" customWidth="1"/>
    <col min="7590" max="7590" width="2.140625" style="597" customWidth="1"/>
    <col min="7591" max="7591" width="1.140625" style="597" customWidth="1"/>
    <col min="7592" max="7593" width="2" style="597" customWidth="1"/>
    <col min="7594" max="7595" width="2.140625" style="597" customWidth="1"/>
    <col min="7596" max="7596" width="1.7109375" style="597" customWidth="1"/>
    <col min="7597" max="7597" width="0.85546875" style="597" customWidth="1"/>
    <col min="7598" max="7598" width="2" style="597" customWidth="1"/>
    <col min="7599" max="7599" width="2.140625" style="597" customWidth="1"/>
    <col min="7600" max="7844" width="11.42578125" style="597"/>
    <col min="7845" max="7845" width="2.28515625" style="597" customWidth="1"/>
    <col min="7846" max="7846" width="2.140625" style="597" customWidth="1"/>
    <col min="7847" max="7847" width="1.140625" style="597" customWidth="1"/>
    <col min="7848" max="7849" width="2" style="597" customWidth="1"/>
    <col min="7850" max="7851" width="2.140625" style="597" customWidth="1"/>
    <col min="7852" max="7852" width="1.7109375" style="597" customWidth="1"/>
    <col min="7853" max="7853" width="0.85546875" style="597" customWidth="1"/>
    <col min="7854" max="7854" width="2" style="597" customWidth="1"/>
    <col min="7855" max="7855" width="2.140625" style="597" customWidth="1"/>
    <col min="7856" max="8100" width="11.42578125" style="597"/>
    <col min="8101" max="8101" width="2.28515625" style="597" customWidth="1"/>
    <col min="8102" max="8102" width="2.140625" style="597" customWidth="1"/>
    <col min="8103" max="8103" width="1.140625" style="597" customWidth="1"/>
    <col min="8104" max="8105" width="2" style="597" customWidth="1"/>
    <col min="8106" max="8107" width="2.140625" style="597" customWidth="1"/>
    <col min="8108" max="8108" width="1.7109375" style="597" customWidth="1"/>
    <col min="8109" max="8109" width="0.85546875" style="597" customWidth="1"/>
    <col min="8110" max="8110" width="2" style="597" customWidth="1"/>
    <col min="8111" max="8111" width="2.140625" style="597" customWidth="1"/>
    <col min="8112" max="8356" width="11.42578125" style="597"/>
    <col min="8357" max="8357" width="2.28515625" style="597" customWidth="1"/>
    <col min="8358" max="8358" width="2.140625" style="597" customWidth="1"/>
    <col min="8359" max="8359" width="1.140625" style="597" customWidth="1"/>
    <col min="8360" max="8361" width="2" style="597" customWidth="1"/>
    <col min="8362" max="8363" width="2.140625" style="597" customWidth="1"/>
    <col min="8364" max="8364" width="1.7109375" style="597" customWidth="1"/>
    <col min="8365" max="8365" width="0.85546875" style="597" customWidth="1"/>
    <col min="8366" max="8366" width="2" style="597" customWidth="1"/>
    <col min="8367" max="8367" width="2.140625" style="597" customWidth="1"/>
    <col min="8368" max="8612" width="11.42578125" style="597"/>
    <col min="8613" max="8613" width="2.28515625" style="597" customWidth="1"/>
    <col min="8614" max="8614" width="2.140625" style="597" customWidth="1"/>
    <col min="8615" max="8615" width="1.140625" style="597" customWidth="1"/>
    <col min="8616" max="8617" width="2" style="597" customWidth="1"/>
    <col min="8618" max="8619" width="2.140625" style="597" customWidth="1"/>
    <col min="8620" max="8620" width="1.7109375" style="597" customWidth="1"/>
    <col min="8621" max="8621" width="0.85546875" style="597" customWidth="1"/>
    <col min="8622" max="8622" width="2" style="597" customWidth="1"/>
    <col min="8623" max="8623" width="2.140625" style="597" customWidth="1"/>
    <col min="8624" max="8868" width="11.42578125" style="597"/>
    <col min="8869" max="8869" width="2.28515625" style="597" customWidth="1"/>
    <col min="8870" max="8870" width="2.140625" style="597" customWidth="1"/>
    <col min="8871" max="8871" width="1.140625" style="597" customWidth="1"/>
    <col min="8872" max="8873" width="2" style="597" customWidth="1"/>
    <col min="8874" max="8875" width="2.140625" style="597" customWidth="1"/>
    <col min="8876" max="8876" width="1.7109375" style="597" customWidth="1"/>
    <col min="8877" max="8877" width="0.85546875" style="597" customWidth="1"/>
    <col min="8878" max="8878" width="2" style="597" customWidth="1"/>
    <col min="8879" max="8879" width="2.140625" style="597" customWidth="1"/>
    <col min="8880" max="9124" width="11.42578125" style="597"/>
    <col min="9125" max="9125" width="2.28515625" style="597" customWidth="1"/>
    <col min="9126" max="9126" width="2.140625" style="597" customWidth="1"/>
    <col min="9127" max="9127" width="1.140625" style="597" customWidth="1"/>
    <col min="9128" max="9129" width="2" style="597" customWidth="1"/>
    <col min="9130" max="9131" width="2.140625" style="597" customWidth="1"/>
    <col min="9132" max="9132" width="1.7109375" style="597" customWidth="1"/>
    <col min="9133" max="9133" width="0.85546875" style="597" customWidth="1"/>
    <col min="9134" max="9134" width="2" style="597" customWidth="1"/>
    <col min="9135" max="9135" width="2.140625" style="597" customWidth="1"/>
    <col min="9136" max="9380" width="11.42578125" style="597"/>
    <col min="9381" max="9381" width="2.28515625" style="597" customWidth="1"/>
    <col min="9382" max="9382" width="2.140625" style="597" customWidth="1"/>
    <col min="9383" max="9383" width="1.140625" style="597" customWidth="1"/>
    <col min="9384" max="9385" width="2" style="597" customWidth="1"/>
    <col min="9386" max="9387" width="2.140625" style="597" customWidth="1"/>
    <col min="9388" max="9388" width="1.7109375" style="597" customWidth="1"/>
    <col min="9389" max="9389" width="0.85546875" style="597" customWidth="1"/>
    <col min="9390" max="9390" width="2" style="597" customWidth="1"/>
    <col min="9391" max="9391" width="2.140625" style="597" customWidth="1"/>
    <col min="9392" max="9636" width="11.42578125" style="597"/>
    <col min="9637" max="9637" width="2.28515625" style="597" customWidth="1"/>
    <col min="9638" max="9638" width="2.140625" style="597" customWidth="1"/>
    <col min="9639" max="9639" width="1.140625" style="597" customWidth="1"/>
    <col min="9640" max="9641" width="2" style="597" customWidth="1"/>
    <col min="9642" max="9643" width="2.140625" style="597" customWidth="1"/>
    <col min="9644" max="9644" width="1.7109375" style="597" customWidth="1"/>
    <col min="9645" max="9645" width="0.85546875" style="597" customWidth="1"/>
    <col min="9646" max="9646" width="2" style="597" customWidth="1"/>
    <col min="9647" max="9647" width="2.140625" style="597" customWidth="1"/>
    <col min="9648" max="9892" width="11.42578125" style="597"/>
    <col min="9893" max="9893" width="2.28515625" style="597" customWidth="1"/>
    <col min="9894" max="9894" width="2.140625" style="597" customWidth="1"/>
    <col min="9895" max="9895" width="1.140625" style="597" customWidth="1"/>
    <col min="9896" max="9897" width="2" style="597" customWidth="1"/>
    <col min="9898" max="9899" width="2.140625" style="597" customWidth="1"/>
    <col min="9900" max="9900" width="1.7109375" style="597" customWidth="1"/>
    <col min="9901" max="9901" width="0.85546875" style="597" customWidth="1"/>
    <col min="9902" max="9902" width="2" style="597" customWidth="1"/>
    <col min="9903" max="9903" width="2.140625" style="597" customWidth="1"/>
    <col min="9904" max="10148" width="11.42578125" style="597"/>
    <col min="10149" max="10149" width="2.28515625" style="597" customWidth="1"/>
    <col min="10150" max="10150" width="2.140625" style="597" customWidth="1"/>
    <col min="10151" max="10151" width="1.140625" style="597" customWidth="1"/>
    <col min="10152" max="10153" width="2" style="597" customWidth="1"/>
    <col min="10154" max="10155" width="2.140625" style="597" customWidth="1"/>
    <col min="10156" max="10156" width="1.7109375" style="597" customWidth="1"/>
    <col min="10157" max="10157" width="0.85546875" style="597" customWidth="1"/>
    <col min="10158" max="10158" width="2" style="597" customWidth="1"/>
    <col min="10159" max="10159" width="2.140625" style="597" customWidth="1"/>
    <col min="10160" max="10404" width="11.42578125" style="597"/>
    <col min="10405" max="10405" width="2.28515625" style="597" customWidth="1"/>
    <col min="10406" max="10406" width="2.140625" style="597" customWidth="1"/>
    <col min="10407" max="10407" width="1.140625" style="597" customWidth="1"/>
    <col min="10408" max="10409" width="2" style="597" customWidth="1"/>
    <col min="10410" max="10411" width="2.140625" style="597" customWidth="1"/>
    <col min="10412" max="10412" width="1.7109375" style="597" customWidth="1"/>
    <col min="10413" max="10413" width="0.85546875" style="597" customWidth="1"/>
    <col min="10414" max="10414" width="2" style="597" customWidth="1"/>
    <col min="10415" max="10415" width="2.140625" style="597" customWidth="1"/>
    <col min="10416" max="10660" width="11.42578125" style="597"/>
    <col min="10661" max="10661" width="2.28515625" style="597" customWidth="1"/>
    <col min="10662" max="10662" width="2.140625" style="597" customWidth="1"/>
    <col min="10663" max="10663" width="1.140625" style="597" customWidth="1"/>
    <col min="10664" max="10665" width="2" style="597" customWidth="1"/>
    <col min="10666" max="10667" width="2.140625" style="597" customWidth="1"/>
    <col min="10668" max="10668" width="1.7109375" style="597" customWidth="1"/>
    <col min="10669" max="10669" width="0.85546875" style="597" customWidth="1"/>
    <col min="10670" max="10670" width="2" style="597" customWidth="1"/>
    <col min="10671" max="10671" width="2.140625" style="597" customWidth="1"/>
    <col min="10672" max="10916" width="11.42578125" style="597"/>
    <col min="10917" max="10917" width="2.28515625" style="597" customWidth="1"/>
    <col min="10918" max="10918" width="2.140625" style="597" customWidth="1"/>
    <col min="10919" max="10919" width="1.140625" style="597" customWidth="1"/>
    <col min="10920" max="10921" width="2" style="597" customWidth="1"/>
    <col min="10922" max="10923" width="2.140625" style="597" customWidth="1"/>
    <col min="10924" max="10924" width="1.7109375" style="597" customWidth="1"/>
    <col min="10925" max="10925" width="0.85546875" style="597" customWidth="1"/>
    <col min="10926" max="10926" width="2" style="597" customWidth="1"/>
    <col min="10927" max="10927" width="2.140625" style="597" customWidth="1"/>
    <col min="10928" max="11172" width="11.42578125" style="597"/>
    <col min="11173" max="11173" width="2.28515625" style="597" customWidth="1"/>
    <col min="11174" max="11174" width="2.140625" style="597" customWidth="1"/>
    <col min="11175" max="11175" width="1.140625" style="597" customWidth="1"/>
    <col min="11176" max="11177" width="2" style="597" customWidth="1"/>
    <col min="11178" max="11179" width="2.140625" style="597" customWidth="1"/>
    <col min="11180" max="11180" width="1.7109375" style="597" customWidth="1"/>
    <col min="11181" max="11181" width="0.85546875" style="597" customWidth="1"/>
    <col min="11182" max="11182" width="2" style="597" customWidth="1"/>
    <col min="11183" max="11183" width="2.140625" style="597" customWidth="1"/>
    <col min="11184" max="11428" width="11.42578125" style="597"/>
    <col min="11429" max="11429" width="2.28515625" style="597" customWidth="1"/>
    <col min="11430" max="11430" width="2.140625" style="597" customWidth="1"/>
    <col min="11431" max="11431" width="1.140625" style="597" customWidth="1"/>
    <col min="11432" max="11433" width="2" style="597" customWidth="1"/>
    <col min="11434" max="11435" width="2.140625" style="597" customWidth="1"/>
    <col min="11436" max="11436" width="1.7109375" style="597" customWidth="1"/>
    <col min="11437" max="11437" width="0.85546875" style="597" customWidth="1"/>
    <col min="11438" max="11438" width="2" style="597" customWidth="1"/>
    <col min="11439" max="11439" width="2.140625" style="597" customWidth="1"/>
    <col min="11440" max="11684" width="11.42578125" style="597"/>
    <col min="11685" max="11685" width="2.28515625" style="597" customWidth="1"/>
    <col min="11686" max="11686" width="2.140625" style="597" customWidth="1"/>
    <col min="11687" max="11687" width="1.140625" style="597" customWidth="1"/>
    <col min="11688" max="11689" width="2" style="597" customWidth="1"/>
    <col min="11690" max="11691" width="2.140625" style="597" customWidth="1"/>
    <col min="11692" max="11692" width="1.7109375" style="597" customWidth="1"/>
    <col min="11693" max="11693" width="0.85546875" style="597" customWidth="1"/>
    <col min="11694" max="11694" width="2" style="597" customWidth="1"/>
    <col min="11695" max="11695" width="2.140625" style="597" customWidth="1"/>
    <col min="11696" max="11940" width="11.42578125" style="597"/>
    <col min="11941" max="11941" width="2.28515625" style="597" customWidth="1"/>
    <col min="11942" max="11942" width="2.140625" style="597" customWidth="1"/>
    <col min="11943" max="11943" width="1.140625" style="597" customWidth="1"/>
    <col min="11944" max="11945" width="2" style="597" customWidth="1"/>
    <col min="11946" max="11947" width="2.140625" style="597" customWidth="1"/>
    <col min="11948" max="11948" width="1.7109375" style="597" customWidth="1"/>
    <col min="11949" max="11949" width="0.85546875" style="597" customWidth="1"/>
    <col min="11950" max="11950" width="2" style="597" customWidth="1"/>
    <col min="11951" max="11951" width="2.140625" style="597" customWidth="1"/>
    <col min="11952" max="12196" width="11.42578125" style="597"/>
    <col min="12197" max="12197" width="2.28515625" style="597" customWidth="1"/>
    <col min="12198" max="12198" width="2.140625" style="597" customWidth="1"/>
    <col min="12199" max="12199" width="1.140625" style="597" customWidth="1"/>
    <col min="12200" max="12201" width="2" style="597" customWidth="1"/>
    <col min="12202" max="12203" width="2.140625" style="597" customWidth="1"/>
    <col min="12204" max="12204" width="1.7109375" style="597" customWidth="1"/>
    <col min="12205" max="12205" width="0.85546875" style="597" customWidth="1"/>
    <col min="12206" max="12206" width="2" style="597" customWidth="1"/>
    <col min="12207" max="12207" width="2.140625" style="597" customWidth="1"/>
    <col min="12208" max="12452" width="11.42578125" style="597"/>
    <col min="12453" max="12453" width="2.28515625" style="597" customWidth="1"/>
    <col min="12454" max="12454" width="2.140625" style="597" customWidth="1"/>
    <col min="12455" max="12455" width="1.140625" style="597" customWidth="1"/>
    <col min="12456" max="12457" width="2" style="597" customWidth="1"/>
    <col min="12458" max="12459" width="2.140625" style="597" customWidth="1"/>
    <col min="12460" max="12460" width="1.7109375" style="597" customWidth="1"/>
    <col min="12461" max="12461" width="0.85546875" style="597" customWidth="1"/>
    <col min="12462" max="12462" width="2" style="597" customWidth="1"/>
    <col min="12463" max="12463" width="2.140625" style="597" customWidth="1"/>
    <col min="12464" max="12708" width="11.42578125" style="597"/>
    <col min="12709" max="12709" width="2.28515625" style="597" customWidth="1"/>
    <col min="12710" max="12710" width="2.140625" style="597" customWidth="1"/>
    <col min="12711" max="12711" width="1.140625" style="597" customWidth="1"/>
    <col min="12712" max="12713" width="2" style="597" customWidth="1"/>
    <col min="12714" max="12715" width="2.140625" style="597" customWidth="1"/>
    <col min="12716" max="12716" width="1.7109375" style="597" customWidth="1"/>
    <col min="12717" max="12717" width="0.85546875" style="597" customWidth="1"/>
    <col min="12718" max="12718" width="2" style="597" customWidth="1"/>
    <col min="12719" max="12719" width="2.140625" style="597" customWidth="1"/>
    <col min="12720" max="12964" width="11.42578125" style="597"/>
    <col min="12965" max="12965" width="2.28515625" style="597" customWidth="1"/>
    <col min="12966" max="12966" width="2.140625" style="597" customWidth="1"/>
    <col min="12967" max="12967" width="1.140625" style="597" customWidth="1"/>
    <col min="12968" max="12969" width="2" style="597" customWidth="1"/>
    <col min="12970" max="12971" width="2.140625" style="597" customWidth="1"/>
    <col min="12972" max="12972" width="1.7109375" style="597" customWidth="1"/>
    <col min="12973" max="12973" width="0.85546875" style="597" customWidth="1"/>
    <col min="12974" max="12974" width="2" style="597" customWidth="1"/>
    <col min="12975" max="12975" width="2.140625" style="597" customWidth="1"/>
    <col min="12976" max="13220" width="11.42578125" style="597"/>
    <col min="13221" max="13221" width="2.28515625" style="597" customWidth="1"/>
    <col min="13222" max="13222" width="2.140625" style="597" customWidth="1"/>
    <col min="13223" max="13223" width="1.140625" style="597" customWidth="1"/>
    <col min="13224" max="13225" width="2" style="597" customWidth="1"/>
    <col min="13226" max="13227" width="2.140625" style="597" customWidth="1"/>
    <col min="13228" max="13228" width="1.7109375" style="597" customWidth="1"/>
    <col min="13229" max="13229" width="0.85546875" style="597" customWidth="1"/>
    <col min="13230" max="13230" width="2" style="597" customWidth="1"/>
    <col min="13231" max="13231" width="2.140625" style="597" customWidth="1"/>
    <col min="13232" max="13476" width="11.42578125" style="597"/>
    <col min="13477" max="13477" width="2.28515625" style="597" customWidth="1"/>
    <col min="13478" max="13478" width="2.140625" style="597" customWidth="1"/>
    <col min="13479" max="13479" width="1.140625" style="597" customWidth="1"/>
    <col min="13480" max="13481" width="2" style="597" customWidth="1"/>
    <col min="13482" max="13483" width="2.140625" style="597" customWidth="1"/>
    <col min="13484" max="13484" width="1.7109375" style="597" customWidth="1"/>
    <col min="13485" max="13485" width="0.85546875" style="597" customWidth="1"/>
    <col min="13486" max="13486" width="2" style="597" customWidth="1"/>
    <col min="13487" max="13487" width="2.140625" style="597" customWidth="1"/>
    <col min="13488" max="13732" width="11.42578125" style="597"/>
    <col min="13733" max="13733" width="2.28515625" style="597" customWidth="1"/>
    <col min="13734" max="13734" width="2.140625" style="597" customWidth="1"/>
    <col min="13735" max="13735" width="1.140625" style="597" customWidth="1"/>
    <col min="13736" max="13737" width="2" style="597" customWidth="1"/>
    <col min="13738" max="13739" width="2.140625" style="597" customWidth="1"/>
    <col min="13740" max="13740" width="1.7109375" style="597" customWidth="1"/>
    <col min="13741" max="13741" width="0.85546875" style="597" customWidth="1"/>
    <col min="13742" max="13742" width="2" style="597" customWidth="1"/>
    <col min="13743" max="13743" width="2.140625" style="597" customWidth="1"/>
    <col min="13744" max="13988" width="11.42578125" style="597"/>
    <col min="13989" max="13989" width="2.28515625" style="597" customWidth="1"/>
    <col min="13990" max="13990" width="2.140625" style="597" customWidth="1"/>
    <col min="13991" max="13991" width="1.140625" style="597" customWidth="1"/>
    <col min="13992" max="13993" width="2" style="597" customWidth="1"/>
    <col min="13994" max="13995" width="2.140625" style="597" customWidth="1"/>
    <col min="13996" max="13996" width="1.7109375" style="597" customWidth="1"/>
    <col min="13997" max="13997" width="0.85546875" style="597" customWidth="1"/>
    <col min="13998" max="13998" width="2" style="597" customWidth="1"/>
    <col min="13999" max="13999" width="2.140625" style="597" customWidth="1"/>
    <col min="14000" max="14244" width="11.42578125" style="597"/>
    <col min="14245" max="14245" width="2.28515625" style="597" customWidth="1"/>
    <col min="14246" max="14246" width="2.140625" style="597" customWidth="1"/>
    <col min="14247" max="14247" width="1.140625" style="597" customWidth="1"/>
    <col min="14248" max="14249" width="2" style="597" customWidth="1"/>
    <col min="14250" max="14251" width="2.140625" style="597" customWidth="1"/>
    <col min="14252" max="14252" width="1.7109375" style="597" customWidth="1"/>
    <col min="14253" max="14253" width="0.85546875" style="597" customWidth="1"/>
    <col min="14254" max="14254" width="2" style="597" customWidth="1"/>
    <col min="14255" max="14255" width="2.140625" style="597" customWidth="1"/>
    <col min="14256" max="14500" width="11.42578125" style="597"/>
    <col min="14501" max="14501" width="2.28515625" style="597" customWidth="1"/>
    <col min="14502" max="14502" width="2.140625" style="597" customWidth="1"/>
    <col min="14503" max="14503" width="1.140625" style="597" customWidth="1"/>
    <col min="14504" max="14505" width="2" style="597" customWidth="1"/>
    <col min="14506" max="14507" width="2.140625" style="597" customWidth="1"/>
    <col min="14508" max="14508" width="1.7109375" style="597" customWidth="1"/>
    <col min="14509" max="14509" width="0.85546875" style="597" customWidth="1"/>
    <col min="14510" max="14510" width="2" style="597" customWidth="1"/>
    <col min="14511" max="14511" width="2.140625" style="597" customWidth="1"/>
    <col min="14512" max="14756" width="11.42578125" style="597"/>
    <col min="14757" max="14757" width="2.28515625" style="597" customWidth="1"/>
    <col min="14758" max="14758" width="2.140625" style="597" customWidth="1"/>
    <col min="14759" max="14759" width="1.140625" style="597" customWidth="1"/>
    <col min="14760" max="14761" width="2" style="597" customWidth="1"/>
    <col min="14762" max="14763" width="2.140625" style="597" customWidth="1"/>
    <col min="14764" max="14764" width="1.7109375" style="597" customWidth="1"/>
    <col min="14765" max="14765" width="0.85546875" style="597" customWidth="1"/>
    <col min="14766" max="14766" width="2" style="597" customWidth="1"/>
    <col min="14767" max="14767" width="2.140625" style="597" customWidth="1"/>
    <col min="14768" max="15012" width="11.42578125" style="597"/>
    <col min="15013" max="15013" width="2.28515625" style="597" customWidth="1"/>
    <col min="15014" max="15014" width="2.140625" style="597" customWidth="1"/>
    <col min="15015" max="15015" width="1.140625" style="597" customWidth="1"/>
    <col min="15016" max="15017" width="2" style="597" customWidth="1"/>
    <col min="15018" max="15019" width="2.140625" style="597" customWidth="1"/>
    <col min="15020" max="15020" width="1.7109375" style="597" customWidth="1"/>
    <col min="15021" max="15021" width="0.85546875" style="597" customWidth="1"/>
    <col min="15022" max="15022" width="2" style="597" customWidth="1"/>
    <col min="15023" max="15023" width="2.140625" style="597" customWidth="1"/>
    <col min="15024" max="15268" width="11.42578125" style="597"/>
    <col min="15269" max="15269" width="2.28515625" style="597" customWidth="1"/>
    <col min="15270" max="15270" width="2.140625" style="597" customWidth="1"/>
    <col min="15271" max="15271" width="1.140625" style="597" customWidth="1"/>
    <col min="15272" max="15273" width="2" style="597" customWidth="1"/>
    <col min="15274" max="15275" width="2.140625" style="597" customWidth="1"/>
    <col min="15276" max="15276" width="1.7109375" style="597" customWidth="1"/>
    <col min="15277" max="15277" width="0.85546875" style="597" customWidth="1"/>
    <col min="15278" max="15278" width="2" style="597" customWidth="1"/>
    <col min="15279" max="15279" width="2.140625" style="597" customWidth="1"/>
    <col min="15280" max="15524" width="11.42578125" style="597"/>
    <col min="15525" max="15525" width="2.28515625" style="597" customWidth="1"/>
    <col min="15526" max="15526" width="2.140625" style="597" customWidth="1"/>
    <col min="15527" max="15527" width="1.140625" style="597" customWidth="1"/>
    <col min="15528" max="15529" width="2" style="597" customWidth="1"/>
    <col min="15530" max="15531" width="2.140625" style="597" customWidth="1"/>
    <col min="15532" max="15532" width="1.7109375" style="597" customWidth="1"/>
    <col min="15533" max="15533" width="0.85546875" style="597" customWidth="1"/>
    <col min="15534" max="15534" width="2" style="597" customWidth="1"/>
    <col min="15535" max="15535" width="2.140625" style="597" customWidth="1"/>
    <col min="15536" max="15780" width="11.42578125" style="597"/>
    <col min="15781" max="15781" width="2.28515625" style="597" customWidth="1"/>
    <col min="15782" max="15782" width="2.140625" style="597" customWidth="1"/>
    <col min="15783" max="15783" width="1.140625" style="597" customWidth="1"/>
    <col min="15784" max="15785" width="2" style="597" customWidth="1"/>
    <col min="15786" max="15787" width="2.140625" style="597" customWidth="1"/>
    <col min="15788" max="15788" width="1.7109375" style="597" customWidth="1"/>
    <col min="15789" max="15789" width="0.85546875" style="597" customWidth="1"/>
    <col min="15790" max="15790" width="2" style="597" customWidth="1"/>
    <col min="15791" max="15791" width="2.140625" style="597" customWidth="1"/>
    <col min="15792" max="16036" width="11.42578125" style="597"/>
    <col min="16037" max="16037" width="2.28515625" style="597" customWidth="1"/>
    <col min="16038" max="16038" width="2.140625" style="597" customWidth="1"/>
    <col min="16039" max="16039" width="1.140625" style="597" customWidth="1"/>
    <col min="16040" max="16041" width="2" style="597" customWidth="1"/>
    <col min="16042" max="16043" width="2.140625" style="597" customWidth="1"/>
    <col min="16044" max="16044" width="1.7109375" style="597" customWidth="1"/>
    <col min="16045" max="16045" width="0.85546875" style="597" customWidth="1"/>
    <col min="16046" max="16046" width="2" style="597" customWidth="1"/>
    <col min="16047" max="16047" width="2.140625" style="597" customWidth="1"/>
    <col min="16048" max="16384" width="11.42578125" style="597"/>
  </cols>
  <sheetData>
    <row r="1" spans="2:17" ht="8.25" customHeight="1"/>
    <row r="2" spans="2:17" ht="51.75" customHeight="1"/>
    <row r="3" spans="2:17" s="594" customFormat="1" ht="15.75">
      <c r="B3" s="599"/>
      <c r="C3" s="600"/>
      <c r="D3" s="974" t="s">
        <v>19</v>
      </c>
      <c r="E3" s="975"/>
      <c r="F3" s="599"/>
      <c r="G3" s="976" t="s">
        <v>20</v>
      </c>
      <c r="H3" s="977"/>
      <c r="I3" s="977"/>
      <c r="J3" s="977"/>
      <c r="K3" s="977"/>
      <c r="L3" s="978"/>
      <c r="M3" s="631"/>
    </row>
    <row r="4" spans="2:17" s="595" customFormat="1" ht="38.25">
      <c r="B4" s="665" t="s">
        <v>21</v>
      </c>
      <c r="C4" s="666" t="s">
        <v>39</v>
      </c>
      <c r="D4" s="667" t="s">
        <v>22</v>
      </c>
      <c r="E4" s="668" t="s">
        <v>23</v>
      </c>
      <c r="F4" s="669" t="s">
        <v>24</v>
      </c>
      <c r="G4" s="669" t="s">
        <v>25</v>
      </c>
      <c r="H4" s="669" t="s">
        <v>26</v>
      </c>
      <c r="I4" s="669" t="s">
        <v>27</v>
      </c>
      <c r="J4" s="668" t="s">
        <v>28</v>
      </c>
      <c r="K4" s="669" t="s">
        <v>29</v>
      </c>
      <c r="L4" s="669" t="s">
        <v>30</v>
      </c>
      <c r="M4" s="669" t="s">
        <v>31</v>
      </c>
    </row>
    <row r="5" spans="2:17" s="596" customFormat="1" ht="12">
      <c r="B5" s="652" t="s">
        <v>47</v>
      </c>
      <c r="C5" s="607">
        <f>+VLOOKUP($B5,RESUMEN!$B$45:$I$87,2,FALSE)</f>
        <v>9</v>
      </c>
      <c r="D5" s="608">
        <f>+VLOOKUP($B5,RESUMEN!$B$45:$I$87,3,FALSE)</f>
        <v>27945519000</v>
      </c>
      <c r="E5" s="609">
        <f t="shared" ref="E5:E10" si="0">D5/D$15</f>
        <v>0.24642355084396517</v>
      </c>
      <c r="F5" s="610">
        <f>+VLOOKUP($B5,RESUMEN!$B$45:$I$87,4,FALSE)</f>
        <v>7950181696</v>
      </c>
      <c r="G5" s="608">
        <f>+VLOOKUP($B5,RESUMEN!$B$45:$I$87,5,FALSE)</f>
        <v>5599913155</v>
      </c>
      <c r="H5" s="611">
        <f>G5/$G$15</f>
        <v>0.22127487449623473</v>
      </c>
      <c r="I5" s="676">
        <f>+VLOOKUP($B5,RESUMEN!$B$45:$I$87,6,FALSE)</f>
        <v>4772166257</v>
      </c>
      <c r="J5" s="633">
        <f t="shared" ref="J5:J14" si="1">+G5-I5</f>
        <v>827746898</v>
      </c>
      <c r="K5" s="677">
        <f>+VLOOKUP($B5,RESUMEN!$B$45:$I$87,7,FALSE)</f>
        <v>827746898</v>
      </c>
      <c r="L5" s="635">
        <f t="shared" ref="L5:L15" si="2">I5/G5</f>
        <v>0.85218576162008353</v>
      </c>
      <c r="M5" s="636">
        <f>+VLOOKUP($B5,RESUMEN!$B$45:$I$87,8,FALSE)</f>
        <v>14395424149</v>
      </c>
      <c r="O5" s="596">
        <v>5599913155</v>
      </c>
      <c r="P5" s="938">
        <f>+O5-G5</f>
        <v>0</v>
      </c>
      <c r="Q5" s="596">
        <v>-212831897</v>
      </c>
    </row>
    <row r="6" spans="2:17" s="596" customFormat="1" ht="12">
      <c r="B6" s="653" t="s">
        <v>48</v>
      </c>
      <c r="C6" s="613">
        <f>+VLOOKUP($B6,RESUMEN!$B$45:$I$87,2,FALSE)</f>
        <v>11</v>
      </c>
      <c r="D6" s="614">
        <f>+VLOOKUP($B6,RESUMEN!$B$45:$I$87,3,FALSE)</f>
        <v>15159446909</v>
      </c>
      <c r="E6" s="615">
        <f t="shared" si="0"/>
        <v>0.13367598347865187</v>
      </c>
      <c r="F6" s="616">
        <f>+VLOOKUP($B6,RESUMEN!$B$45:$I$87,4,FALSE)</f>
        <v>1431793263</v>
      </c>
      <c r="G6" s="608">
        <f>+VLOOKUP($B6,RESUMEN!$B$45:$I$87,5,FALSE)</f>
        <v>1901306034</v>
      </c>
      <c r="H6" s="611">
        <f t="shared" ref="H6:H14" si="3">G6/$G$15</f>
        <v>7.512817474261059E-2</v>
      </c>
      <c r="I6" s="676">
        <f>+VLOOKUP($B6,RESUMEN!$B$45:$I$87,6,FALSE)</f>
        <v>287605041</v>
      </c>
      <c r="J6" s="637">
        <f t="shared" si="1"/>
        <v>1613700993</v>
      </c>
      <c r="K6" s="677">
        <f>+VLOOKUP($B6,RESUMEN!$B$45:$I$87,7,FALSE)</f>
        <v>1613700993</v>
      </c>
      <c r="L6" s="638">
        <f t="shared" si="2"/>
        <v>0.15126709527920218</v>
      </c>
      <c r="M6" s="639">
        <f>+VLOOKUP($B6,RESUMEN!$B$45:$I$87,8,FALSE)</f>
        <v>11826347612</v>
      </c>
      <c r="O6" s="596">
        <v>1901306034</v>
      </c>
      <c r="P6" s="938">
        <f t="shared" ref="P6:P14" si="4">+O6-G6</f>
        <v>0</v>
      </c>
      <c r="Q6" s="596">
        <v>0</v>
      </c>
    </row>
    <row r="7" spans="2:17" s="596" customFormat="1" ht="12">
      <c r="B7" s="653" t="s">
        <v>49</v>
      </c>
      <c r="C7" s="613">
        <f>+VLOOKUP($B7,RESUMEN!$B$45:$I$87,2,FALSE)</f>
        <v>11</v>
      </c>
      <c r="D7" s="614">
        <f>+VLOOKUP($B7,RESUMEN!$B$45:$I$87,3,FALSE)</f>
        <v>2283098582</v>
      </c>
      <c r="E7" s="615">
        <f t="shared" si="0"/>
        <v>2.0132360379610834E-2</v>
      </c>
      <c r="F7" s="616">
        <f>+VLOOKUP($B7,RESUMEN!$B$45:$I$87,4,FALSE)</f>
        <v>2300000</v>
      </c>
      <c r="G7" s="608">
        <f>+VLOOKUP($B7,RESUMEN!$B$45:$I$87,5,FALSE)</f>
        <v>1475296582</v>
      </c>
      <c r="H7" s="611">
        <f t="shared" si="3"/>
        <v>5.8294844400452857E-2</v>
      </c>
      <c r="I7" s="676">
        <f>+VLOOKUP($B7,RESUMEN!$B$45:$I$87,6,FALSE)</f>
        <v>106896571</v>
      </c>
      <c r="J7" s="637">
        <f t="shared" si="1"/>
        <v>1368400011</v>
      </c>
      <c r="K7" s="677">
        <f>+VLOOKUP($B7,RESUMEN!$B$45:$I$87,7,FALSE)</f>
        <v>1368400011</v>
      </c>
      <c r="L7" s="638">
        <f t="shared" si="2"/>
        <v>7.2457682275034241E-2</v>
      </c>
      <c r="M7" s="639">
        <f>+VLOOKUP($B7,RESUMEN!$B$45:$I$87,8,FALSE)</f>
        <v>805502000</v>
      </c>
      <c r="O7" s="596">
        <v>1475296582</v>
      </c>
      <c r="P7" s="938">
        <f t="shared" si="4"/>
        <v>0</v>
      </c>
      <c r="Q7" s="596">
        <v>0</v>
      </c>
    </row>
    <row r="8" spans="2:17" s="596" customFormat="1" ht="12">
      <c r="B8" s="653" t="s">
        <v>50</v>
      </c>
      <c r="C8" s="613">
        <f>+VLOOKUP($B8,RESUMEN!$B$45:$I$87,2,FALSE)</f>
        <v>11</v>
      </c>
      <c r="D8" s="614">
        <f>+VLOOKUP($B8,RESUMEN!$B$45:$I$87,3,FALSE)</f>
        <v>6201941000</v>
      </c>
      <c r="E8" s="615">
        <f t="shared" si="0"/>
        <v>5.4688707815545391E-2</v>
      </c>
      <c r="F8" s="616">
        <f>+VLOOKUP($B8,RESUMEN!$B$45:$I$87,4,FALSE)</f>
        <v>1469573458</v>
      </c>
      <c r="G8" s="608">
        <f>+VLOOKUP($B8,RESUMEN!$B$45:$I$87,5,FALSE)</f>
        <v>2556401150</v>
      </c>
      <c r="H8" s="611">
        <f t="shared" si="3"/>
        <v>0.10101359217030217</v>
      </c>
      <c r="I8" s="676">
        <f>+VLOOKUP($B8,RESUMEN!$B$45:$I$87,6,FALSE)</f>
        <v>476882445</v>
      </c>
      <c r="J8" s="637">
        <f t="shared" si="1"/>
        <v>2079518705</v>
      </c>
      <c r="K8" s="677">
        <f>+VLOOKUP($B8,RESUMEN!$B$45:$I$87,7,FALSE)</f>
        <v>2079518705</v>
      </c>
      <c r="L8" s="638">
        <f t="shared" si="2"/>
        <v>0.18654444941084461</v>
      </c>
      <c r="M8" s="639">
        <f>+VLOOKUP($B8,RESUMEN!$B$45:$I$87,8,FALSE)</f>
        <v>2175966392</v>
      </c>
      <c r="O8" s="596">
        <v>2593998761</v>
      </c>
      <c r="P8" s="938">
        <f t="shared" si="4"/>
        <v>37597611</v>
      </c>
      <c r="Q8" s="596">
        <v>0</v>
      </c>
    </row>
    <row r="9" spans="2:17" s="596" customFormat="1" ht="12">
      <c r="B9" s="654" t="s">
        <v>51</v>
      </c>
      <c r="C9" s="613">
        <f>+VLOOKUP($B9,RESUMEN!$B$45:$I$87,2,FALSE)</f>
        <v>11</v>
      </c>
      <c r="D9" s="614">
        <f>+VLOOKUP($B9,RESUMEN!$B$45:$I$87,3,FALSE)</f>
        <v>10292906000</v>
      </c>
      <c r="E9" s="615">
        <f t="shared" si="0"/>
        <v>9.0762831959683918E-2</v>
      </c>
      <c r="F9" s="616">
        <f>+VLOOKUP($B9,RESUMEN!$B$45:$I$87,4,FALSE)</f>
        <v>521109487</v>
      </c>
      <c r="G9" s="608">
        <f>+VLOOKUP($B9,RESUMEN!$B$45:$I$87,5,FALSE)</f>
        <v>3162417665</v>
      </c>
      <c r="H9" s="611">
        <f t="shared" si="3"/>
        <v>0.12495971858112694</v>
      </c>
      <c r="I9" s="676">
        <f>+VLOOKUP($B9,RESUMEN!$B$45:$I$87,6,FALSE)</f>
        <v>1256934275</v>
      </c>
      <c r="J9" s="637">
        <f t="shared" si="1"/>
        <v>1905483390</v>
      </c>
      <c r="K9" s="677">
        <f>+VLOOKUP($B9,RESUMEN!$B$45:$I$87,7,FALSE)</f>
        <v>1905483390</v>
      </c>
      <c r="L9" s="638">
        <f t="shared" si="2"/>
        <v>0.39745992090516608</v>
      </c>
      <c r="M9" s="639">
        <f>+VLOOKUP($B9,RESUMEN!$B$45:$I$87,8,FALSE)</f>
        <v>6609378848</v>
      </c>
      <c r="O9" s="596">
        <v>3264289451</v>
      </c>
      <c r="P9" s="938">
        <f t="shared" si="4"/>
        <v>101871786</v>
      </c>
      <c r="Q9" s="596">
        <v>-71441875</v>
      </c>
    </row>
    <row r="10" spans="2:17" s="596" customFormat="1" ht="12">
      <c r="B10" s="654" t="s">
        <v>33</v>
      </c>
      <c r="C10" s="613">
        <f>+VLOOKUP($B10,RESUMEN!$B$45:$I$87,2,FALSE)</f>
        <v>5</v>
      </c>
      <c r="D10" s="614">
        <f>+VLOOKUP($B10,RESUMEN!$B$45:$I$87,3,FALSE)</f>
        <v>4282568095</v>
      </c>
      <c r="E10" s="615">
        <f t="shared" si="0"/>
        <v>3.7763679991091793E-2</v>
      </c>
      <c r="F10" s="616">
        <f>+VLOOKUP($B10,RESUMEN!$B$45:$I$87,4,FALSE)</f>
        <v>3081361556</v>
      </c>
      <c r="G10" s="608">
        <f>+VLOOKUP($B10,RESUMEN!$B$45:$I$87,5,FALSE)</f>
        <v>706685457</v>
      </c>
      <c r="H10" s="611">
        <f t="shared" si="3"/>
        <v>2.7923957296796555E-2</v>
      </c>
      <c r="I10" s="676">
        <f>+VLOOKUP($B10,RESUMEN!$B$45:$I$87,6,FALSE)</f>
        <v>511644813</v>
      </c>
      <c r="J10" s="637">
        <f t="shared" si="1"/>
        <v>195040644</v>
      </c>
      <c r="K10" s="677">
        <f>+VLOOKUP($B10,RESUMEN!$B$45:$I$87,7,FALSE)</f>
        <v>195040644</v>
      </c>
      <c r="L10" s="638">
        <f t="shared" si="2"/>
        <v>0.72400642737437848</v>
      </c>
      <c r="M10" s="639">
        <f>+VLOOKUP($B10,RESUMEN!$B$45:$I$87,8,FALSE)</f>
        <v>494521082</v>
      </c>
      <c r="O10" s="596">
        <v>568234929</v>
      </c>
      <c r="P10" s="938">
        <f t="shared" si="4"/>
        <v>-138450528</v>
      </c>
      <c r="Q10" s="596">
        <v>-22048910</v>
      </c>
    </row>
    <row r="11" spans="2:17" s="596" customFormat="1" ht="12">
      <c r="B11" s="654" t="s">
        <v>52</v>
      </c>
      <c r="C11" s="613">
        <f>+VLOOKUP($B11,RESUMEN!$B$45:$I$87,2,FALSE)</f>
        <v>14</v>
      </c>
      <c r="D11" s="614">
        <f>+VLOOKUP($B11,RESUMEN!$B$45:$I$87,3,FALSE)</f>
        <v>4231086930</v>
      </c>
      <c r="E11" s="615">
        <f t="shared" ref="E11:E14" si="5">D11/D$15</f>
        <v>3.7309719143884625E-2</v>
      </c>
      <c r="F11" s="616">
        <f>+VLOOKUP($B11,RESUMEN!$B$45:$I$87,4,FALSE)</f>
        <v>468557253</v>
      </c>
      <c r="G11" s="608">
        <f>+VLOOKUP($B11,RESUMEN!$B$45:$I$87,5,FALSE)</f>
        <v>2461286911</v>
      </c>
      <c r="H11" s="611">
        <f t="shared" si="3"/>
        <v>9.7255249725520118E-2</v>
      </c>
      <c r="I11" s="676">
        <f>+VLOOKUP($B11,RESUMEN!$B$45:$I$87,6,FALSE)</f>
        <v>1687603630</v>
      </c>
      <c r="J11" s="637">
        <f t="shared" si="1"/>
        <v>773683281</v>
      </c>
      <c r="K11" s="677">
        <f>+VLOOKUP($B11,RESUMEN!$B$45:$I$87,7,FALSE)</f>
        <v>773683281</v>
      </c>
      <c r="L11" s="638">
        <f t="shared" si="2"/>
        <v>0.6856590438350566</v>
      </c>
      <c r="M11" s="639">
        <f>+VLOOKUP($B11,RESUMEN!$B$45:$I$87,8,FALSE)</f>
        <v>1301242766</v>
      </c>
      <c r="O11" s="596">
        <v>2461286911</v>
      </c>
      <c r="P11" s="938">
        <f t="shared" si="4"/>
        <v>0</v>
      </c>
      <c r="Q11" s="596">
        <v>76417785</v>
      </c>
    </row>
    <row r="12" spans="2:17" s="596" customFormat="1" ht="12">
      <c r="B12" s="654" t="s">
        <v>53</v>
      </c>
      <c r="C12" s="613">
        <f>+VLOOKUP($B12,RESUMEN!$B$45:$I$87,2,FALSE)</f>
        <v>8</v>
      </c>
      <c r="D12" s="614">
        <f>+VLOOKUP($B12,RESUMEN!$B$45:$I$87,3,FALSE)</f>
        <v>2014038624</v>
      </c>
      <c r="E12" s="615">
        <f t="shared" si="5"/>
        <v>1.7759790013668154E-2</v>
      </c>
      <c r="F12" s="616">
        <f>+VLOOKUP($B12,RESUMEN!$B$45:$I$87,4,FALSE)</f>
        <v>311373193</v>
      </c>
      <c r="G12" s="608">
        <f>+VLOOKUP($B12,RESUMEN!$B$45:$I$87,5,FALSE)</f>
        <v>1695414809</v>
      </c>
      <c r="H12" s="611">
        <f t="shared" si="3"/>
        <v>6.6992592330752457E-2</v>
      </c>
      <c r="I12" s="676">
        <f>+VLOOKUP($B12,RESUMEN!$B$45:$I$87,6,FALSE)</f>
        <v>453892565</v>
      </c>
      <c r="J12" s="637">
        <f t="shared" si="1"/>
        <v>1241522244</v>
      </c>
      <c r="K12" s="677">
        <f>+VLOOKUP($B12,RESUMEN!$B$45:$I$87,7,FALSE)</f>
        <v>1241522244</v>
      </c>
      <c r="L12" s="638">
        <f t="shared" si="2"/>
        <v>0.26771770695321323</v>
      </c>
      <c r="M12" s="639">
        <f>+VLOOKUP($B12,RESUMEN!$B$45:$I$87,8,FALSE)</f>
        <v>7250622</v>
      </c>
      <c r="O12" s="596">
        <v>1695414809</v>
      </c>
      <c r="P12" s="938">
        <f t="shared" si="4"/>
        <v>0</v>
      </c>
      <c r="Q12" s="596">
        <v>42869000</v>
      </c>
    </row>
    <row r="13" spans="2:17" s="596" customFormat="1" ht="12">
      <c r="B13" s="654" t="s">
        <v>54</v>
      </c>
      <c r="C13" s="613">
        <f>+VLOOKUP($B13,RESUMEN!$B$45:$I$87,2,FALSE)</f>
        <v>17</v>
      </c>
      <c r="D13" s="614">
        <f>+VLOOKUP($B13,RESUMEN!$B$45:$I$87,3,FALSE)</f>
        <v>27672189427</v>
      </c>
      <c r="E13" s="615">
        <f t="shared" si="5"/>
        <v>0.24401333101840655</v>
      </c>
      <c r="F13" s="616">
        <f>+VLOOKUP($B13,RESUMEN!$B$45:$I$87,4,FALSE)</f>
        <v>9227947042</v>
      </c>
      <c r="G13" s="608">
        <f>+VLOOKUP($B13,RESUMEN!$B$45:$I$87,5,FALSE)</f>
        <v>1662907588</v>
      </c>
      <c r="H13" s="611">
        <f t="shared" si="3"/>
        <v>6.5708102545303917E-2</v>
      </c>
      <c r="I13" s="676">
        <f>+VLOOKUP($B13,RESUMEN!$B$45:$I$87,6,FALSE)</f>
        <v>218935515</v>
      </c>
      <c r="J13" s="637">
        <f t="shared" si="1"/>
        <v>1443972073</v>
      </c>
      <c r="K13" s="677">
        <f>+VLOOKUP($B13,RESUMEN!$B$45:$I$87,7,FALSE)</f>
        <v>1443972073</v>
      </c>
      <c r="L13" s="638">
        <f t="shared" si="2"/>
        <v>0.13165825724766614</v>
      </c>
      <c r="M13" s="639">
        <f>+VLOOKUP($B13,RESUMEN!$B$45:$I$87,8,FALSE)</f>
        <v>16781334797</v>
      </c>
      <c r="O13" s="596">
        <v>1662907588</v>
      </c>
      <c r="P13" s="938">
        <f t="shared" si="4"/>
        <v>0</v>
      </c>
      <c r="Q13" s="596">
        <v>98204000</v>
      </c>
    </row>
    <row r="14" spans="2:17" s="596" customFormat="1" ht="12">
      <c r="B14" s="654" t="s">
        <v>55</v>
      </c>
      <c r="C14" s="619">
        <f>+VLOOKUP($B14,RESUMEN!$B$45:$I$87,2,FALSE)</f>
        <v>14</v>
      </c>
      <c r="D14" s="620">
        <f>+VLOOKUP($B14,RESUMEN!$B$45:$I$87,3,FALSE)</f>
        <v>13321621952</v>
      </c>
      <c r="E14" s="621">
        <f t="shared" si="5"/>
        <v>0.11747004535549169</v>
      </c>
      <c r="F14" s="622">
        <f>+VLOOKUP($B14,RESUMEN!$B$45:$I$87,4,FALSE)</f>
        <v>4214314891</v>
      </c>
      <c r="G14" s="608">
        <f>+VLOOKUP($B14,RESUMEN!$B$45:$I$87,5,FALSE)</f>
        <v>4085867344</v>
      </c>
      <c r="H14" s="611">
        <f t="shared" si="3"/>
        <v>0.16144889371089968</v>
      </c>
      <c r="I14" s="676">
        <f>+VLOOKUP($B14,RESUMEN!$B$45:$I$87,6,FALSE)</f>
        <v>1389168361</v>
      </c>
      <c r="J14" s="640">
        <f t="shared" si="1"/>
        <v>2696698983</v>
      </c>
      <c r="K14" s="677">
        <f>+VLOOKUP($B14,RESUMEN!$B$45:$I$87,7,FALSE)</f>
        <v>2696698983</v>
      </c>
      <c r="L14" s="641">
        <f t="shared" si="2"/>
        <v>0.33999350542791384</v>
      </c>
      <c r="M14" s="642">
        <f>+VLOOKUP($B14,RESUMEN!$B$45:$I$87,8,FALSE)</f>
        <v>5021439717</v>
      </c>
      <c r="O14" s="596">
        <v>4085867344</v>
      </c>
      <c r="P14" s="938">
        <f t="shared" si="4"/>
        <v>0</v>
      </c>
      <c r="Q14" s="596">
        <v>88831897</v>
      </c>
    </row>
    <row r="15" spans="2:17">
      <c r="B15" s="670" t="s">
        <v>38</v>
      </c>
      <c r="C15" s="671">
        <f t="shared" ref="C15:K15" si="6">SUM(C5:C14)</f>
        <v>111</v>
      </c>
      <c r="D15" s="672">
        <f t="shared" si="6"/>
        <v>113404416519</v>
      </c>
      <c r="E15" s="673">
        <f t="shared" si="6"/>
        <v>0.99999999999999989</v>
      </c>
      <c r="F15" s="674">
        <f t="shared" si="6"/>
        <v>28678511839</v>
      </c>
      <c r="G15" s="672">
        <f t="shared" si="6"/>
        <v>25307496695</v>
      </c>
      <c r="H15" s="675">
        <f t="shared" si="6"/>
        <v>1</v>
      </c>
      <c r="I15" s="678">
        <f t="shared" si="6"/>
        <v>11161729473</v>
      </c>
      <c r="J15" s="678">
        <f t="shared" si="6"/>
        <v>14145767222</v>
      </c>
      <c r="K15" s="679">
        <f t="shared" si="6"/>
        <v>14145767222</v>
      </c>
      <c r="L15" s="680">
        <f t="shared" si="2"/>
        <v>0.44104439121413463</v>
      </c>
      <c r="M15" s="681">
        <f>SUM(M5:M14)</f>
        <v>59418407985</v>
      </c>
      <c r="O15" s="597">
        <f>SUM(O5:O14)</f>
        <v>25308515564</v>
      </c>
      <c r="P15" s="936">
        <f>SUM(P5:P14)</f>
        <v>1018869</v>
      </c>
      <c r="Q15" s="936">
        <f>SUM(Q5:Q14)</f>
        <v>0</v>
      </c>
    </row>
    <row r="16" spans="2:17" ht="18">
      <c r="B16" s="479"/>
      <c r="C16" s="630"/>
      <c r="D16" s="547"/>
      <c r="E16" s="547"/>
      <c r="F16" s="547"/>
      <c r="G16" s="547"/>
      <c r="H16" s="479"/>
      <c r="I16" s="547"/>
      <c r="J16" s="547"/>
      <c r="K16" s="547"/>
      <c r="L16" s="547"/>
      <c r="M16" s="511"/>
    </row>
    <row r="19" ht="66.75" customHeight="1"/>
    <row r="23" ht="46.5" customHeight="1"/>
    <row r="28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01" bottom="0.74791666666666701" header="0.31388888888888899" footer="0.31388888888888899"/>
  <pageSetup paperSize="5" scale="9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Q29"/>
  <sheetViews>
    <sheetView view="pageBreakPreview" topLeftCell="B1" zoomScale="90" zoomScaleNormal="100" zoomScaleSheetLayoutView="90" workbookViewId="0">
      <selection activeCell="O2" sqref="O2"/>
    </sheetView>
  </sheetViews>
  <sheetFormatPr baseColWidth="10" defaultColWidth="11.42578125" defaultRowHeight="15"/>
  <cols>
    <col min="1" max="1" width="6.7109375" style="597" customWidth="1"/>
    <col min="2" max="2" width="20.140625" style="597" customWidth="1"/>
    <col min="3" max="3" width="12.140625" style="598" customWidth="1"/>
    <col min="4" max="4" width="14.7109375" style="597" customWidth="1"/>
    <col min="5" max="5" width="10.42578125" style="597" customWidth="1"/>
    <col min="6" max="7" width="15.7109375" style="597" customWidth="1"/>
    <col min="8" max="8" width="14.85546875" style="597" customWidth="1"/>
    <col min="9" max="9" width="14.140625" style="597" customWidth="1"/>
    <col min="10" max="10" width="15" style="597" hidden="1" customWidth="1"/>
    <col min="11" max="11" width="14.7109375" style="597" bestFit="1" customWidth="1"/>
    <col min="12" max="12" width="12" style="597" customWidth="1"/>
    <col min="13" max="13" width="14.7109375" style="597" bestFit="1" customWidth="1"/>
    <col min="14" max="14" width="6.7109375" style="597" customWidth="1"/>
    <col min="15" max="15" width="13.28515625" style="597" bestFit="1" customWidth="1"/>
    <col min="16" max="164" width="11.42578125" style="597"/>
    <col min="165" max="165" width="2.28515625" style="597" customWidth="1"/>
    <col min="166" max="166" width="2.140625" style="597" customWidth="1"/>
    <col min="167" max="167" width="1.140625" style="597" customWidth="1"/>
    <col min="168" max="169" width="2" style="597" customWidth="1"/>
    <col min="170" max="171" width="2.140625" style="597" customWidth="1"/>
    <col min="172" max="172" width="1.7109375" style="597" customWidth="1"/>
    <col min="173" max="173" width="0.85546875" style="597" customWidth="1"/>
    <col min="174" max="174" width="2" style="597" customWidth="1"/>
    <col min="175" max="175" width="2.140625" style="597" customWidth="1"/>
    <col min="176" max="420" width="11.42578125" style="597"/>
    <col min="421" max="421" width="2.28515625" style="597" customWidth="1"/>
    <col min="422" max="422" width="2.140625" style="597" customWidth="1"/>
    <col min="423" max="423" width="1.140625" style="597" customWidth="1"/>
    <col min="424" max="425" width="2" style="597" customWidth="1"/>
    <col min="426" max="427" width="2.140625" style="597" customWidth="1"/>
    <col min="428" max="428" width="1.7109375" style="597" customWidth="1"/>
    <col min="429" max="429" width="0.85546875" style="597" customWidth="1"/>
    <col min="430" max="430" width="2" style="597" customWidth="1"/>
    <col min="431" max="431" width="2.140625" style="597" customWidth="1"/>
    <col min="432" max="676" width="11.42578125" style="597"/>
    <col min="677" max="677" width="2.28515625" style="597" customWidth="1"/>
    <col min="678" max="678" width="2.140625" style="597" customWidth="1"/>
    <col min="679" max="679" width="1.140625" style="597" customWidth="1"/>
    <col min="680" max="681" width="2" style="597" customWidth="1"/>
    <col min="682" max="683" width="2.140625" style="597" customWidth="1"/>
    <col min="684" max="684" width="1.7109375" style="597" customWidth="1"/>
    <col min="685" max="685" width="0.85546875" style="597" customWidth="1"/>
    <col min="686" max="686" width="2" style="597" customWidth="1"/>
    <col min="687" max="687" width="2.140625" style="597" customWidth="1"/>
    <col min="688" max="932" width="11.42578125" style="597"/>
    <col min="933" max="933" width="2.28515625" style="597" customWidth="1"/>
    <col min="934" max="934" width="2.140625" style="597" customWidth="1"/>
    <col min="935" max="935" width="1.140625" style="597" customWidth="1"/>
    <col min="936" max="937" width="2" style="597" customWidth="1"/>
    <col min="938" max="939" width="2.140625" style="597" customWidth="1"/>
    <col min="940" max="940" width="1.7109375" style="597" customWidth="1"/>
    <col min="941" max="941" width="0.85546875" style="597" customWidth="1"/>
    <col min="942" max="942" width="2" style="597" customWidth="1"/>
    <col min="943" max="943" width="2.140625" style="597" customWidth="1"/>
    <col min="944" max="1188" width="11.42578125" style="597"/>
    <col min="1189" max="1189" width="2.28515625" style="597" customWidth="1"/>
    <col min="1190" max="1190" width="2.140625" style="597" customWidth="1"/>
    <col min="1191" max="1191" width="1.140625" style="597" customWidth="1"/>
    <col min="1192" max="1193" width="2" style="597" customWidth="1"/>
    <col min="1194" max="1195" width="2.140625" style="597" customWidth="1"/>
    <col min="1196" max="1196" width="1.7109375" style="597" customWidth="1"/>
    <col min="1197" max="1197" width="0.85546875" style="597" customWidth="1"/>
    <col min="1198" max="1198" width="2" style="597" customWidth="1"/>
    <col min="1199" max="1199" width="2.140625" style="597" customWidth="1"/>
    <col min="1200" max="1444" width="11.42578125" style="597"/>
    <col min="1445" max="1445" width="2.28515625" style="597" customWidth="1"/>
    <col min="1446" max="1446" width="2.140625" style="597" customWidth="1"/>
    <col min="1447" max="1447" width="1.140625" style="597" customWidth="1"/>
    <col min="1448" max="1449" width="2" style="597" customWidth="1"/>
    <col min="1450" max="1451" width="2.140625" style="597" customWidth="1"/>
    <col min="1452" max="1452" width="1.7109375" style="597" customWidth="1"/>
    <col min="1453" max="1453" width="0.85546875" style="597" customWidth="1"/>
    <col min="1454" max="1454" width="2" style="597" customWidth="1"/>
    <col min="1455" max="1455" width="2.140625" style="597" customWidth="1"/>
    <col min="1456" max="1700" width="11.42578125" style="597"/>
    <col min="1701" max="1701" width="2.28515625" style="597" customWidth="1"/>
    <col min="1702" max="1702" width="2.140625" style="597" customWidth="1"/>
    <col min="1703" max="1703" width="1.140625" style="597" customWidth="1"/>
    <col min="1704" max="1705" width="2" style="597" customWidth="1"/>
    <col min="1706" max="1707" width="2.140625" style="597" customWidth="1"/>
    <col min="1708" max="1708" width="1.7109375" style="597" customWidth="1"/>
    <col min="1709" max="1709" width="0.85546875" style="597" customWidth="1"/>
    <col min="1710" max="1710" width="2" style="597" customWidth="1"/>
    <col min="1711" max="1711" width="2.140625" style="597" customWidth="1"/>
    <col min="1712" max="1956" width="11.42578125" style="597"/>
    <col min="1957" max="1957" width="2.28515625" style="597" customWidth="1"/>
    <col min="1958" max="1958" width="2.140625" style="597" customWidth="1"/>
    <col min="1959" max="1959" width="1.140625" style="597" customWidth="1"/>
    <col min="1960" max="1961" width="2" style="597" customWidth="1"/>
    <col min="1962" max="1963" width="2.140625" style="597" customWidth="1"/>
    <col min="1964" max="1964" width="1.7109375" style="597" customWidth="1"/>
    <col min="1965" max="1965" width="0.85546875" style="597" customWidth="1"/>
    <col min="1966" max="1966" width="2" style="597" customWidth="1"/>
    <col min="1967" max="1967" width="2.140625" style="597" customWidth="1"/>
    <col min="1968" max="2212" width="11.42578125" style="597"/>
    <col min="2213" max="2213" width="2.28515625" style="597" customWidth="1"/>
    <col min="2214" max="2214" width="2.140625" style="597" customWidth="1"/>
    <col min="2215" max="2215" width="1.140625" style="597" customWidth="1"/>
    <col min="2216" max="2217" width="2" style="597" customWidth="1"/>
    <col min="2218" max="2219" width="2.140625" style="597" customWidth="1"/>
    <col min="2220" max="2220" width="1.7109375" style="597" customWidth="1"/>
    <col min="2221" max="2221" width="0.85546875" style="597" customWidth="1"/>
    <col min="2222" max="2222" width="2" style="597" customWidth="1"/>
    <col min="2223" max="2223" width="2.140625" style="597" customWidth="1"/>
    <col min="2224" max="2468" width="11.42578125" style="597"/>
    <col min="2469" max="2469" width="2.28515625" style="597" customWidth="1"/>
    <col min="2470" max="2470" width="2.140625" style="597" customWidth="1"/>
    <col min="2471" max="2471" width="1.140625" style="597" customWidth="1"/>
    <col min="2472" max="2473" width="2" style="597" customWidth="1"/>
    <col min="2474" max="2475" width="2.140625" style="597" customWidth="1"/>
    <col min="2476" max="2476" width="1.7109375" style="597" customWidth="1"/>
    <col min="2477" max="2477" width="0.85546875" style="597" customWidth="1"/>
    <col min="2478" max="2478" width="2" style="597" customWidth="1"/>
    <col min="2479" max="2479" width="2.140625" style="597" customWidth="1"/>
    <col min="2480" max="2724" width="11.42578125" style="597"/>
    <col min="2725" max="2725" width="2.28515625" style="597" customWidth="1"/>
    <col min="2726" max="2726" width="2.140625" style="597" customWidth="1"/>
    <col min="2727" max="2727" width="1.140625" style="597" customWidth="1"/>
    <col min="2728" max="2729" width="2" style="597" customWidth="1"/>
    <col min="2730" max="2731" width="2.140625" style="597" customWidth="1"/>
    <col min="2732" max="2732" width="1.7109375" style="597" customWidth="1"/>
    <col min="2733" max="2733" width="0.85546875" style="597" customWidth="1"/>
    <col min="2734" max="2734" width="2" style="597" customWidth="1"/>
    <col min="2735" max="2735" width="2.140625" style="597" customWidth="1"/>
    <col min="2736" max="2980" width="11.42578125" style="597"/>
    <col min="2981" max="2981" width="2.28515625" style="597" customWidth="1"/>
    <col min="2982" max="2982" width="2.140625" style="597" customWidth="1"/>
    <col min="2983" max="2983" width="1.140625" style="597" customWidth="1"/>
    <col min="2984" max="2985" width="2" style="597" customWidth="1"/>
    <col min="2986" max="2987" width="2.140625" style="597" customWidth="1"/>
    <col min="2988" max="2988" width="1.7109375" style="597" customWidth="1"/>
    <col min="2989" max="2989" width="0.85546875" style="597" customWidth="1"/>
    <col min="2990" max="2990" width="2" style="597" customWidth="1"/>
    <col min="2991" max="2991" width="2.140625" style="597" customWidth="1"/>
    <col min="2992" max="3236" width="11.42578125" style="597"/>
    <col min="3237" max="3237" width="2.28515625" style="597" customWidth="1"/>
    <col min="3238" max="3238" width="2.140625" style="597" customWidth="1"/>
    <col min="3239" max="3239" width="1.140625" style="597" customWidth="1"/>
    <col min="3240" max="3241" width="2" style="597" customWidth="1"/>
    <col min="3242" max="3243" width="2.140625" style="597" customWidth="1"/>
    <col min="3244" max="3244" width="1.7109375" style="597" customWidth="1"/>
    <col min="3245" max="3245" width="0.85546875" style="597" customWidth="1"/>
    <col min="3246" max="3246" width="2" style="597" customWidth="1"/>
    <col min="3247" max="3247" width="2.140625" style="597" customWidth="1"/>
    <col min="3248" max="3492" width="11.42578125" style="597"/>
    <col min="3493" max="3493" width="2.28515625" style="597" customWidth="1"/>
    <col min="3494" max="3494" width="2.140625" style="597" customWidth="1"/>
    <col min="3495" max="3495" width="1.140625" style="597" customWidth="1"/>
    <col min="3496" max="3497" width="2" style="597" customWidth="1"/>
    <col min="3498" max="3499" width="2.140625" style="597" customWidth="1"/>
    <col min="3500" max="3500" width="1.7109375" style="597" customWidth="1"/>
    <col min="3501" max="3501" width="0.85546875" style="597" customWidth="1"/>
    <col min="3502" max="3502" width="2" style="597" customWidth="1"/>
    <col min="3503" max="3503" width="2.140625" style="597" customWidth="1"/>
    <col min="3504" max="3748" width="11.42578125" style="597"/>
    <col min="3749" max="3749" width="2.28515625" style="597" customWidth="1"/>
    <col min="3750" max="3750" width="2.140625" style="597" customWidth="1"/>
    <col min="3751" max="3751" width="1.140625" style="597" customWidth="1"/>
    <col min="3752" max="3753" width="2" style="597" customWidth="1"/>
    <col min="3754" max="3755" width="2.140625" style="597" customWidth="1"/>
    <col min="3756" max="3756" width="1.7109375" style="597" customWidth="1"/>
    <col min="3757" max="3757" width="0.85546875" style="597" customWidth="1"/>
    <col min="3758" max="3758" width="2" style="597" customWidth="1"/>
    <col min="3759" max="3759" width="2.140625" style="597" customWidth="1"/>
    <col min="3760" max="4004" width="11.42578125" style="597"/>
    <col min="4005" max="4005" width="2.28515625" style="597" customWidth="1"/>
    <col min="4006" max="4006" width="2.140625" style="597" customWidth="1"/>
    <col min="4007" max="4007" width="1.140625" style="597" customWidth="1"/>
    <col min="4008" max="4009" width="2" style="597" customWidth="1"/>
    <col min="4010" max="4011" width="2.140625" style="597" customWidth="1"/>
    <col min="4012" max="4012" width="1.7109375" style="597" customWidth="1"/>
    <col min="4013" max="4013" width="0.85546875" style="597" customWidth="1"/>
    <col min="4014" max="4014" width="2" style="597" customWidth="1"/>
    <col min="4015" max="4015" width="2.140625" style="597" customWidth="1"/>
    <col min="4016" max="4260" width="11.42578125" style="597"/>
    <col min="4261" max="4261" width="2.28515625" style="597" customWidth="1"/>
    <col min="4262" max="4262" width="2.140625" style="597" customWidth="1"/>
    <col min="4263" max="4263" width="1.140625" style="597" customWidth="1"/>
    <col min="4264" max="4265" width="2" style="597" customWidth="1"/>
    <col min="4266" max="4267" width="2.140625" style="597" customWidth="1"/>
    <col min="4268" max="4268" width="1.7109375" style="597" customWidth="1"/>
    <col min="4269" max="4269" width="0.85546875" style="597" customWidth="1"/>
    <col min="4270" max="4270" width="2" style="597" customWidth="1"/>
    <col min="4271" max="4271" width="2.140625" style="597" customWidth="1"/>
    <col min="4272" max="4516" width="11.42578125" style="597"/>
    <col min="4517" max="4517" width="2.28515625" style="597" customWidth="1"/>
    <col min="4518" max="4518" width="2.140625" style="597" customWidth="1"/>
    <col min="4519" max="4519" width="1.140625" style="597" customWidth="1"/>
    <col min="4520" max="4521" width="2" style="597" customWidth="1"/>
    <col min="4522" max="4523" width="2.140625" style="597" customWidth="1"/>
    <col min="4524" max="4524" width="1.7109375" style="597" customWidth="1"/>
    <col min="4525" max="4525" width="0.85546875" style="597" customWidth="1"/>
    <col min="4526" max="4526" width="2" style="597" customWidth="1"/>
    <col min="4527" max="4527" width="2.140625" style="597" customWidth="1"/>
    <col min="4528" max="4772" width="11.42578125" style="597"/>
    <col min="4773" max="4773" width="2.28515625" style="597" customWidth="1"/>
    <col min="4774" max="4774" width="2.140625" style="597" customWidth="1"/>
    <col min="4775" max="4775" width="1.140625" style="597" customWidth="1"/>
    <col min="4776" max="4777" width="2" style="597" customWidth="1"/>
    <col min="4778" max="4779" width="2.140625" style="597" customWidth="1"/>
    <col min="4780" max="4780" width="1.7109375" style="597" customWidth="1"/>
    <col min="4781" max="4781" width="0.85546875" style="597" customWidth="1"/>
    <col min="4782" max="4782" width="2" style="597" customWidth="1"/>
    <col min="4783" max="4783" width="2.140625" style="597" customWidth="1"/>
    <col min="4784" max="5028" width="11.42578125" style="597"/>
    <col min="5029" max="5029" width="2.28515625" style="597" customWidth="1"/>
    <col min="5030" max="5030" width="2.140625" style="597" customWidth="1"/>
    <col min="5031" max="5031" width="1.140625" style="597" customWidth="1"/>
    <col min="5032" max="5033" width="2" style="597" customWidth="1"/>
    <col min="5034" max="5035" width="2.140625" style="597" customWidth="1"/>
    <col min="5036" max="5036" width="1.7109375" style="597" customWidth="1"/>
    <col min="5037" max="5037" width="0.85546875" style="597" customWidth="1"/>
    <col min="5038" max="5038" width="2" style="597" customWidth="1"/>
    <col min="5039" max="5039" width="2.140625" style="597" customWidth="1"/>
    <col min="5040" max="5284" width="11.42578125" style="597"/>
    <col min="5285" max="5285" width="2.28515625" style="597" customWidth="1"/>
    <col min="5286" max="5286" width="2.140625" style="597" customWidth="1"/>
    <col min="5287" max="5287" width="1.140625" style="597" customWidth="1"/>
    <col min="5288" max="5289" width="2" style="597" customWidth="1"/>
    <col min="5290" max="5291" width="2.140625" style="597" customWidth="1"/>
    <col min="5292" max="5292" width="1.7109375" style="597" customWidth="1"/>
    <col min="5293" max="5293" width="0.85546875" style="597" customWidth="1"/>
    <col min="5294" max="5294" width="2" style="597" customWidth="1"/>
    <col min="5295" max="5295" width="2.140625" style="597" customWidth="1"/>
    <col min="5296" max="5540" width="11.42578125" style="597"/>
    <col min="5541" max="5541" width="2.28515625" style="597" customWidth="1"/>
    <col min="5542" max="5542" width="2.140625" style="597" customWidth="1"/>
    <col min="5543" max="5543" width="1.140625" style="597" customWidth="1"/>
    <col min="5544" max="5545" width="2" style="597" customWidth="1"/>
    <col min="5546" max="5547" width="2.140625" style="597" customWidth="1"/>
    <col min="5548" max="5548" width="1.7109375" style="597" customWidth="1"/>
    <col min="5549" max="5549" width="0.85546875" style="597" customWidth="1"/>
    <col min="5550" max="5550" width="2" style="597" customWidth="1"/>
    <col min="5551" max="5551" width="2.140625" style="597" customWidth="1"/>
    <col min="5552" max="5796" width="11.42578125" style="597"/>
    <col min="5797" max="5797" width="2.28515625" style="597" customWidth="1"/>
    <col min="5798" max="5798" width="2.140625" style="597" customWidth="1"/>
    <col min="5799" max="5799" width="1.140625" style="597" customWidth="1"/>
    <col min="5800" max="5801" width="2" style="597" customWidth="1"/>
    <col min="5802" max="5803" width="2.140625" style="597" customWidth="1"/>
    <col min="5804" max="5804" width="1.7109375" style="597" customWidth="1"/>
    <col min="5805" max="5805" width="0.85546875" style="597" customWidth="1"/>
    <col min="5806" max="5806" width="2" style="597" customWidth="1"/>
    <col min="5807" max="5807" width="2.140625" style="597" customWidth="1"/>
    <col min="5808" max="6052" width="11.42578125" style="597"/>
    <col min="6053" max="6053" width="2.28515625" style="597" customWidth="1"/>
    <col min="6054" max="6054" width="2.140625" style="597" customWidth="1"/>
    <col min="6055" max="6055" width="1.140625" style="597" customWidth="1"/>
    <col min="6056" max="6057" width="2" style="597" customWidth="1"/>
    <col min="6058" max="6059" width="2.140625" style="597" customWidth="1"/>
    <col min="6060" max="6060" width="1.7109375" style="597" customWidth="1"/>
    <col min="6061" max="6061" width="0.85546875" style="597" customWidth="1"/>
    <col min="6062" max="6062" width="2" style="597" customWidth="1"/>
    <col min="6063" max="6063" width="2.140625" style="597" customWidth="1"/>
    <col min="6064" max="6308" width="11.42578125" style="597"/>
    <col min="6309" max="6309" width="2.28515625" style="597" customWidth="1"/>
    <col min="6310" max="6310" width="2.140625" style="597" customWidth="1"/>
    <col min="6311" max="6311" width="1.140625" style="597" customWidth="1"/>
    <col min="6312" max="6313" width="2" style="597" customWidth="1"/>
    <col min="6314" max="6315" width="2.140625" style="597" customWidth="1"/>
    <col min="6316" max="6316" width="1.7109375" style="597" customWidth="1"/>
    <col min="6317" max="6317" width="0.85546875" style="597" customWidth="1"/>
    <col min="6318" max="6318" width="2" style="597" customWidth="1"/>
    <col min="6319" max="6319" width="2.140625" style="597" customWidth="1"/>
    <col min="6320" max="6564" width="11.42578125" style="597"/>
    <col min="6565" max="6565" width="2.28515625" style="597" customWidth="1"/>
    <col min="6566" max="6566" width="2.140625" style="597" customWidth="1"/>
    <col min="6567" max="6567" width="1.140625" style="597" customWidth="1"/>
    <col min="6568" max="6569" width="2" style="597" customWidth="1"/>
    <col min="6570" max="6571" width="2.140625" style="597" customWidth="1"/>
    <col min="6572" max="6572" width="1.7109375" style="597" customWidth="1"/>
    <col min="6573" max="6573" width="0.85546875" style="597" customWidth="1"/>
    <col min="6574" max="6574" width="2" style="597" customWidth="1"/>
    <col min="6575" max="6575" width="2.140625" style="597" customWidth="1"/>
    <col min="6576" max="6820" width="11.42578125" style="597"/>
    <col min="6821" max="6821" width="2.28515625" style="597" customWidth="1"/>
    <col min="6822" max="6822" width="2.140625" style="597" customWidth="1"/>
    <col min="6823" max="6823" width="1.140625" style="597" customWidth="1"/>
    <col min="6824" max="6825" width="2" style="597" customWidth="1"/>
    <col min="6826" max="6827" width="2.140625" style="597" customWidth="1"/>
    <col min="6828" max="6828" width="1.7109375" style="597" customWidth="1"/>
    <col min="6829" max="6829" width="0.85546875" style="597" customWidth="1"/>
    <col min="6830" max="6830" width="2" style="597" customWidth="1"/>
    <col min="6831" max="6831" width="2.140625" style="597" customWidth="1"/>
    <col min="6832" max="7076" width="11.42578125" style="597"/>
    <col min="7077" max="7077" width="2.28515625" style="597" customWidth="1"/>
    <col min="7078" max="7078" width="2.140625" style="597" customWidth="1"/>
    <col min="7079" max="7079" width="1.140625" style="597" customWidth="1"/>
    <col min="7080" max="7081" width="2" style="597" customWidth="1"/>
    <col min="7082" max="7083" width="2.140625" style="597" customWidth="1"/>
    <col min="7084" max="7084" width="1.7109375" style="597" customWidth="1"/>
    <col min="7085" max="7085" width="0.85546875" style="597" customWidth="1"/>
    <col min="7086" max="7086" width="2" style="597" customWidth="1"/>
    <col min="7087" max="7087" width="2.140625" style="597" customWidth="1"/>
    <col min="7088" max="7332" width="11.42578125" style="597"/>
    <col min="7333" max="7333" width="2.28515625" style="597" customWidth="1"/>
    <col min="7334" max="7334" width="2.140625" style="597" customWidth="1"/>
    <col min="7335" max="7335" width="1.140625" style="597" customWidth="1"/>
    <col min="7336" max="7337" width="2" style="597" customWidth="1"/>
    <col min="7338" max="7339" width="2.140625" style="597" customWidth="1"/>
    <col min="7340" max="7340" width="1.7109375" style="597" customWidth="1"/>
    <col min="7341" max="7341" width="0.85546875" style="597" customWidth="1"/>
    <col min="7342" max="7342" width="2" style="597" customWidth="1"/>
    <col min="7343" max="7343" width="2.140625" style="597" customWidth="1"/>
    <col min="7344" max="7588" width="11.42578125" style="597"/>
    <col min="7589" max="7589" width="2.28515625" style="597" customWidth="1"/>
    <col min="7590" max="7590" width="2.140625" style="597" customWidth="1"/>
    <col min="7591" max="7591" width="1.140625" style="597" customWidth="1"/>
    <col min="7592" max="7593" width="2" style="597" customWidth="1"/>
    <col min="7594" max="7595" width="2.140625" style="597" customWidth="1"/>
    <col min="7596" max="7596" width="1.7109375" style="597" customWidth="1"/>
    <col min="7597" max="7597" width="0.85546875" style="597" customWidth="1"/>
    <col min="7598" max="7598" width="2" style="597" customWidth="1"/>
    <col min="7599" max="7599" width="2.140625" style="597" customWidth="1"/>
    <col min="7600" max="7844" width="11.42578125" style="597"/>
    <col min="7845" max="7845" width="2.28515625" style="597" customWidth="1"/>
    <col min="7846" max="7846" width="2.140625" style="597" customWidth="1"/>
    <col min="7847" max="7847" width="1.140625" style="597" customWidth="1"/>
    <col min="7848" max="7849" width="2" style="597" customWidth="1"/>
    <col min="7850" max="7851" width="2.140625" style="597" customWidth="1"/>
    <col min="7852" max="7852" width="1.7109375" style="597" customWidth="1"/>
    <col min="7853" max="7853" width="0.85546875" style="597" customWidth="1"/>
    <col min="7854" max="7854" width="2" style="597" customWidth="1"/>
    <col min="7855" max="7855" width="2.140625" style="597" customWidth="1"/>
    <col min="7856" max="8100" width="11.42578125" style="597"/>
    <col min="8101" max="8101" width="2.28515625" style="597" customWidth="1"/>
    <col min="8102" max="8102" width="2.140625" style="597" customWidth="1"/>
    <col min="8103" max="8103" width="1.140625" style="597" customWidth="1"/>
    <col min="8104" max="8105" width="2" style="597" customWidth="1"/>
    <col min="8106" max="8107" width="2.140625" style="597" customWidth="1"/>
    <col min="8108" max="8108" width="1.7109375" style="597" customWidth="1"/>
    <col min="8109" max="8109" width="0.85546875" style="597" customWidth="1"/>
    <col min="8110" max="8110" width="2" style="597" customWidth="1"/>
    <col min="8111" max="8111" width="2.140625" style="597" customWidth="1"/>
    <col min="8112" max="8356" width="11.42578125" style="597"/>
    <col min="8357" max="8357" width="2.28515625" style="597" customWidth="1"/>
    <col min="8358" max="8358" width="2.140625" style="597" customWidth="1"/>
    <col min="8359" max="8359" width="1.140625" style="597" customWidth="1"/>
    <col min="8360" max="8361" width="2" style="597" customWidth="1"/>
    <col min="8362" max="8363" width="2.140625" style="597" customWidth="1"/>
    <col min="8364" max="8364" width="1.7109375" style="597" customWidth="1"/>
    <col min="8365" max="8365" width="0.85546875" style="597" customWidth="1"/>
    <col min="8366" max="8366" width="2" style="597" customWidth="1"/>
    <col min="8367" max="8367" width="2.140625" style="597" customWidth="1"/>
    <col min="8368" max="8612" width="11.42578125" style="597"/>
    <col min="8613" max="8613" width="2.28515625" style="597" customWidth="1"/>
    <col min="8614" max="8614" width="2.140625" style="597" customWidth="1"/>
    <col min="8615" max="8615" width="1.140625" style="597" customWidth="1"/>
    <col min="8616" max="8617" width="2" style="597" customWidth="1"/>
    <col min="8618" max="8619" width="2.140625" style="597" customWidth="1"/>
    <col min="8620" max="8620" width="1.7109375" style="597" customWidth="1"/>
    <col min="8621" max="8621" width="0.85546875" style="597" customWidth="1"/>
    <col min="8622" max="8622" width="2" style="597" customWidth="1"/>
    <col min="8623" max="8623" width="2.140625" style="597" customWidth="1"/>
    <col min="8624" max="8868" width="11.42578125" style="597"/>
    <col min="8869" max="8869" width="2.28515625" style="597" customWidth="1"/>
    <col min="8870" max="8870" width="2.140625" style="597" customWidth="1"/>
    <col min="8871" max="8871" width="1.140625" style="597" customWidth="1"/>
    <col min="8872" max="8873" width="2" style="597" customWidth="1"/>
    <col min="8874" max="8875" width="2.140625" style="597" customWidth="1"/>
    <col min="8876" max="8876" width="1.7109375" style="597" customWidth="1"/>
    <col min="8877" max="8877" width="0.85546875" style="597" customWidth="1"/>
    <col min="8878" max="8878" width="2" style="597" customWidth="1"/>
    <col min="8879" max="8879" width="2.140625" style="597" customWidth="1"/>
    <col min="8880" max="9124" width="11.42578125" style="597"/>
    <col min="9125" max="9125" width="2.28515625" style="597" customWidth="1"/>
    <col min="9126" max="9126" width="2.140625" style="597" customWidth="1"/>
    <col min="9127" max="9127" width="1.140625" style="597" customWidth="1"/>
    <col min="9128" max="9129" width="2" style="597" customWidth="1"/>
    <col min="9130" max="9131" width="2.140625" style="597" customWidth="1"/>
    <col min="9132" max="9132" width="1.7109375" style="597" customWidth="1"/>
    <col min="9133" max="9133" width="0.85546875" style="597" customWidth="1"/>
    <col min="9134" max="9134" width="2" style="597" customWidth="1"/>
    <col min="9135" max="9135" width="2.140625" style="597" customWidth="1"/>
    <col min="9136" max="9380" width="11.42578125" style="597"/>
    <col min="9381" max="9381" width="2.28515625" style="597" customWidth="1"/>
    <col min="9382" max="9382" width="2.140625" style="597" customWidth="1"/>
    <col min="9383" max="9383" width="1.140625" style="597" customWidth="1"/>
    <col min="9384" max="9385" width="2" style="597" customWidth="1"/>
    <col min="9386" max="9387" width="2.140625" style="597" customWidth="1"/>
    <col min="9388" max="9388" width="1.7109375" style="597" customWidth="1"/>
    <col min="9389" max="9389" width="0.85546875" style="597" customWidth="1"/>
    <col min="9390" max="9390" width="2" style="597" customWidth="1"/>
    <col min="9391" max="9391" width="2.140625" style="597" customWidth="1"/>
    <col min="9392" max="9636" width="11.42578125" style="597"/>
    <col min="9637" max="9637" width="2.28515625" style="597" customWidth="1"/>
    <col min="9638" max="9638" width="2.140625" style="597" customWidth="1"/>
    <col min="9639" max="9639" width="1.140625" style="597" customWidth="1"/>
    <col min="9640" max="9641" width="2" style="597" customWidth="1"/>
    <col min="9642" max="9643" width="2.140625" style="597" customWidth="1"/>
    <col min="9644" max="9644" width="1.7109375" style="597" customWidth="1"/>
    <col min="9645" max="9645" width="0.85546875" style="597" customWidth="1"/>
    <col min="9646" max="9646" width="2" style="597" customWidth="1"/>
    <col min="9647" max="9647" width="2.140625" style="597" customWidth="1"/>
    <col min="9648" max="9892" width="11.42578125" style="597"/>
    <col min="9893" max="9893" width="2.28515625" style="597" customWidth="1"/>
    <col min="9894" max="9894" width="2.140625" style="597" customWidth="1"/>
    <col min="9895" max="9895" width="1.140625" style="597" customWidth="1"/>
    <col min="9896" max="9897" width="2" style="597" customWidth="1"/>
    <col min="9898" max="9899" width="2.140625" style="597" customWidth="1"/>
    <col min="9900" max="9900" width="1.7109375" style="597" customWidth="1"/>
    <col min="9901" max="9901" width="0.85546875" style="597" customWidth="1"/>
    <col min="9902" max="9902" width="2" style="597" customWidth="1"/>
    <col min="9903" max="9903" width="2.140625" style="597" customWidth="1"/>
    <col min="9904" max="10148" width="11.42578125" style="597"/>
    <col min="10149" max="10149" width="2.28515625" style="597" customWidth="1"/>
    <col min="10150" max="10150" width="2.140625" style="597" customWidth="1"/>
    <col min="10151" max="10151" width="1.140625" style="597" customWidth="1"/>
    <col min="10152" max="10153" width="2" style="597" customWidth="1"/>
    <col min="10154" max="10155" width="2.140625" style="597" customWidth="1"/>
    <col min="10156" max="10156" width="1.7109375" style="597" customWidth="1"/>
    <col min="10157" max="10157" width="0.85546875" style="597" customWidth="1"/>
    <col min="10158" max="10158" width="2" style="597" customWidth="1"/>
    <col min="10159" max="10159" width="2.140625" style="597" customWidth="1"/>
    <col min="10160" max="10404" width="11.42578125" style="597"/>
    <col min="10405" max="10405" width="2.28515625" style="597" customWidth="1"/>
    <col min="10406" max="10406" width="2.140625" style="597" customWidth="1"/>
    <col min="10407" max="10407" width="1.140625" style="597" customWidth="1"/>
    <col min="10408" max="10409" width="2" style="597" customWidth="1"/>
    <col min="10410" max="10411" width="2.140625" style="597" customWidth="1"/>
    <col min="10412" max="10412" width="1.7109375" style="597" customWidth="1"/>
    <col min="10413" max="10413" width="0.85546875" style="597" customWidth="1"/>
    <col min="10414" max="10414" width="2" style="597" customWidth="1"/>
    <col min="10415" max="10415" width="2.140625" style="597" customWidth="1"/>
    <col min="10416" max="10660" width="11.42578125" style="597"/>
    <col min="10661" max="10661" width="2.28515625" style="597" customWidth="1"/>
    <col min="10662" max="10662" width="2.140625" style="597" customWidth="1"/>
    <col min="10663" max="10663" width="1.140625" style="597" customWidth="1"/>
    <col min="10664" max="10665" width="2" style="597" customWidth="1"/>
    <col min="10666" max="10667" width="2.140625" style="597" customWidth="1"/>
    <col min="10668" max="10668" width="1.7109375" style="597" customWidth="1"/>
    <col min="10669" max="10669" width="0.85546875" style="597" customWidth="1"/>
    <col min="10670" max="10670" width="2" style="597" customWidth="1"/>
    <col min="10671" max="10671" width="2.140625" style="597" customWidth="1"/>
    <col min="10672" max="10916" width="11.42578125" style="597"/>
    <col min="10917" max="10917" width="2.28515625" style="597" customWidth="1"/>
    <col min="10918" max="10918" width="2.140625" style="597" customWidth="1"/>
    <col min="10919" max="10919" width="1.140625" style="597" customWidth="1"/>
    <col min="10920" max="10921" width="2" style="597" customWidth="1"/>
    <col min="10922" max="10923" width="2.140625" style="597" customWidth="1"/>
    <col min="10924" max="10924" width="1.7109375" style="597" customWidth="1"/>
    <col min="10925" max="10925" width="0.85546875" style="597" customWidth="1"/>
    <col min="10926" max="10926" width="2" style="597" customWidth="1"/>
    <col min="10927" max="10927" width="2.140625" style="597" customWidth="1"/>
    <col min="10928" max="11172" width="11.42578125" style="597"/>
    <col min="11173" max="11173" width="2.28515625" style="597" customWidth="1"/>
    <col min="11174" max="11174" width="2.140625" style="597" customWidth="1"/>
    <col min="11175" max="11175" width="1.140625" style="597" customWidth="1"/>
    <col min="11176" max="11177" width="2" style="597" customWidth="1"/>
    <col min="11178" max="11179" width="2.140625" style="597" customWidth="1"/>
    <col min="11180" max="11180" width="1.7109375" style="597" customWidth="1"/>
    <col min="11181" max="11181" width="0.85546875" style="597" customWidth="1"/>
    <col min="11182" max="11182" width="2" style="597" customWidth="1"/>
    <col min="11183" max="11183" width="2.140625" style="597" customWidth="1"/>
    <col min="11184" max="11428" width="11.42578125" style="597"/>
    <col min="11429" max="11429" width="2.28515625" style="597" customWidth="1"/>
    <col min="11430" max="11430" width="2.140625" style="597" customWidth="1"/>
    <col min="11431" max="11431" width="1.140625" style="597" customWidth="1"/>
    <col min="11432" max="11433" width="2" style="597" customWidth="1"/>
    <col min="11434" max="11435" width="2.140625" style="597" customWidth="1"/>
    <col min="11436" max="11436" width="1.7109375" style="597" customWidth="1"/>
    <col min="11437" max="11437" width="0.85546875" style="597" customWidth="1"/>
    <col min="11438" max="11438" width="2" style="597" customWidth="1"/>
    <col min="11439" max="11439" width="2.140625" style="597" customWidth="1"/>
    <col min="11440" max="11684" width="11.42578125" style="597"/>
    <col min="11685" max="11685" width="2.28515625" style="597" customWidth="1"/>
    <col min="11686" max="11686" width="2.140625" style="597" customWidth="1"/>
    <col min="11687" max="11687" width="1.140625" style="597" customWidth="1"/>
    <col min="11688" max="11689" width="2" style="597" customWidth="1"/>
    <col min="11690" max="11691" width="2.140625" style="597" customWidth="1"/>
    <col min="11692" max="11692" width="1.7109375" style="597" customWidth="1"/>
    <col min="11693" max="11693" width="0.85546875" style="597" customWidth="1"/>
    <col min="11694" max="11694" width="2" style="597" customWidth="1"/>
    <col min="11695" max="11695" width="2.140625" style="597" customWidth="1"/>
    <col min="11696" max="11940" width="11.42578125" style="597"/>
    <col min="11941" max="11941" width="2.28515625" style="597" customWidth="1"/>
    <col min="11942" max="11942" width="2.140625" style="597" customWidth="1"/>
    <col min="11943" max="11943" width="1.140625" style="597" customWidth="1"/>
    <col min="11944" max="11945" width="2" style="597" customWidth="1"/>
    <col min="11946" max="11947" width="2.140625" style="597" customWidth="1"/>
    <col min="11948" max="11948" width="1.7109375" style="597" customWidth="1"/>
    <col min="11949" max="11949" width="0.85546875" style="597" customWidth="1"/>
    <col min="11950" max="11950" width="2" style="597" customWidth="1"/>
    <col min="11951" max="11951" width="2.140625" style="597" customWidth="1"/>
    <col min="11952" max="12196" width="11.42578125" style="597"/>
    <col min="12197" max="12197" width="2.28515625" style="597" customWidth="1"/>
    <col min="12198" max="12198" width="2.140625" style="597" customWidth="1"/>
    <col min="12199" max="12199" width="1.140625" style="597" customWidth="1"/>
    <col min="12200" max="12201" width="2" style="597" customWidth="1"/>
    <col min="12202" max="12203" width="2.140625" style="597" customWidth="1"/>
    <col min="12204" max="12204" width="1.7109375" style="597" customWidth="1"/>
    <col min="12205" max="12205" width="0.85546875" style="597" customWidth="1"/>
    <col min="12206" max="12206" width="2" style="597" customWidth="1"/>
    <col min="12207" max="12207" width="2.140625" style="597" customWidth="1"/>
    <col min="12208" max="12452" width="11.42578125" style="597"/>
    <col min="12453" max="12453" width="2.28515625" style="597" customWidth="1"/>
    <col min="12454" max="12454" width="2.140625" style="597" customWidth="1"/>
    <col min="12455" max="12455" width="1.140625" style="597" customWidth="1"/>
    <col min="12456" max="12457" width="2" style="597" customWidth="1"/>
    <col min="12458" max="12459" width="2.140625" style="597" customWidth="1"/>
    <col min="12460" max="12460" width="1.7109375" style="597" customWidth="1"/>
    <col min="12461" max="12461" width="0.85546875" style="597" customWidth="1"/>
    <col min="12462" max="12462" width="2" style="597" customWidth="1"/>
    <col min="12463" max="12463" width="2.140625" style="597" customWidth="1"/>
    <col min="12464" max="12708" width="11.42578125" style="597"/>
    <col min="12709" max="12709" width="2.28515625" style="597" customWidth="1"/>
    <col min="12710" max="12710" width="2.140625" style="597" customWidth="1"/>
    <col min="12711" max="12711" width="1.140625" style="597" customWidth="1"/>
    <col min="12712" max="12713" width="2" style="597" customWidth="1"/>
    <col min="12714" max="12715" width="2.140625" style="597" customWidth="1"/>
    <col min="12716" max="12716" width="1.7109375" style="597" customWidth="1"/>
    <col min="12717" max="12717" width="0.85546875" style="597" customWidth="1"/>
    <col min="12718" max="12718" width="2" style="597" customWidth="1"/>
    <col min="12719" max="12719" width="2.140625" style="597" customWidth="1"/>
    <col min="12720" max="12964" width="11.42578125" style="597"/>
    <col min="12965" max="12965" width="2.28515625" style="597" customWidth="1"/>
    <col min="12966" max="12966" width="2.140625" style="597" customWidth="1"/>
    <col min="12967" max="12967" width="1.140625" style="597" customWidth="1"/>
    <col min="12968" max="12969" width="2" style="597" customWidth="1"/>
    <col min="12970" max="12971" width="2.140625" style="597" customWidth="1"/>
    <col min="12972" max="12972" width="1.7109375" style="597" customWidth="1"/>
    <col min="12973" max="12973" width="0.85546875" style="597" customWidth="1"/>
    <col min="12974" max="12974" width="2" style="597" customWidth="1"/>
    <col min="12975" max="12975" width="2.140625" style="597" customWidth="1"/>
    <col min="12976" max="13220" width="11.42578125" style="597"/>
    <col min="13221" max="13221" width="2.28515625" style="597" customWidth="1"/>
    <col min="13222" max="13222" width="2.140625" style="597" customWidth="1"/>
    <col min="13223" max="13223" width="1.140625" style="597" customWidth="1"/>
    <col min="13224" max="13225" width="2" style="597" customWidth="1"/>
    <col min="13226" max="13227" width="2.140625" style="597" customWidth="1"/>
    <col min="13228" max="13228" width="1.7109375" style="597" customWidth="1"/>
    <col min="13229" max="13229" width="0.85546875" style="597" customWidth="1"/>
    <col min="13230" max="13230" width="2" style="597" customWidth="1"/>
    <col min="13231" max="13231" width="2.140625" style="597" customWidth="1"/>
    <col min="13232" max="13476" width="11.42578125" style="597"/>
    <col min="13477" max="13477" width="2.28515625" style="597" customWidth="1"/>
    <col min="13478" max="13478" width="2.140625" style="597" customWidth="1"/>
    <col min="13479" max="13479" width="1.140625" style="597" customWidth="1"/>
    <col min="13480" max="13481" width="2" style="597" customWidth="1"/>
    <col min="13482" max="13483" width="2.140625" style="597" customWidth="1"/>
    <col min="13484" max="13484" width="1.7109375" style="597" customWidth="1"/>
    <col min="13485" max="13485" width="0.85546875" style="597" customWidth="1"/>
    <col min="13486" max="13486" width="2" style="597" customWidth="1"/>
    <col min="13487" max="13487" width="2.140625" style="597" customWidth="1"/>
    <col min="13488" max="13732" width="11.42578125" style="597"/>
    <col min="13733" max="13733" width="2.28515625" style="597" customWidth="1"/>
    <col min="13734" max="13734" width="2.140625" style="597" customWidth="1"/>
    <col min="13735" max="13735" width="1.140625" style="597" customWidth="1"/>
    <col min="13736" max="13737" width="2" style="597" customWidth="1"/>
    <col min="13738" max="13739" width="2.140625" style="597" customWidth="1"/>
    <col min="13740" max="13740" width="1.7109375" style="597" customWidth="1"/>
    <col min="13741" max="13741" width="0.85546875" style="597" customWidth="1"/>
    <col min="13742" max="13742" width="2" style="597" customWidth="1"/>
    <col min="13743" max="13743" width="2.140625" style="597" customWidth="1"/>
    <col min="13744" max="13988" width="11.42578125" style="597"/>
    <col min="13989" max="13989" width="2.28515625" style="597" customWidth="1"/>
    <col min="13990" max="13990" width="2.140625" style="597" customWidth="1"/>
    <col min="13991" max="13991" width="1.140625" style="597" customWidth="1"/>
    <col min="13992" max="13993" width="2" style="597" customWidth="1"/>
    <col min="13994" max="13995" width="2.140625" style="597" customWidth="1"/>
    <col min="13996" max="13996" width="1.7109375" style="597" customWidth="1"/>
    <col min="13997" max="13997" width="0.85546875" style="597" customWidth="1"/>
    <col min="13998" max="13998" width="2" style="597" customWidth="1"/>
    <col min="13999" max="13999" width="2.140625" style="597" customWidth="1"/>
    <col min="14000" max="14244" width="11.42578125" style="597"/>
    <col min="14245" max="14245" width="2.28515625" style="597" customWidth="1"/>
    <col min="14246" max="14246" width="2.140625" style="597" customWidth="1"/>
    <col min="14247" max="14247" width="1.140625" style="597" customWidth="1"/>
    <col min="14248" max="14249" width="2" style="597" customWidth="1"/>
    <col min="14250" max="14251" width="2.140625" style="597" customWidth="1"/>
    <col min="14252" max="14252" width="1.7109375" style="597" customWidth="1"/>
    <col min="14253" max="14253" width="0.85546875" style="597" customWidth="1"/>
    <col min="14254" max="14254" width="2" style="597" customWidth="1"/>
    <col min="14255" max="14255" width="2.140625" style="597" customWidth="1"/>
    <col min="14256" max="14500" width="11.42578125" style="597"/>
    <col min="14501" max="14501" width="2.28515625" style="597" customWidth="1"/>
    <col min="14502" max="14502" width="2.140625" style="597" customWidth="1"/>
    <col min="14503" max="14503" width="1.140625" style="597" customWidth="1"/>
    <col min="14504" max="14505" width="2" style="597" customWidth="1"/>
    <col min="14506" max="14507" width="2.140625" style="597" customWidth="1"/>
    <col min="14508" max="14508" width="1.7109375" style="597" customWidth="1"/>
    <col min="14509" max="14509" width="0.85546875" style="597" customWidth="1"/>
    <col min="14510" max="14510" width="2" style="597" customWidth="1"/>
    <col min="14511" max="14511" width="2.140625" style="597" customWidth="1"/>
    <col min="14512" max="14756" width="11.42578125" style="597"/>
    <col min="14757" max="14757" width="2.28515625" style="597" customWidth="1"/>
    <col min="14758" max="14758" width="2.140625" style="597" customWidth="1"/>
    <col min="14759" max="14759" width="1.140625" style="597" customWidth="1"/>
    <col min="14760" max="14761" width="2" style="597" customWidth="1"/>
    <col min="14762" max="14763" width="2.140625" style="597" customWidth="1"/>
    <col min="14764" max="14764" width="1.7109375" style="597" customWidth="1"/>
    <col min="14765" max="14765" width="0.85546875" style="597" customWidth="1"/>
    <col min="14766" max="14766" width="2" style="597" customWidth="1"/>
    <col min="14767" max="14767" width="2.140625" style="597" customWidth="1"/>
    <col min="14768" max="15012" width="11.42578125" style="597"/>
    <col min="15013" max="15013" width="2.28515625" style="597" customWidth="1"/>
    <col min="15014" max="15014" width="2.140625" style="597" customWidth="1"/>
    <col min="15015" max="15015" width="1.140625" style="597" customWidth="1"/>
    <col min="15016" max="15017" width="2" style="597" customWidth="1"/>
    <col min="15018" max="15019" width="2.140625" style="597" customWidth="1"/>
    <col min="15020" max="15020" width="1.7109375" style="597" customWidth="1"/>
    <col min="15021" max="15021" width="0.85546875" style="597" customWidth="1"/>
    <col min="15022" max="15022" width="2" style="597" customWidth="1"/>
    <col min="15023" max="15023" width="2.140625" style="597" customWidth="1"/>
    <col min="15024" max="15268" width="11.42578125" style="597"/>
    <col min="15269" max="15269" width="2.28515625" style="597" customWidth="1"/>
    <col min="15270" max="15270" width="2.140625" style="597" customWidth="1"/>
    <col min="15271" max="15271" width="1.140625" style="597" customWidth="1"/>
    <col min="15272" max="15273" width="2" style="597" customWidth="1"/>
    <col min="15274" max="15275" width="2.140625" style="597" customWidth="1"/>
    <col min="15276" max="15276" width="1.7109375" style="597" customWidth="1"/>
    <col min="15277" max="15277" width="0.85546875" style="597" customWidth="1"/>
    <col min="15278" max="15278" width="2" style="597" customWidth="1"/>
    <col min="15279" max="15279" width="2.140625" style="597" customWidth="1"/>
    <col min="15280" max="15524" width="11.42578125" style="597"/>
    <col min="15525" max="15525" width="2.28515625" style="597" customWidth="1"/>
    <col min="15526" max="15526" width="2.140625" style="597" customWidth="1"/>
    <col min="15527" max="15527" width="1.140625" style="597" customWidth="1"/>
    <col min="15528" max="15529" width="2" style="597" customWidth="1"/>
    <col min="15530" max="15531" width="2.140625" style="597" customWidth="1"/>
    <col min="15532" max="15532" width="1.7109375" style="597" customWidth="1"/>
    <col min="15533" max="15533" width="0.85546875" style="597" customWidth="1"/>
    <col min="15534" max="15534" width="2" style="597" customWidth="1"/>
    <col min="15535" max="15535" width="2.140625" style="597" customWidth="1"/>
    <col min="15536" max="15780" width="11.42578125" style="597"/>
    <col min="15781" max="15781" width="2.28515625" style="597" customWidth="1"/>
    <col min="15782" max="15782" width="2.140625" style="597" customWidth="1"/>
    <col min="15783" max="15783" width="1.140625" style="597" customWidth="1"/>
    <col min="15784" max="15785" width="2" style="597" customWidth="1"/>
    <col min="15786" max="15787" width="2.140625" style="597" customWidth="1"/>
    <col min="15788" max="15788" width="1.7109375" style="597" customWidth="1"/>
    <col min="15789" max="15789" width="0.85546875" style="597" customWidth="1"/>
    <col min="15790" max="15790" width="2" style="597" customWidth="1"/>
    <col min="15791" max="15791" width="2.140625" style="597" customWidth="1"/>
    <col min="15792" max="16036" width="11.42578125" style="597"/>
    <col min="16037" max="16037" width="2.28515625" style="597" customWidth="1"/>
    <col min="16038" max="16038" width="2.140625" style="597" customWidth="1"/>
    <col min="16039" max="16039" width="1.140625" style="597" customWidth="1"/>
    <col min="16040" max="16041" width="2" style="597" customWidth="1"/>
    <col min="16042" max="16043" width="2.140625" style="597" customWidth="1"/>
    <col min="16044" max="16044" width="1.7109375" style="597" customWidth="1"/>
    <col min="16045" max="16045" width="0.85546875" style="597" customWidth="1"/>
    <col min="16046" max="16046" width="2" style="597" customWidth="1"/>
    <col min="16047" max="16047" width="2.140625" style="597" customWidth="1"/>
    <col min="16048" max="16384" width="11.42578125" style="597"/>
  </cols>
  <sheetData>
    <row r="1" spans="2:17" ht="8.25" customHeight="1"/>
    <row r="2" spans="2:17" ht="51.75" customHeight="1"/>
    <row r="3" spans="2:17" s="594" customFormat="1" ht="15.75">
      <c r="B3" s="599"/>
      <c r="C3" s="600"/>
      <c r="D3" s="974" t="s">
        <v>19</v>
      </c>
      <c r="E3" s="975"/>
      <c r="F3" s="599"/>
      <c r="G3" s="976" t="s">
        <v>20</v>
      </c>
      <c r="H3" s="977"/>
      <c r="I3" s="977"/>
      <c r="J3" s="977"/>
      <c r="K3" s="977"/>
      <c r="L3" s="978"/>
      <c r="M3" s="631"/>
    </row>
    <row r="4" spans="2:17" s="595" customFormat="1" ht="38.25">
      <c r="B4" s="647" t="s">
        <v>21</v>
      </c>
      <c r="C4" s="648" t="s">
        <v>39</v>
      </c>
      <c r="D4" s="649" t="s">
        <v>22</v>
      </c>
      <c r="E4" s="650" t="s">
        <v>23</v>
      </c>
      <c r="F4" s="651" t="s">
        <v>24</v>
      </c>
      <c r="G4" s="651" t="s">
        <v>25</v>
      </c>
      <c r="H4" s="651" t="s">
        <v>26</v>
      </c>
      <c r="I4" s="651" t="s">
        <v>27</v>
      </c>
      <c r="J4" s="650" t="s">
        <v>28</v>
      </c>
      <c r="K4" s="651" t="s">
        <v>29</v>
      </c>
      <c r="L4" s="651" t="s">
        <v>30</v>
      </c>
      <c r="M4" s="651" t="s">
        <v>31</v>
      </c>
    </row>
    <row r="5" spans="2:17" s="596" customFormat="1" ht="12">
      <c r="B5" s="652" t="s">
        <v>56</v>
      </c>
      <c r="C5" s="607">
        <f>+VLOOKUP($B5,RESUMEN!$B$45:$I$87,2,FALSE)</f>
        <v>8</v>
      </c>
      <c r="D5" s="608">
        <f>+VLOOKUP($B5,RESUMEN!$B$45:$I$87,3,FALSE)</f>
        <v>16698865608</v>
      </c>
      <c r="E5" s="609">
        <f t="shared" ref="E5:E10" si="0">D5/D$16</f>
        <v>0.25956042699492793</v>
      </c>
      <c r="F5" s="610">
        <f>+VLOOKUP($B5,RESUMEN!$B$45:$I$87,4,FALSE)</f>
        <v>5568179894</v>
      </c>
      <c r="G5" s="608">
        <f>+VLOOKUP($B5,RESUMEN!$B$45:$I$87,5,FALSE)</f>
        <v>3422901351</v>
      </c>
      <c r="H5" s="611">
        <f t="shared" ref="H5:H15" si="1">G5/G$16</f>
        <v>0.17182819836873639</v>
      </c>
      <c r="I5" s="632">
        <f>+VLOOKUP($B5,RESUMEN!$B$45:$I$87,6,FALSE)</f>
        <v>2077463581</v>
      </c>
      <c r="J5" s="633">
        <f t="shared" ref="J5:J15" si="2">+G5-I5</f>
        <v>1345437770</v>
      </c>
      <c r="K5" s="634">
        <f>+VLOOKUP($B5,RESUMEN!$B$45:$I$87,7,FALSE)</f>
        <v>1345437770</v>
      </c>
      <c r="L5" s="635">
        <f t="shared" ref="L5:L16" si="3">I5/G5</f>
        <v>0.60693060300819635</v>
      </c>
      <c r="M5" s="636">
        <f>+VLOOKUP($B5,RESUMEN!$B$45:$I$87,8,FALSE)</f>
        <v>7707784363</v>
      </c>
      <c r="O5" s="596">
        <v>3257015351</v>
      </c>
      <c r="P5" s="938">
        <f>+O5-G5</f>
        <v>-165886000</v>
      </c>
      <c r="Q5" s="596">
        <v>157564232</v>
      </c>
    </row>
    <row r="6" spans="2:17" s="596" customFormat="1" ht="12">
      <c r="B6" s="653" t="s">
        <v>57</v>
      </c>
      <c r="C6" s="613">
        <f>+VLOOKUP($B6,RESUMEN!$B$45:$I$87,2,FALSE)</f>
        <v>13</v>
      </c>
      <c r="D6" s="614">
        <f>+VLOOKUP($B6,RESUMEN!$B$45:$I$87,3,FALSE)</f>
        <v>6583718768</v>
      </c>
      <c r="E6" s="615">
        <f t="shared" si="0"/>
        <v>0.10233466720146089</v>
      </c>
      <c r="F6" s="616">
        <f>+VLOOKUP($B6,RESUMEN!$B$45:$I$87,4,FALSE)</f>
        <v>2122659030</v>
      </c>
      <c r="G6" s="608">
        <f>+VLOOKUP($B6,RESUMEN!$B$45:$I$87,5,FALSE)</f>
        <v>2185100109</v>
      </c>
      <c r="H6" s="617">
        <f t="shared" si="1"/>
        <v>0.10969110017591024</v>
      </c>
      <c r="I6" s="632">
        <f>+VLOOKUP($B6,RESUMEN!$B$45:$I$87,6,FALSE)</f>
        <v>704375410</v>
      </c>
      <c r="J6" s="637">
        <f t="shared" si="2"/>
        <v>1480724699</v>
      </c>
      <c r="K6" s="634">
        <f>+VLOOKUP($B6,RESUMEN!$B$45:$I$87,7,FALSE)</f>
        <v>1480724699</v>
      </c>
      <c r="L6" s="638">
        <f t="shared" si="3"/>
        <v>0.32235383957870645</v>
      </c>
      <c r="M6" s="639">
        <f>+VLOOKUP($B6,RESUMEN!$B$45:$I$87,8,FALSE)</f>
        <v>2275959629</v>
      </c>
      <c r="O6" s="596">
        <v>2185100109</v>
      </c>
      <c r="P6" s="938">
        <f t="shared" ref="P6:P15" si="4">+O6-G6</f>
        <v>0</v>
      </c>
      <c r="Q6" s="596">
        <v>-255766073</v>
      </c>
    </row>
    <row r="7" spans="2:17" s="596" customFormat="1" ht="12">
      <c r="B7" s="653" t="s">
        <v>58</v>
      </c>
      <c r="C7" s="613">
        <f>+VLOOKUP($B7,RESUMEN!$B$45:$I$87,2,FALSE)</f>
        <v>13</v>
      </c>
      <c r="D7" s="614">
        <f>+VLOOKUP($B7,RESUMEN!$B$45:$I$87,3,FALSE)</f>
        <v>8333544650</v>
      </c>
      <c r="E7" s="615">
        <f t="shared" si="0"/>
        <v>0.12953325444448341</v>
      </c>
      <c r="F7" s="616">
        <f>+VLOOKUP($B7,RESUMEN!$B$45:$I$87,4,FALSE)</f>
        <v>747772307</v>
      </c>
      <c r="G7" s="608">
        <f>+VLOOKUP($B7,RESUMEN!$B$45:$I$87,5,FALSE)</f>
        <v>2204200943</v>
      </c>
      <c r="H7" s="617">
        <f t="shared" si="1"/>
        <v>0.11064995395432881</v>
      </c>
      <c r="I7" s="632">
        <f>+VLOOKUP($B7,RESUMEN!$B$45:$I$87,6,FALSE)</f>
        <v>1025503246</v>
      </c>
      <c r="J7" s="637">
        <f t="shared" si="2"/>
        <v>1178697697</v>
      </c>
      <c r="K7" s="634">
        <f>+VLOOKUP($B7,RESUMEN!$B$45:$I$87,7,FALSE)</f>
        <v>1178697697</v>
      </c>
      <c r="L7" s="638">
        <f t="shared" si="3"/>
        <v>0.46524943619897546</v>
      </c>
      <c r="M7" s="639">
        <f>+VLOOKUP($B7,RESUMEN!$B$45:$I$87,8,FALSE)</f>
        <v>5381571400</v>
      </c>
      <c r="O7" s="596">
        <v>2204200943</v>
      </c>
      <c r="P7" s="938">
        <f t="shared" si="4"/>
        <v>0</v>
      </c>
      <c r="Q7" s="596">
        <v>102168027</v>
      </c>
    </row>
    <row r="8" spans="2:17" s="596" customFormat="1" ht="12">
      <c r="B8" s="653" t="s">
        <v>59</v>
      </c>
      <c r="C8" s="613">
        <f>+VLOOKUP($B8,RESUMEN!$B$45:$I$87,2,FALSE)</f>
        <v>13</v>
      </c>
      <c r="D8" s="614">
        <f>+VLOOKUP($B8,RESUMEN!$B$45:$I$87,3,FALSE)</f>
        <v>3773030684</v>
      </c>
      <c r="E8" s="615">
        <f t="shared" si="0"/>
        <v>5.8646466077003051E-2</v>
      </c>
      <c r="F8" s="616">
        <f>+VLOOKUP($B8,RESUMEN!$B$45:$I$87,4,FALSE)</f>
        <v>879918242</v>
      </c>
      <c r="G8" s="608">
        <f>+VLOOKUP($B8,RESUMEN!$B$45:$I$87,5,FALSE)</f>
        <v>2124388605</v>
      </c>
      <c r="H8" s="617">
        <f t="shared" si="1"/>
        <v>0.10664340838382029</v>
      </c>
      <c r="I8" s="632">
        <f>+VLOOKUP($B8,RESUMEN!$B$45:$I$87,6,FALSE)</f>
        <v>1104462393</v>
      </c>
      <c r="J8" s="637">
        <f t="shared" si="2"/>
        <v>1019926212</v>
      </c>
      <c r="K8" s="634">
        <f>+VLOOKUP($B8,RESUMEN!$B$45:$I$87,7,FALSE)</f>
        <v>1019926212</v>
      </c>
      <c r="L8" s="638">
        <f t="shared" si="3"/>
        <v>0.51989659067108396</v>
      </c>
      <c r="M8" s="639">
        <f>+VLOOKUP($B8,RESUMEN!$B$45:$I$87,8,FALSE)</f>
        <v>768723837</v>
      </c>
      <c r="O8" s="596">
        <v>2118408083</v>
      </c>
      <c r="P8" s="938">
        <f t="shared" si="4"/>
        <v>-5980522</v>
      </c>
      <c r="Q8" s="596">
        <v>-78000000</v>
      </c>
    </row>
    <row r="9" spans="2:17" s="596" customFormat="1" ht="12">
      <c r="B9" s="654" t="s">
        <v>60</v>
      </c>
      <c r="C9" s="613">
        <f>+VLOOKUP($B9,RESUMEN!$B$45:$I$87,2,FALSE)</f>
        <v>6</v>
      </c>
      <c r="D9" s="614">
        <f>+VLOOKUP($B9,RESUMEN!$B$45:$I$87,3,FALSE)</f>
        <v>1712315000</v>
      </c>
      <c r="E9" s="615">
        <f t="shared" si="0"/>
        <v>2.6615533233400941E-2</v>
      </c>
      <c r="F9" s="616">
        <f>+VLOOKUP($B9,RESUMEN!$B$45:$I$87,4,FALSE)</f>
        <v>735635858</v>
      </c>
      <c r="G9" s="608">
        <f>+VLOOKUP($B9,RESUMEN!$B$45:$I$87,5,FALSE)</f>
        <v>817625962</v>
      </c>
      <c r="H9" s="617">
        <f t="shared" si="1"/>
        <v>4.1044477062980637E-2</v>
      </c>
      <c r="I9" s="632">
        <f>+VLOOKUP($B9,RESUMEN!$B$45:$I$87,6,FALSE)</f>
        <v>481838162</v>
      </c>
      <c r="J9" s="637">
        <f t="shared" si="2"/>
        <v>335787800</v>
      </c>
      <c r="K9" s="634">
        <f>+VLOOKUP($B9,RESUMEN!$B$45:$I$87,7,FALSE)</f>
        <v>335787800</v>
      </c>
      <c r="L9" s="638">
        <f t="shared" si="3"/>
        <v>0.58931367690596892</v>
      </c>
      <c r="M9" s="639">
        <f>+VLOOKUP($B9,RESUMEN!$B$45:$I$87,8,FALSE)</f>
        <v>159053180</v>
      </c>
      <c r="O9" s="596">
        <v>817625962</v>
      </c>
      <c r="P9" s="938">
        <f t="shared" si="4"/>
        <v>0</v>
      </c>
      <c r="Q9" s="596">
        <v>0</v>
      </c>
    </row>
    <row r="10" spans="2:17" s="596" customFormat="1" ht="12">
      <c r="B10" s="654" t="s">
        <v>61</v>
      </c>
      <c r="C10" s="613">
        <f>+VLOOKUP($B10,RESUMEN!$B$45:$I$87,2,FALSE)</f>
        <v>11</v>
      </c>
      <c r="D10" s="614">
        <f>+VLOOKUP($B10,RESUMEN!$B$45:$I$87,3,FALSE)</f>
        <v>3478456384</v>
      </c>
      <c r="E10" s="615">
        <f t="shared" si="0"/>
        <v>5.4067722054229314E-2</v>
      </c>
      <c r="F10" s="616">
        <f>+VLOOKUP($B10,RESUMEN!$B$45:$I$87,4,FALSE)</f>
        <v>722327363</v>
      </c>
      <c r="G10" s="608">
        <f>+VLOOKUP($B10,RESUMEN!$B$45:$I$87,5,FALSE)</f>
        <v>1051693754</v>
      </c>
      <c r="H10" s="617">
        <f t="shared" si="1"/>
        <v>5.2794581103740683E-2</v>
      </c>
      <c r="I10" s="632">
        <f>+VLOOKUP($B10,RESUMEN!$B$45:$I$87,6,FALSE)</f>
        <v>405934629</v>
      </c>
      <c r="J10" s="637">
        <f t="shared" si="2"/>
        <v>645759125</v>
      </c>
      <c r="K10" s="634">
        <f>+VLOOKUP($B10,RESUMEN!$B$45:$I$87,7,FALSE)</f>
        <v>645759125</v>
      </c>
      <c r="L10" s="638">
        <f t="shared" si="3"/>
        <v>0.38598178172692654</v>
      </c>
      <c r="M10" s="639">
        <f>+VLOOKUP($B10,RESUMEN!$B$45:$I$87,8,FALSE)</f>
        <v>1704435267</v>
      </c>
      <c r="O10" s="596">
        <v>1054392748</v>
      </c>
      <c r="P10" s="938">
        <f t="shared" si="4"/>
        <v>2698994</v>
      </c>
      <c r="Q10" s="596">
        <v>-12199264</v>
      </c>
    </row>
    <row r="11" spans="2:17" s="596" customFormat="1" ht="12">
      <c r="B11" s="654" t="s">
        <v>62</v>
      </c>
      <c r="C11" s="613">
        <f>+VLOOKUP($B11,RESUMEN!$B$45:$I$87,2,FALSE)</f>
        <v>5</v>
      </c>
      <c r="D11" s="614">
        <f>+VLOOKUP($B11,RESUMEN!$B$45:$I$87,3,FALSE)</f>
        <v>4811614562</v>
      </c>
      <c r="E11" s="615">
        <f t="shared" ref="E11:E15" si="5">D11/D$16</f>
        <v>7.4789794682185759E-2</v>
      </c>
      <c r="F11" s="616">
        <f>+VLOOKUP($B11,RESUMEN!$B$45:$I$87,4,FALSE)</f>
        <v>2618173447</v>
      </c>
      <c r="G11" s="608">
        <f>+VLOOKUP($B11,RESUMEN!$B$45:$I$87,5,FALSE)</f>
        <v>1987460593</v>
      </c>
      <c r="H11" s="617">
        <f t="shared" si="1"/>
        <v>9.9769680164542518E-2</v>
      </c>
      <c r="I11" s="632">
        <f>+VLOOKUP($B11,RESUMEN!$B$45:$I$87,6,FALSE)</f>
        <v>446995208</v>
      </c>
      <c r="J11" s="637">
        <f t="shared" si="2"/>
        <v>1540465385</v>
      </c>
      <c r="K11" s="634">
        <f>+VLOOKUP($B11,RESUMEN!$B$45:$I$87,7,FALSE)</f>
        <v>1540465385</v>
      </c>
      <c r="L11" s="638">
        <f t="shared" si="3"/>
        <v>0.2249077086480879</v>
      </c>
      <c r="M11" s="639">
        <f>+VLOOKUP($B11,RESUMEN!$B$45:$I$87,8,FALSE)</f>
        <v>205980522</v>
      </c>
      <c r="O11" s="596">
        <v>1993441115</v>
      </c>
      <c r="P11" s="938">
        <f t="shared" si="4"/>
        <v>5980522</v>
      </c>
      <c r="Q11" s="596">
        <v>103918692</v>
      </c>
    </row>
    <row r="12" spans="2:17" s="596" customFormat="1" ht="12">
      <c r="B12" s="654" t="s">
        <v>63</v>
      </c>
      <c r="C12" s="613">
        <f>+VLOOKUP($B12,RESUMEN!$B$45:$I$87,2,FALSE)</f>
        <v>8</v>
      </c>
      <c r="D12" s="614">
        <f>+VLOOKUP($B12,RESUMEN!$B$45:$I$87,3,FALSE)</f>
        <v>3760790239</v>
      </c>
      <c r="E12" s="615">
        <f t="shared" si="5"/>
        <v>5.8456205540425896E-2</v>
      </c>
      <c r="F12" s="616">
        <f>+VLOOKUP($B12,RESUMEN!$B$45:$I$87,4,FALSE)</f>
        <v>1498326510</v>
      </c>
      <c r="G12" s="608">
        <f>+VLOOKUP($B12,RESUMEN!$B$45:$I$87,5,FALSE)</f>
        <v>1184841495</v>
      </c>
      <c r="H12" s="617">
        <f t="shared" si="1"/>
        <v>5.9478541319600592E-2</v>
      </c>
      <c r="I12" s="632">
        <f>+VLOOKUP($B12,RESUMEN!$B$45:$I$87,6,FALSE)</f>
        <v>472916222</v>
      </c>
      <c r="J12" s="637">
        <f t="shared" si="2"/>
        <v>711925273</v>
      </c>
      <c r="K12" s="634">
        <f>+VLOOKUP($B12,RESUMEN!$B$45:$I$87,7,FALSE)</f>
        <v>711925273</v>
      </c>
      <c r="L12" s="638">
        <f t="shared" si="3"/>
        <v>0.39913880801414708</v>
      </c>
      <c r="M12" s="639">
        <f>+VLOOKUP($B12,RESUMEN!$B$45:$I$87,8,FALSE)</f>
        <v>1077622234</v>
      </c>
      <c r="O12" s="596">
        <v>1184841495</v>
      </c>
      <c r="P12" s="938">
        <f t="shared" si="4"/>
        <v>0</v>
      </c>
      <c r="Q12" s="596">
        <v>0</v>
      </c>
    </row>
    <row r="13" spans="2:17" s="596" customFormat="1" ht="12">
      <c r="B13" s="654" t="s">
        <v>64</v>
      </c>
      <c r="C13" s="613">
        <f>+VLOOKUP($B13,RESUMEN!$B$45:$I$87,2,FALSE)</f>
        <v>13</v>
      </c>
      <c r="D13" s="614">
        <f>+VLOOKUP($B13,RESUMEN!$B$45:$I$87,3,FALSE)</f>
        <v>5919003470</v>
      </c>
      <c r="E13" s="615">
        <f t="shared" si="5"/>
        <v>9.2002600902521145E-2</v>
      </c>
      <c r="F13" s="616">
        <f>+VLOOKUP($B13,RESUMEN!$B$45:$I$87,4,FALSE)</f>
        <v>455595696</v>
      </c>
      <c r="G13" s="608">
        <f>+VLOOKUP($B13,RESUMEN!$B$45:$I$87,5,FALSE)</f>
        <v>2527260225.3333359</v>
      </c>
      <c r="H13" s="617">
        <f t="shared" si="1"/>
        <v>0.12686739312575471</v>
      </c>
      <c r="I13" s="632">
        <f>+VLOOKUP($B13,RESUMEN!$B$45:$I$87,6,FALSE)</f>
        <v>1555215748</v>
      </c>
      <c r="J13" s="637">
        <f t="shared" si="2"/>
        <v>972044477.33333588</v>
      </c>
      <c r="K13" s="634">
        <f>+VLOOKUP($B13,RESUMEN!$B$45:$I$87,7,FALSE)</f>
        <v>972044477.33333588</v>
      </c>
      <c r="L13" s="638">
        <f t="shared" si="3"/>
        <v>0.61537618184723064</v>
      </c>
      <c r="M13" s="639">
        <f>+VLOOKUP($B13,RESUMEN!$B$45:$I$87,8,FALSE)</f>
        <v>2936147548.6666641</v>
      </c>
      <c r="O13" s="596">
        <v>2524561231</v>
      </c>
      <c r="P13" s="938">
        <f t="shared" si="4"/>
        <v>-2698994.3333358765</v>
      </c>
      <c r="Q13" s="596">
        <v>-3966186.3333358802</v>
      </c>
    </row>
    <row r="14" spans="2:17" s="596" customFormat="1" ht="12">
      <c r="B14" s="654" t="s">
        <v>65</v>
      </c>
      <c r="C14" s="613">
        <f>+VLOOKUP($B14,RESUMEN!$B$45:$I$87,2,FALSE)</f>
        <v>15</v>
      </c>
      <c r="D14" s="614">
        <f>+VLOOKUP($B14,RESUMEN!$B$45:$I$87,3,FALSE)</f>
        <v>7495698006</v>
      </c>
      <c r="E14" s="615">
        <f t="shared" si="5"/>
        <v>0.11651010438279766</v>
      </c>
      <c r="F14" s="616">
        <f>+VLOOKUP($B14,RESUMEN!$B$45:$I$87,4,FALSE)</f>
        <v>5161415680</v>
      </c>
      <c r="G14" s="608">
        <f>+VLOOKUP($B14,RESUMEN!$B$45:$I$87,5,FALSE)</f>
        <v>1240467656</v>
      </c>
      <c r="H14" s="617">
        <f t="shared" si="1"/>
        <v>6.2270951046514533E-2</v>
      </c>
      <c r="I14" s="632">
        <f>+VLOOKUP($B14,RESUMEN!$B$45:$I$87,6,FALSE)</f>
        <v>866198407</v>
      </c>
      <c r="J14" s="637">
        <f t="shared" si="2"/>
        <v>374269249</v>
      </c>
      <c r="K14" s="634">
        <f>+VLOOKUP($B14,RESUMEN!$B$45:$I$87,7,FALSE)</f>
        <v>374269249</v>
      </c>
      <c r="L14" s="638">
        <f t="shared" si="3"/>
        <v>0.69828375033423684</v>
      </c>
      <c r="M14" s="639">
        <f>+VLOOKUP($B14,RESUMEN!$B$45:$I$87,8,FALSE)</f>
        <v>1093814670</v>
      </c>
      <c r="O14" s="596">
        <v>1240467656</v>
      </c>
      <c r="P14" s="938">
        <f t="shared" si="4"/>
        <v>0</v>
      </c>
      <c r="Q14" s="596">
        <v>-13719428</v>
      </c>
    </row>
    <row r="15" spans="2:17" s="596" customFormat="1" ht="12">
      <c r="B15" s="654" t="s">
        <v>66</v>
      </c>
      <c r="C15" s="619">
        <f>+VLOOKUP($B15,RESUMEN!$B$45:$I$87,2,FALSE)</f>
        <v>12</v>
      </c>
      <c r="D15" s="620">
        <f>+VLOOKUP($B15,RESUMEN!$B$45:$I$87,3,FALSE)</f>
        <v>1768138069</v>
      </c>
      <c r="E15" s="621">
        <f t="shared" si="5"/>
        <v>2.7483224486564019E-2</v>
      </c>
      <c r="F15" s="622">
        <f>+VLOOKUP($B15,RESUMEN!$B$45:$I$87,4,FALSE)</f>
        <v>0</v>
      </c>
      <c r="G15" s="608">
        <f>+VLOOKUP($B15,RESUMEN!$B$45:$I$87,5,FALSE)</f>
        <v>1174546069</v>
      </c>
      <c r="H15" s="623">
        <f t="shared" si="1"/>
        <v>5.8961715294070578E-2</v>
      </c>
      <c r="I15" s="632">
        <f>+VLOOKUP($B15,RESUMEN!$B$45:$I$87,6,FALSE)</f>
        <v>342185972</v>
      </c>
      <c r="J15" s="640">
        <f t="shared" si="2"/>
        <v>832360097</v>
      </c>
      <c r="K15" s="634">
        <f>+VLOOKUP($B15,RESUMEN!$B$45:$I$87,7,FALSE)</f>
        <v>832360097</v>
      </c>
      <c r="L15" s="641">
        <f t="shared" si="3"/>
        <v>0.29133465347283877</v>
      </c>
      <c r="M15" s="642">
        <f>+VLOOKUP($B15,RESUMEN!$B$45:$I$87,8,FALSE)</f>
        <v>593592000</v>
      </c>
      <c r="O15" s="596">
        <v>1174546069</v>
      </c>
      <c r="P15" s="938">
        <f t="shared" si="4"/>
        <v>0</v>
      </c>
      <c r="Q15" s="596">
        <v>0</v>
      </c>
    </row>
    <row r="16" spans="2:17">
      <c r="B16" s="655" t="s">
        <v>38</v>
      </c>
      <c r="C16" s="656">
        <f t="shared" ref="C16:K16" si="6">SUM(C5:C15)</f>
        <v>117</v>
      </c>
      <c r="D16" s="657">
        <f t="shared" si="6"/>
        <v>64335175440</v>
      </c>
      <c r="E16" s="658">
        <f t="shared" si="6"/>
        <v>0.99999999999999989</v>
      </c>
      <c r="F16" s="659">
        <f t="shared" si="6"/>
        <v>20510004027</v>
      </c>
      <c r="G16" s="657">
        <f t="shared" si="6"/>
        <v>19920486762.333336</v>
      </c>
      <c r="H16" s="660">
        <f t="shared" si="6"/>
        <v>0.99999999999999989</v>
      </c>
      <c r="I16" s="661">
        <f t="shared" si="6"/>
        <v>9483088978</v>
      </c>
      <c r="J16" s="661">
        <f t="shared" si="6"/>
        <v>10437397784.333336</v>
      </c>
      <c r="K16" s="662">
        <f t="shared" si="6"/>
        <v>10437397784.333336</v>
      </c>
      <c r="L16" s="663">
        <f t="shared" si="3"/>
        <v>0.47604705101539507</v>
      </c>
      <c r="M16" s="664">
        <f>SUM(M5:M15)</f>
        <v>23904684650.666664</v>
      </c>
      <c r="O16" s="597">
        <f>SUM(O5:O15)</f>
        <v>19754600762</v>
      </c>
      <c r="P16" s="936">
        <f>SUM(P5:P15)</f>
        <v>-165886000.33333588</v>
      </c>
    </row>
    <row r="17" spans="2:13" ht="18">
      <c r="B17" s="479"/>
      <c r="C17" s="630"/>
      <c r="D17" s="547"/>
      <c r="E17" s="547"/>
      <c r="F17" s="547"/>
      <c r="G17" s="547"/>
      <c r="H17" s="479"/>
      <c r="I17" s="547"/>
      <c r="J17" s="547"/>
      <c r="K17" s="547"/>
      <c r="L17" s="547"/>
      <c r="M17" s="511"/>
    </row>
    <row r="20" spans="2:13" ht="66.75" customHeight="1"/>
    <row r="24" spans="2:13" ht="46.5" customHeight="1"/>
    <row r="29" spans="2:13" ht="2.25" customHeight="1"/>
  </sheetData>
  <mergeCells count="2">
    <mergeCell ref="D3:E3"/>
    <mergeCell ref="G3:L3"/>
  </mergeCells>
  <printOptions horizontalCentered="1" verticalCentered="1"/>
  <pageMargins left="0.235416666666667" right="0.235416666666667" top="0.74791666666666701" bottom="0.74791666666666701" header="0.31388888888888899" footer="0.31388888888888899"/>
  <pageSetup paperSize="5" scale="9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P24"/>
  <sheetViews>
    <sheetView view="pageBreakPreview" topLeftCell="B1" zoomScaleNormal="100" zoomScaleSheetLayoutView="100" workbookViewId="0">
      <selection activeCell="O2" sqref="O2"/>
    </sheetView>
  </sheetViews>
  <sheetFormatPr baseColWidth="10" defaultColWidth="11.42578125" defaultRowHeight="15"/>
  <cols>
    <col min="1" max="1" width="6.7109375" style="597" customWidth="1"/>
    <col min="2" max="2" width="23.5703125" style="597" customWidth="1"/>
    <col min="3" max="3" width="12.140625" style="598" customWidth="1"/>
    <col min="4" max="4" width="14.7109375" style="597" customWidth="1"/>
    <col min="5" max="5" width="10.42578125" style="597" customWidth="1"/>
    <col min="6" max="6" width="15.7109375" style="597" customWidth="1"/>
    <col min="7" max="7" width="14.7109375" style="597" customWidth="1"/>
    <col min="8" max="9" width="14.140625" style="597" customWidth="1"/>
    <col min="10" max="10" width="15" style="597" hidden="1" customWidth="1"/>
    <col min="11" max="11" width="13.7109375" style="597" customWidth="1"/>
    <col min="12" max="12" width="11.28515625" style="597" customWidth="1"/>
    <col min="13" max="13" width="13.7109375" style="597" customWidth="1"/>
    <col min="14" max="14" width="6.7109375" style="597" customWidth="1"/>
    <col min="15" max="15" width="12" style="597" bestFit="1" customWidth="1"/>
    <col min="16" max="164" width="11.42578125" style="597"/>
    <col min="165" max="165" width="2.28515625" style="597" customWidth="1"/>
    <col min="166" max="166" width="2.140625" style="597" customWidth="1"/>
    <col min="167" max="167" width="1.140625" style="597" customWidth="1"/>
    <col min="168" max="169" width="2" style="597" customWidth="1"/>
    <col min="170" max="171" width="2.140625" style="597" customWidth="1"/>
    <col min="172" max="172" width="1.7109375" style="597" customWidth="1"/>
    <col min="173" max="173" width="0.85546875" style="597" customWidth="1"/>
    <col min="174" max="174" width="2" style="597" customWidth="1"/>
    <col min="175" max="175" width="2.140625" style="597" customWidth="1"/>
    <col min="176" max="420" width="11.42578125" style="597"/>
    <col min="421" max="421" width="2.28515625" style="597" customWidth="1"/>
    <col min="422" max="422" width="2.140625" style="597" customWidth="1"/>
    <col min="423" max="423" width="1.140625" style="597" customWidth="1"/>
    <col min="424" max="425" width="2" style="597" customWidth="1"/>
    <col min="426" max="427" width="2.140625" style="597" customWidth="1"/>
    <col min="428" max="428" width="1.7109375" style="597" customWidth="1"/>
    <col min="429" max="429" width="0.85546875" style="597" customWidth="1"/>
    <col min="430" max="430" width="2" style="597" customWidth="1"/>
    <col min="431" max="431" width="2.140625" style="597" customWidth="1"/>
    <col min="432" max="676" width="11.42578125" style="597"/>
    <col min="677" max="677" width="2.28515625" style="597" customWidth="1"/>
    <col min="678" max="678" width="2.140625" style="597" customWidth="1"/>
    <col min="679" max="679" width="1.140625" style="597" customWidth="1"/>
    <col min="680" max="681" width="2" style="597" customWidth="1"/>
    <col min="682" max="683" width="2.140625" style="597" customWidth="1"/>
    <col min="684" max="684" width="1.7109375" style="597" customWidth="1"/>
    <col min="685" max="685" width="0.85546875" style="597" customWidth="1"/>
    <col min="686" max="686" width="2" style="597" customWidth="1"/>
    <col min="687" max="687" width="2.140625" style="597" customWidth="1"/>
    <col min="688" max="932" width="11.42578125" style="597"/>
    <col min="933" max="933" width="2.28515625" style="597" customWidth="1"/>
    <col min="934" max="934" width="2.140625" style="597" customWidth="1"/>
    <col min="935" max="935" width="1.140625" style="597" customWidth="1"/>
    <col min="936" max="937" width="2" style="597" customWidth="1"/>
    <col min="938" max="939" width="2.140625" style="597" customWidth="1"/>
    <col min="940" max="940" width="1.7109375" style="597" customWidth="1"/>
    <col min="941" max="941" width="0.85546875" style="597" customWidth="1"/>
    <col min="942" max="942" width="2" style="597" customWidth="1"/>
    <col min="943" max="943" width="2.140625" style="597" customWidth="1"/>
    <col min="944" max="1188" width="11.42578125" style="597"/>
    <col min="1189" max="1189" width="2.28515625" style="597" customWidth="1"/>
    <col min="1190" max="1190" width="2.140625" style="597" customWidth="1"/>
    <col min="1191" max="1191" width="1.140625" style="597" customWidth="1"/>
    <col min="1192" max="1193" width="2" style="597" customWidth="1"/>
    <col min="1194" max="1195" width="2.140625" style="597" customWidth="1"/>
    <col min="1196" max="1196" width="1.7109375" style="597" customWidth="1"/>
    <col min="1197" max="1197" width="0.85546875" style="597" customWidth="1"/>
    <col min="1198" max="1198" width="2" style="597" customWidth="1"/>
    <col min="1199" max="1199" width="2.140625" style="597" customWidth="1"/>
    <col min="1200" max="1444" width="11.42578125" style="597"/>
    <col min="1445" max="1445" width="2.28515625" style="597" customWidth="1"/>
    <col min="1446" max="1446" width="2.140625" style="597" customWidth="1"/>
    <col min="1447" max="1447" width="1.140625" style="597" customWidth="1"/>
    <col min="1448" max="1449" width="2" style="597" customWidth="1"/>
    <col min="1450" max="1451" width="2.140625" style="597" customWidth="1"/>
    <col min="1452" max="1452" width="1.7109375" style="597" customWidth="1"/>
    <col min="1453" max="1453" width="0.85546875" style="597" customWidth="1"/>
    <col min="1454" max="1454" width="2" style="597" customWidth="1"/>
    <col min="1455" max="1455" width="2.140625" style="597" customWidth="1"/>
    <col min="1456" max="1700" width="11.42578125" style="597"/>
    <col min="1701" max="1701" width="2.28515625" style="597" customWidth="1"/>
    <col min="1702" max="1702" width="2.140625" style="597" customWidth="1"/>
    <col min="1703" max="1703" width="1.140625" style="597" customWidth="1"/>
    <col min="1704" max="1705" width="2" style="597" customWidth="1"/>
    <col min="1706" max="1707" width="2.140625" style="597" customWidth="1"/>
    <col min="1708" max="1708" width="1.7109375" style="597" customWidth="1"/>
    <col min="1709" max="1709" width="0.85546875" style="597" customWidth="1"/>
    <col min="1710" max="1710" width="2" style="597" customWidth="1"/>
    <col min="1711" max="1711" width="2.140625" style="597" customWidth="1"/>
    <col min="1712" max="1956" width="11.42578125" style="597"/>
    <col min="1957" max="1957" width="2.28515625" style="597" customWidth="1"/>
    <col min="1958" max="1958" width="2.140625" style="597" customWidth="1"/>
    <col min="1959" max="1959" width="1.140625" style="597" customWidth="1"/>
    <col min="1960" max="1961" width="2" style="597" customWidth="1"/>
    <col min="1962" max="1963" width="2.140625" style="597" customWidth="1"/>
    <col min="1964" max="1964" width="1.7109375" style="597" customWidth="1"/>
    <col min="1965" max="1965" width="0.85546875" style="597" customWidth="1"/>
    <col min="1966" max="1966" width="2" style="597" customWidth="1"/>
    <col min="1967" max="1967" width="2.140625" style="597" customWidth="1"/>
    <col min="1968" max="2212" width="11.42578125" style="597"/>
    <col min="2213" max="2213" width="2.28515625" style="597" customWidth="1"/>
    <col min="2214" max="2214" width="2.140625" style="597" customWidth="1"/>
    <col min="2215" max="2215" width="1.140625" style="597" customWidth="1"/>
    <col min="2216" max="2217" width="2" style="597" customWidth="1"/>
    <col min="2218" max="2219" width="2.140625" style="597" customWidth="1"/>
    <col min="2220" max="2220" width="1.7109375" style="597" customWidth="1"/>
    <col min="2221" max="2221" width="0.85546875" style="597" customWidth="1"/>
    <col min="2222" max="2222" width="2" style="597" customWidth="1"/>
    <col min="2223" max="2223" width="2.140625" style="597" customWidth="1"/>
    <col min="2224" max="2468" width="11.42578125" style="597"/>
    <col min="2469" max="2469" width="2.28515625" style="597" customWidth="1"/>
    <col min="2470" max="2470" width="2.140625" style="597" customWidth="1"/>
    <col min="2471" max="2471" width="1.140625" style="597" customWidth="1"/>
    <col min="2472" max="2473" width="2" style="597" customWidth="1"/>
    <col min="2474" max="2475" width="2.140625" style="597" customWidth="1"/>
    <col min="2476" max="2476" width="1.7109375" style="597" customWidth="1"/>
    <col min="2477" max="2477" width="0.85546875" style="597" customWidth="1"/>
    <col min="2478" max="2478" width="2" style="597" customWidth="1"/>
    <col min="2479" max="2479" width="2.140625" style="597" customWidth="1"/>
    <col min="2480" max="2724" width="11.42578125" style="597"/>
    <col min="2725" max="2725" width="2.28515625" style="597" customWidth="1"/>
    <col min="2726" max="2726" width="2.140625" style="597" customWidth="1"/>
    <col min="2727" max="2727" width="1.140625" style="597" customWidth="1"/>
    <col min="2728" max="2729" width="2" style="597" customWidth="1"/>
    <col min="2730" max="2731" width="2.140625" style="597" customWidth="1"/>
    <col min="2732" max="2732" width="1.7109375" style="597" customWidth="1"/>
    <col min="2733" max="2733" width="0.85546875" style="597" customWidth="1"/>
    <col min="2734" max="2734" width="2" style="597" customWidth="1"/>
    <col min="2735" max="2735" width="2.140625" style="597" customWidth="1"/>
    <col min="2736" max="2980" width="11.42578125" style="597"/>
    <col min="2981" max="2981" width="2.28515625" style="597" customWidth="1"/>
    <col min="2982" max="2982" width="2.140625" style="597" customWidth="1"/>
    <col min="2983" max="2983" width="1.140625" style="597" customWidth="1"/>
    <col min="2984" max="2985" width="2" style="597" customWidth="1"/>
    <col min="2986" max="2987" width="2.140625" style="597" customWidth="1"/>
    <col min="2988" max="2988" width="1.7109375" style="597" customWidth="1"/>
    <col min="2989" max="2989" width="0.85546875" style="597" customWidth="1"/>
    <col min="2990" max="2990" width="2" style="597" customWidth="1"/>
    <col min="2991" max="2991" width="2.140625" style="597" customWidth="1"/>
    <col min="2992" max="3236" width="11.42578125" style="597"/>
    <col min="3237" max="3237" width="2.28515625" style="597" customWidth="1"/>
    <col min="3238" max="3238" width="2.140625" style="597" customWidth="1"/>
    <col min="3239" max="3239" width="1.140625" style="597" customWidth="1"/>
    <col min="3240" max="3241" width="2" style="597" customWidth="1"/>
    <col min="3242" max="3243" width="2.140625" style="597" customWidth="1"/>
    <col min="3244" max="3244" width="1.7109375" style="597" customWidth="1"/>
    <col min="3245" max="3245" width="0.85546875" style="597" customWidth="1"/>
    <col min="3246" max="3246" width="2" style="597" customWidth="1"/>
    <col min="3247" max="3247" width="2.140625" style="597" customWidth="1"/>
    <col min="3248" max="3492" width="11.42578125" style="597"/>
    <col min="3493" max="3493" width="2.28515625" style="597" customWidth="1"/>
    <col min="3494" max="3494" width="2.140625" style="597" customWidth="1"/>
    <col min="3495" max="3495" width="1.140625" style="597" customWidth="1"/>
    <col min="3496" max="3497" width="2" style="597" customWidth="1"/>
    <col min="3498" max="3499" width="2.140625" style="597" customWidth="1"/>
    <col min="3500" max="3500" width="1.7109375" style="597" customWidth="1"/>
    <col min="3501" max="3501" width="0.85546875" style="597" customWidth="1"/>
    <col min="3502" max="3502" width="2" style="597" customWidth="1"/>
    <col min="3503" max="3503" width="2.140625" style="597" customWidth="1"/>
    <col min="3504" max="3748" width="11.42578125" style="597"/>
    <col min="3749" max="3749" width="2.28515625" style="597" customWidth="1"/>
    <col min="3750" max="3750" width="2.140625" style="597" customWidth="1"/>
    <col min="3751" max="3751" width="1.140625" style="597" customWidth="1"/>
    <col min="3752" max="3753" width="2" style="597" customWidth="1"/>
    <col min="3754" max="3755" width="2.140625" style="597" customWidth="1"/>
    <col min="3756" max="3756" width="1.7109375" style="597" customWidth="1"/>
    <col min="3757" max="3757" width="0.85546875" style="597" customWidth="1"/>
    <col min="3758" max="3758" width="2" style="597" customWidth="1"/>
    <col min="3759" max="3759" width="2.140625" style="597" customWidth="1"/>
    <col min="3760" max="4004" width="11.42578125" style="597"/>
    <col min="4005" max="4005" width="2.28515625" style="597" customWidth="1"/>
    <col min="4006" max="4006" width="2.140625" style="597" customWidth="1"/>
    <col min="4007" max="4007" width="1.140625" style="597" customWidth="1"/>
    <col min="4008" max="4009" width="2" style="597" customWidth="1"/>
    <col min="4010" max="4011" width="2.140625" style="597" customWidth="1"/>
    <col min="4012" max="4012" width="1.7109375" style="597" customWidth="1"/>
    <col min="4013" max="4013" width="0.85546875" style="597" customWidth="1"/>
    <col min="4014" max="4014" width="2" style="597" customWidth="1"/>
    <col min="4015" max="4015" width="2.140625" style="597" customWidth="1"/>
    <col min="4016" max="4260" width="11.42578125" style="597"/>
    <col min="4261" max="4261" width="2.28515625" style="597" customWidth="1"/>
    <col min="4262" max="4262" width="2.140625" style="597" customWidth="1"/>
    <col min="4263" max="4263" width="1.140625" style="597" customWidth="1"/>
    <col min="4264" max="4265" width="2" style="597" customWidth="1"/>
    <col min="4266" max="4267" width="2.140625" style="597" customWidth="1"/>
    <col min="4268" max="4268" width="1.7109375" style="597" customWidth="1"/>
    <col min="4269" max="4269" width="0.85546875" style="597" customWidth="1"/>
    <col min="4270" max="4270" width="2" style="597" customWidth="1"/>
    <col min="4271" max="4271" width="2.140625" style="597" customWidth="1"/>
    <col min="4272" max="4516" width="11.42578125" style="597"/>
    <col min="4517" max="4517" width="2.28515625" style="597" customWidth="1"/>
    <col min="4518" max="4518" width="2.140625" style="597" customWidth="1"/>
    <col min="4519" max="4519" width="1.140625" style="597" customWidth="1"/>
    <col min="4520" max="4521" width="2" style="597" customWidth="1"/>
    <col min="4522" max="4523" width="2.140625" style="597" customWidth="1"/>
    <col min="4524" max="4524" width="1.7109375" style="597" customWidth="1"/>
    <col min="4525" max="4525" width="0.85546875" style="597" customWidth="1"/>
    <col min="4526" max="4526" width="2" style="597" customWidth="1"/>
    <col min="4527" max="4527" width="2.140625" style="597" customWidth="1"/>
    <col min="4528" max="4772" width="11.42578125" style="597"/>
    <col min="4773" max="4773" width="2.28515625" style="597" customWidth="1"/>
    <col min="4774" max="4774" width="2.140625" style="597" customWidth="1"/>
    <col min="4775" max="4775" width="1.140625" style="597" customWidth="1"/>
    <col min="4776" max="4777" width="2" style="597" customWidth="1"/>
    <col min="4778" max="4779" width="2.140625" style="597" customWidth="1"/>
    <col min="4780" max="4780" width="1.7109375" style="597" customWidth="1"/>
    <col min="4781" max="4781" width="0.85546875" style="597" customWidth="1"/>
    <col min="4782" max="4782" width="2" style="597" customWidth="1"/>
    <col min="4783" max="4783" width="2.140625" style="597" customWidth="1"/>
    <col min="4784" max="5028" width="11.42578125" style="597"/>
    <col min="5029" max="5029" width="2.28515625" style="597" customWidth="1"/>
    <col min="5030" max="5030" width="2.140625" style="597" customWidth="1"/>
    <col min="5031" max="5031" width="1.140625" style="597" customWidth="1"/>
    <col min="5032" max="5033" width="2" style="597" customWidth="1"/>
    <col min="5034" max="5035" width="2.140625" style="597" customWidth="1"/>
    <col min="5036" max="5036" width="1.7109375" style="597" customWidth="1"/>
    <col min="5037" max="5037" width="0.85546875" style="597" customWidth="1"/>
    <col min="5038" max="5038" width="2" style="597" customWidth="1"/>
    <col min="5039" max="5039" width="2.140625" style="597" customWidth="1"/>
    <col min="5040" max="5284" width="11.42578125" style="597"/>
    <col min="5285" max="5285" width="2.28515625" style="597" customWidth="1"/>
    <col min="5286" max="5286" width="2.140625" style="597" customWidth="1"/>
    <col min="5287" max="5287" width="1.140625" style="597" customWidth="1"/>
    <col min="5288" max="5289" width="2" style="597" customWidth="1"/>
    <col min="5290" max="5291" width="2.140625" style="597" customWidth="1"/>
    <col min="5292" max="5292" width="1.7109375" style="597" customWidth="1"/>
    <col min="5293" max="5293" width="0.85546875" style="597" customWidth="1"/>
    <col min="5294" max="5294" width="2" style="597" customWidth="1"/>
    <col min="5295" max="5295" width="2.140625" style="597" customWidth="1"/>
    <col min="5296" max="5540" width="11.42578125" style="597"/>
    <col min="5541" max="5541" width="2.28515625" style="597" customWidth="1"/>
    <col min="5542" max="5542" width="2.140625" style="597" customWidth="1"/>
    <col min="5543" max="5543" width="1.140625" style="597" customWidth="1"/>
    <col min="5544" max="5545" width="2" style="597" customWidth="1"/>
    <col min="5546" max="5547" width="2.140625" style="597" customWidth="1"/>
    <col min="5548" max="5548" width="1.7109375" style="597" customWidth="1"/>
    <col min="5549" max="5549" width="0.85546875" style="597" customWidth="1"/>
    <col min="5550" max="5550" width="2" style="597" customWidth="1"/>
    <col min="5551" max="5551" width="2.140625" style="597" customWidth="1"/>
    <col min="5552" max="5796" width="11.42578125" style="597"/>
    <col min="5797" max="5797" width="2.28515625" style="597" customWidth="1"/>
    <col min="5798" max="5798" width="2.140625" style="597" customWidth="1"/>
    <col min="5799" max="5799" width="1.140625" style="597" customWidth="1"/>
    <col min="5800" max="5801" width="2" style="597" customWidth="1"/>
    <col min="5802" max="5803" width="2.140625" style="597" customWidth="1"/>
    <col min="5804" max="5804" width="1.7109375" style="597" customWidth="1"/>
    <col min="5805" max="5805" width="0.85546875" style="597" customWidth="1"/>
    <col min="5806" max="5806" width="2" style="597" customWidth="1"/>
    <col min="5807" max="5807" width="2.140625" style="597" customWidth="1"/>
    <col min="5808" max="6052" width="11.42578125" style="597"/>
    <col min="6053" max="6053" width="2.28515625" style="597" customWidth="1"/>
    <col min="6054" max="6054" width="2.140625" style="597" customWidth="1"/>
    <col min="6055" max="6055" width="1.140625" style="597" customWidth="1"/>
    <col min="6056" max="6057" width="2" style="597" customWidth="1"/>
    <col min="6058" max="6059" width="2.140625" style="597" customWidth="1"/>
    <col min="6060" max="6060" width="1.7109375" style="597" customWidth="1"/>
    <col min="6061" max="6061" width="0.85546875" style="597" customWidth="1"/>
    <col min="6062" max="6062" width="2" style="597" customWidth="1"/>
    <col min="6063" max="6063" width="2.140625" style="597" customWidth="1"/>
    <col min="6064" max="6308" width="11.42578125" style="597"/>
    <col min="6309" max="6309" width="2.28515625" style="597" customWidth="1"/>
    <col min="6310" max="6310" width="2.140625" style="597" customWidth="1"/>
    <col min="6311" max="6311" width="1.140625" style="597" customWidth="1"/>
    <col min="6312" max="6313" width="2" style="597" customWidth="1"/>
    <col min="6314" max="6315" width="2.140625" style="597" customWidth="1"/>
    <col min="6316" max="6316" width="1.7109375" style="597" customWidth="1"/>
    <col min="6317" max="6317" width="0.85546875" style="597" customWidth="1"/>
    <col min="6318" max="6318" width="2" style="597" customWidth="1"/>
    <col min="6319" max="6319" width="2.140625" style="597" customWidth="1"/>
    <col min="6320" max="6564" width="11.42578125" style="597"/>
    <col min="6565" max="6565" width="2.28515625" style="597" customWidth="1"/>
    <col min="6566" max="6566" width="2.140625" style="597" customWidth="1"/>
    <col min="6567" max="6567" width="1.140625" style="597" customWidth="1"/>
    <col min="6568" max="6569" width="2" style="597" customWidth="1"/>
    <col min="6570" max="6571" width="2.140625" style="597" customWidth="1"/>
    <col min="6572" max="6572" width="1.7109375" style="597" customWidth="1"/>
    <col min="6573" max="6573" width="0.85546875" style="597" customWidth="1"/>
    <col min="6574" max="6574" width="2" style="597" customWidth="1"/>
    <col min="6575" max="6575" width="2.140625" style="597" customWidth="1"/>
    <col min="6576" max="6820" width="11.42578125" style="597"/>
    <col min="6821" max="6821" width="2.28515625" style="597" customWidth="1"/>
    <col min="6822" max="6822" width="2.140625" style="597" customWidth="1"/>
    <col min="6823" max="6823" width="1.140625" style="597" customWidth="1"/>
    <col min="6824" max="6825" width="2" style="597" customWidth="1"/>
    <col min="6826" max="6827" width="2.140625" style="597" customWidth="1"/>
    <col min="6828" max="6828" width="1.7109375" style="597" customWidth="1"/>
    <col min="6829" max="6829" width="0.85546875" style="597" customWidth="1"/>
    <col min="6830" max="6830" width="2" style="597" customWidth="1"/>
    <col min="6831" max="6831" width="2.140625" style="597" customWidth="1"/>
    <col min="6832" max="7076" width="11.42578125" style="597"/>
    <col min="7077" max="7077" width="2.28515625" style="597" customWidth="1"/>
    <col min="7078" max="7078" width="2.140625" style="597" customWidth="1"/>
    <col min="7079" max="7079" width="1.140625" style="597" customWidth="1"/>
    <col min="7080" max="7081" width="2" style="597" customWidth="1"/>
    <col min="7082" max="7083" width="2.140625" style="597" customWidth="1"/>
    <col min="7084" max="7084" width="1.7109375" style="597" customWidth="1"/>
    <col min="7085" max="7085" width="0.85546875" style="597" customWidth="1"/>
    <col min="7086" max="7086" width="2" style="597" customWidth="1"/>
    <col min="7087" max="7087" width="2.140625" style="597" customWidth="1"/>
    <col min="7088" max="7332" width="11.42578125" style="597"/>
    <col min="7333" max="7333" width="2.28515625" style="597" customWidth="1"/>
    <col min="7334" max="7334" width="2.140625" style="597" customWidth="1"/>
    <col min="7335" max="7335" width="1.140625" style="597" customWidth="1"/>
    <col min="7336" max="7337" width="2" style="597" customWidth="1"/>
    <col min="7338" max="7339" width="2.140625" style="597" customWidth="1"/>
    <col min="7340" max="7340" width="1.7109375" style="597" customWidth="1"/>
    <col min="7341" max="7341" width="0.85546875" style="597" customWidth="1"/>
    <col min="7342" max="7342" width="2" style="597" customWidth="1"/>
    <col min="7343" max="7343" width="2.140625" style="597" customWidth="1"/>
    <col min="7344" max="7588" width="11.42578125" style="597"/>
    <col min="7589" max="7589" width="2.28515625" style="597" customWidth="1"/>
    <col min="7590" max="7590" width="2.140625" style="597" customWidth="1"/>
    <col min="7591" max="7591" width="1.140625" style="597" customWidth="1"/>
    <col min="7592" max="7593" width="2" style="597" customWidth="1"/>
    <col min="7594" max="7595" width="2.140625" style="597" customWidth="1"/>
    <col min="7596" max="7596" width="1.7109375" style="597" customWidth="1"/>
    <col min="7597" max="7597" width="0.85546875" style="597" customWidth="1"/>
    <col min="7598" max="7598" width="2" style="597" customWidth="1"/>
    <col min="7599" max="7599" width="2.140625" style="597" customWidth="1"/>
    <col min="7600" max="7844" width="11.42578125" style="597"/>
    <col min="7845" max="7845" width="2.28515625" style="597" customWidth="1"/>
    <col min="7846" max="7846" width="2.140625" style="597" customWidth="1"/>
    <col min="7847" max="7847" width="1.140625" style="597" customWidth="1"/>
    <col min="7848" max="7849" width="2" style="597" customWidth="1"/>
    <col min="7850" max="7851" width="2.140625" style="597" customWidth="1"/>
    <col min="7852" max="7852" width="1.7109375" style="597" customWidth="1"/>
    <col min="7853" max="7853" width="0.85546875" style="597" customWidth="1"/>
    <col min="7854" max="7854" width="2" style="597" customWidth="1"/>
    <col min="7855" max="7855" width="2.140625" style="597" customWidth="1"/>
    <col min="7856" max="8100" width="11.42578125" style="597"/>
    <col min="8101" max="8101" width="2.28515625" style="597" customWidth="1"/>
    <col min="8102" max="8102" width="2.140625" style="597" customWidth="1"/>
    <col min="8103" max="8103" width="1.140625" style="597" customWidth="1"/>
    <col min="8104" max="8105" width="2" style="597" customWidth="1"/>
    <col min="8106" max="8107" width="2.140625" style="597" customWidth="1"/>
    <col min="8108" max="8108" width="1.7109375" style="597" customWidth="1"/>
    <col min="8109" max="8109" width="0.85546875" style="597" customWidth="1"/>
    <col min="8110" max="8110" width="2" style="597" customWidth="1"/>
    <col min="8111" max="8111" width="2.140625" style="597" customWidth="1"/>
    <col min="8112" max="8356" width="11.42578125" style="597"/>
    <col min="8357" max="8357" width="2.28515625" style="597" customWidth="1"/>
    <col min="8358" max="8358" width="2.140625" style="597" customWidth="1"/>
    <col min="8359" max="8359" width="1.140625" style="597" customWidth="1"/>
    <col min="8360" max="8361" width="2" style="597" customWidth="1"/>
    <col min="8362" max="8363" width="2.140625" style="597" customWidth="1"/>
    <col min="8364" max="8364" width="1.7109375" style="597" customWidth="1"/>
    <col min="8365" max="8365" width="0.85546875" style="597" customWidth="1"/>
    <col min="8366" max="8366" width="2" style="597" customWidth="1"/>
    <col min="8367" max="8367" width="2.140625" style="597" customWidth="1"/>
    <col min="8368" max="8612" width="11.42578125" style="597"/>
    <col min="8613" max="8613" width="2.28515625" style="597" customWidth="1"/>
    <col min="8614" max="8614" width="2.140625" style="597" customWidth="1"/>
    <col min="8615" max="8615" width="1.140625" style="597" customWidth="1"/>
    <col min="8616" max="8617" width="2" style="597" customWidth="1"/>
    <col min="8618" max="8619" width="2.140625" style="597" customWidth="1"/>
    <col min="8620" max="8620" width="1.7109375" style="597" customWidth="1"/>
    <col min="8621" max="8621" width="0.85546875" style="597" customWidth="1"/>
    <col min="8622" max="8622" width="2" style="597" customWidth="1"/>
    <col min="8623" max="8623" width="2.140625" style="597" customWidth="1"/>
    <col min="8624" max="8868" width="11.42578125" style="597"/>
    <col min="8869" max="8869" width="2.28515625" style="597" customWidth="1"/>
    <col min="8870" max="8870" width="2.140625" style="597" customWidth="1"/>
    <col min="8871" max="8871" width="1.140625" style="597" customWidth="1"/>
    <col min="8872" max="8873" width="2" style="597" customWidth="1"/>
    <col min="8874" max="8875" width="2.140625" style="597" customWidth="1"/>
    <col min="8876" max="8876" width="1.7109375" style="597" customWidth="1"/>
    <col min="8877" max="8877" width="0.85546875" style="597" customWidth="1"/>
    <col min="8878" max="8878" width="2" style="597" customWidth="1"/>
    <col min="8879" max="8879" width="2.140625" style="597" customWidth="1"/>
    <col min="8880" max="9124" width="11.42578125" style="597"/>
    <col min="9125" max="9125" width="2.28515625" style="597" customWidth="1"/>
    <col min="9126" max="9126" width="2.140625" style="597" customWidth="1"/>
    <col min="9127" max="9127" width="1.140625" style="597" customWidth="1"/>
    <col min="9128" max="9129" width="2" style="597" customWidth="1"/>
    <col min="9130" max="9131" width="2.140625" style="597" customWidth="1"/>
    <col min="9132" max="9132" width="1.7109375" style="597" customWidth="1"/>
    <col min="9133" max="9133" width="0.85546875" style="597" customWidth="1"/>
    <col min="9134" max="9134" width="2" style="597" customWidth="1"/>
    <col min="9135" max="9135" width="2.140625" style="597" customWidth="1"/>
    <col min="9136" max="9380" width="11.42578125" style="597"/>
    <col min="9381" max="9381" width="2.28515625" style="597" customWidth="1"/>
    <col min="9382" max="9382" width="2.140625" style="597" customWidth="1"/>
    <col min="9383" max="9383" width="1.140625" style="597" customWidth="1"/>
    <col min="9384" max="9385" width="2" style="597" customWidth="1"/>
    <col min="9386" max="9387" width="2.140625" style="597" customWidth="1"/>
    <col min="9388" max="9388" width="1.7109375" style="597" customWidth="1"/>
    <col min="9389" max="9389" width="0.85546875" style="597" customWidth="1"/>
    <col min="9390" max="9390" width="2" style="597" customWidth="1"/>
    <col min="9391" max="9391" width="2.140625" style="597" customWidth="1"/>
    <col min="9392" max="9636" width="11.42578125" style="597"/>
    <col min="9637" max="9637" width="2.28515625" style="597" customWidth="1"/>
    <col min="9638" max="9638" width="2.140625" style="597" customWidth="1"/>
    <col min="9639" max="9639" width="1.140625" style="597" customWidth="1"/>
    <col min="9640" max="9641" width="2" style="597" customWidth="1"/>
    <col min="9642" max="9643" width="2.140625" style="597" customWidth="1"/>
    <col min="9644" max="9644" width="1.7109375" style="597" customWidth="1"/>
    <col min="9645" max="9645" width="0.85546875" style="597" customWidth="1"/>
    <col min="9646" max="9646" width="2" style="597" customWidth="1"/>
    <col min="9647" max="9647" width="2.140625" style="597" customWidth="1"/>
    <col min="9648" max="9892" width="11.42578125" style="597"/>
    <col min="9893" max="9893" width="2.28515625" style="597" customWidth="1"/>
    <col min="9894" max="9894" width="2.140625" style="597" customWidth="1"/>
    <col min="9895" max="9895" width="1.140625" style="597" customWidth="1"/>
    <col min="9896" max="9897" width="2" style="597" customWidth="1"/>
    <col min="9898" max="9899" width="2.140625" style="597" customWidth="1"/>
    <col min="9900" max="9900" width="1.7109375" style="597" customWidth="1"/>
    <col min="9901" max="9901" width="0.85546875" style="597" customWidth="1"/>
    <col min="9902" max="9902" width="2" style="597" customWidth="1"/>
    <col min="9903" max="9903" width="2.140625" style="597" customWidth="1"/>
    <col min="9904" max="10148" width="11.42578125" style="597"/>
    <col min="10149" max="10149" width="2.28515625" style="597" customWidth="1"/>
    <col min="10150" max="10150" width="2.140625" style="597" customWidth="1"/>
    <col min="10151" max="10151" width="1.140625" style="597" customWidth="1"/>
    <col min="10152" max="10153" width="2" style="597" customWidth="1"/>
    <col min="10154" max="10155" width="2.140625" style="597" customWidth="1"/>
    <col min="10156" max="10156" width="1.7109375" style="597" customWidth="1"/>
    <col min="10157" max="10157" width="0.85546875" style="597" customWidth="1"/>
    <col min="10158" max="10158" width="2" style="597" customWidth="1"/>
    <col min="10159" max="10159" width="2.140625" style="597" customWidth="1"/>
    <col min="10160" max="10404" width="11.42578125" style="597"/>
    <col min="10405" max="10405" width="2.28515625" style="597" customWidth="1"/>
    <col min="10406" max="10406" width="2.140625" style="597" customWidth="1"/>
    <col min="10407" max="10407" width="1.140625" style="597" customWidth="1"/>
    <col min="10408" max="10409" width="2" style="597" customWidth="1"/>
    <col min="10410" max="10411" width="2.140625" style="597" customWidth="1"/>
    <col min="10412" max="10412" width="1.7109375" style="597" customWidth="1"/>
    <col min="10413" max="10413" width="0.85546875" style="597" customWidth="1"/>
    <col min="10414" max="10414" width="2" style="597" customWidth="1"/>
    <col min="10415" max="10415" width="2.140625" style="597" customWidth="1"/>
    <col min="10416" max="10660" width="11.42578125" style="597"/>
    <col min="10661" max="10661" width="2.28515625" style="597" customWidth="1"/>
    <col min="10662" max="10662" width="2.140625" style="597" customWidth="1"/>
    <col min="10663" max="10663" width="1.140625" style="597" customWidth="1"/>
    <col min="10664" max="10665" width="2" style="597" customWidth="1"/>
    <col min="10666" max="10667" width="2.140625" style="597" customWidth="1"/>
    <col min="10668" max="10668" width="1.7109375" style="597" customWidth="1"/>
    <col min="10669" max="10669" width="0.85546875" style="597" customWidth="1"/>
    <col min="10670" max="10670" width="2" style="597" customWidth="1"/>
    <col min="10671" max="10671" width="2.140625" style="597" customWidth="1"/>
    <col min="10672" max="10916" width="11.42578125" style="597"/>
    <col min="10917" max="10917" width="2.28515625" style="597" customWidth="1"/>
    <col min="10918" max="10918" width="2.140625" style="597" customWidth="1"/>
    <col min="10919" max="10919" width="1.140625" style="597" customWidth="1"/>
    <col min="10920" max="10921" width="2" style="597" customWidth="1"/>
    <col min="10922" max="10923" width="2.140625" style="597" customWidth="1"/>
    <col min="10924" max="10924" width="1.7109375" style="597" customWidth="1"/>
    <col min="10925" max="10925" width="0.85546875" style="597" customWidth="1"/>
    <col min="10926" max="10926" width="2" style="597" customWidth="1"/>
    <col min="10927" max="10927" width="2.140625" style="597" customWidth="1"/>
    <col min="10928" max="11172" width="11.42578125" style="597"/>
    <col min="11173" max="11173" width="2.28515625" style="597" customWidth="1"/>
    <col min="11174" max="11174" width="2.140625" style="597" customWidth="1"/>
    <col min="11175" max="11175" width="1.140625" style="597" customWidth="1"/>
    <col min="11176" max="11177" width="2" style="597" customWidth="1"/>
    <col min="11178" max="11179" width="2.140625" style="597" customWidth="1"/>
    <col min="11180" max="11180" width="1.7109375" style="597" customWidth="1"/>
    <col min="11181" max="11181" width="0.85546875" style="597" customWidth="1"/>
    <col min="11182" max="11182" width="2" style="597" customWidth="1"/>
    <col min="11183" max="11183" width="2.140625" style="597" customWidth="1"/>
    <col min="11184" max="11428" width="11.42578125" style="597"/>
    <col min="11429" max="11429" width="2.28515625" style="597" customWidth="1"/>
    <col min="11430" max="11430" width="2.140625" style="597" customWidth="1"/>
    <col min="11431" max="11431" width="1.140625" style="597" customWidth="1"/>
    <col min="11432" max="11433" width="2" style="597" customWidth="1"/>
    <col min="11434" max="11435" width="2.140625" style="597" customWidth="1"/>
    <col min="11436" max="11436" width="1.7109375" style="597" customWidth="1"/>
    <col min="11437" max="11437" width="0.85546875" style="597" customWidth="1"/>
    <col min="11438" max="11438" width="2" style="597" customWidth="1"/>
    <col min="11439" max="11439" width="2.140625" style="597" customWidth="1"/>
    <col min="11440" max="11684" width="11.42578125" style="597"/>
    <col min="11685" max="11685" width="2.28515625" style="597" customWidth="1"/>
    <col min="11686" max="11686" width="2.140625" style="597" customWidth="1"/>
    <col min="11687" max="11687" width="1.140625" style="597" customWidth="1"/>
    <col min="11688" max="11689" width="2" style="597" customWidth="1"/>
    <col min="11690" max="11691" width="2.140625" style="597" customWidth="1"/>
    <col min="11692" max="11692" width="1.7109375" style="597" customWidth="1"/>
    <col min="11693" max="11693" width="0.85546875" style="597" customWidth="1"/>
    <col min="11694" max="11694" width="2" style="597" customWidth="1"/>
    <col min="11695" max="11695" width="2.140625" style="597" customWidth="1"/>
    <col min="11696" max="11940" width="11.42578125" style="597"/>
    <col min="11941" max="11941" width="2.28515625" style="597" customWidth="1"/>
    <col min="11942" max="11942" width="2.140625" style="597" customWidth="1"/>
    <col min="11943" max="11943" width="1.140625" style="597" customWidth="1"/>
    <col min="11944" max="11945" width="2" style="597" customWidth="1"/>
    <col min="11946" max="11947" width="2.140625" style="597" customWidth="1"/>
    <col min="11948" max="11948" width="1.7109375" style="597" customWidth="1"/>
    <col min="11949" max="11949" width="0.85546875" style="597" customWidth="1"/>
    <col min="11950" max="11950" width="2" style="597" customWidth="1"/>
    <col min="11951" max="11951" width="2.140625" style="597" customWidth="1"/>
    <col min="11952" max="12196" width="11.42578125" style="597"/>
    <col min="12197" max="12197" width="2.28515625" style="597" customWidth="1"/>
    <col min="12198" max="12198" width="2.140625" style="597" customWidth="1"/>
    <col min="12199" max="12199" width="1.140625" style="597" customWidth="1"/>
    <col min="12200" max="12201" width="2" style="597" customWidth="1"/>
    <col min="12202" max="12203" width="2.140625" style="597" customWidth="1"/>
    <col min="12204" max="12204" width="1.7109375" style="597" customWidth="1"/>
    <col min="12205" max="12205" width="0.85546875" style="597" customWidth="1"/>
    <col min="12206" max="12206" width="2" style="597" customWidth="1"/>
    <col min="12207" max="12207" width="2.140625" style="597" customWidth="1"/>
    <col min="12208" max="12452" width="11.42578125" style="597"/>
    <col min="12453" max="12453" width="2.28515625" style="597" customWidth="1"/>
    <col min="12454" max="12454" width="2.140625" style="597" customWidth="1"/>
    <col min="12455" max="12455" width="1.140625" style="597" customWidth="1"/>
    <col min="12456" max="12457" width="2" style="597" customWidth="1"/>
    <col min="12458" max="12459" width="2.140625" style="597" customWidth="1"/>
    <col min="12460" max="12460" width="1.7109375" style="597" customWidth="1"/>
    <col min="12461" max="12461" width="0.85546875" style="597" customWidth="1"/>
    <col min="12462" max="12462" width="2" style="597" customWidth="1"/>
    <col min="12463" max="12463" width="2.140625" style="597" customWidth="1"/>
    <col min="12464" max="12708" width="11.42578125" style="597"/>
    <col min="12709" max="12709" width="2.28515625" style="597" customWidth="1"/>
    <col min="12710" max="12710" width="2.140625" style="597" customWidth="1"/>
    <col min="12711" max="12711" width="1.140625" style="597" customWidth="1"/>
    <col min="12712" max="12713" width="2" style="597" customWidth="1"/>
    <col min="12714" max="12715" width="2.140625" style="597" customWidth="1"/>
    <col min="12716" max="12716" width="1.7109375" style="597" customWidth="1"/>
    <col min="12717" max="12717" width="0.85546875" style="597" customWidth="1"/>
    <col min="12718" max="12718" width="2" style="597" customWidth="1"/>
    <col min="12719" max="12719" width="2.140625" style="597" customWidth="1"/>
    <col min="12720" max="12964" width="11.42578125" style="597"/>
    <col min="12965" max="12965" width="2.28515625" style="597" customWidth="1"/>
    <col min="12966" max="12966" width="2.140625" style="597" customWidth="1"/>
    <col min="12967" max="12967" width="1.140625" style="597" customWidth="1"/>
    <col min="12968" max="12969" width="2" style="597" customWidth="1"/>
    <col min="12970" max="12971" width="2.140625" style="597" customWidth="1"/>
    <col min="12972" max="12972" width="1.7109375" style="597" customWidth="1"/>
    <col min="12973" max="12973" width="0.85546875" style="597" customWidth="1"/>
    <col min="12974" max="12974" width="2" style="597" customWidth="1"/>
    <col min="12975" max="12975" width="2.140625" style="597" customWidth="1"/>
    <col min="12976" max="13220" width="11.42578125" style="597"/>
    <col min="13221" max="13221" width="2.28515625" style="597" customWidth="1"/>
    <col min="13222" max="13222" width="2.140625" style="597" customWidth="1"/>
    <col min="13223" max="13223" width="1.140625" style="597" customWidth="1"/>
    <col min="13224" max="13225" width="2" style="597" customWidth="1"/>
    <col min="13226" max="13227" width="2.140625" style="597" customWidth="1"/>
    <col min="13228" max="13228" width="1.7109375" style="597" customWidth="1"/>
    <col min="13229" max="13229" width="0.85546875" style="597" customWidth="1"/>
    <col min="13230" max="13230" width="2" style="597" customWidth="1"/>
    <col min="13231" max="13231" width="2.140625" style="597" customWidth="1"/>
    <col min="13232" max="13476" width="11.42578125" style="597"/>
    <col min="13477" max="13477" width="2.28515625" style="597" customWidth="1"/>
    <col min="13478" max="13478" width="2.140625" style="597" customWidth="1"/>
    <col min="13479" max="13479" width="1.140625" style="597" customWidth="1"/>
    <col min="13480" max="13481" width="2" style="597" customWidth="1"/>
    <col min="13482" max="13483" width="2.140625" style="597" customWidth="1"/>
    <col min="13484" max="13484" width="1.7109375" style="597" customWidth="1"/>
    <col min="13485" max="13485" width="0.85546875" style="597" customWidth="1"/>
    <col min="13486" max="13486" width="2" style="597" customWidth="1"/>
    <col min="13487" max="13487" width="2.140625" style="597" customWidth="1"/>
    <col min="13488" max="13732" width="11.42578125" style="597"/>
    <col min="13733" max="13733" width="2.28515625" style="597" customWidth="1"/>
    <col min="13734" max="13734" width="2.140625" style="597" customWidth="1"/>
    <col min="13735" max="13735" width="1.140625" style="597" customWidth="1"/>
    <col min="13736" max="13737" width="2" style="597" customWidth="1"/>
    <col min="13738" max="13739" width="2.140625" style="597" customWidth="1"/>
    <col min="13740" max="13740" width="1.7109375" style="597" customWidth="1"/>
    <col min="13741" max="13741" width="0.85546875" style="597" customWidth="1"/>
    <col min="13742" max="13742" width="2" style="597" customWidth="1"/>
    <col min="13743" max="13743" width="2.140625" style="597" customWidth="1"/>
    <col min="13744" max="13988" width="11.42578125" style="597"/>
    <col min="13989" max="13989" width="2.28515625" style="597" customWidth="1"/>
    <col min="13990" max="13990" width="2.140625" style="597" customWidth="1"/>
    <col min="13991" max="13991" width="1.140625" style="597" customWidth="1"/>
    <col min="13992" max="13993" width="2" style="597" customWidth="1"/>
    <col min="13994" max="13995" width="2.140625" style="597" customWidth="1"/>
    <col min="13996" max="13996" width="1.7109375" style="597" customWidth="1"/>
    <col min="13997" max="13997" width="0.85546875" style="597" customWidth="1"/>
    <col min="13998" max="13998" width="2" style="597" customWidth="1"/>
    <col min="13999" max="13999" width="2.140625" style="597" customWidth="1"/>
    <col min="14000" max="14244" width="11.42578125" style="597"/>
    <col min="14245" max="14245" width="2.28515625" style="597" customWidth="1"/>
    <col min="14246" max="14246" width="2.140625" style="597" customWidth="1"/>
    <col min="14247" max="14247" width="1.140625" style="597" customWidth="1"/>
    <col min="14248" max="14249" width="2" style="597" customWidth="1"/>
    <col min="14250" max="14251" width="2.140625" style="597" customWidth="1"/>
    <col min="14252" max="14252" width="1.7109375" style="597" customWidth="1"/>
    <col min="14253" max="14253" width="0.85546875" style="597" customWidth="1"/>
    <col min="14254" max="14254" width="2" style="597" customWidth="1"/>
    <col min="14255" max="14255" width="2.140625" style="597" customWidth="1"/>
    <col min="14256" max="14500" width="11.42578125" style="597"/>
    <col min="14501" max="14501" width="2.28515625" style="597" customWidth="1"/>
    <col min="14502" max="14502" width="2.140625" style="597" customWidth="1"/>
    <col min="14503" max="14503" width="1.140625" style="597" customWidth="1"/>
    <col min="14504" max="14505" width="2" style="597" customWidth="1"/>
    <col min="14506" max="14507" width="2.140625" style="597" customWidth="1"/>
    <col min="14508" max="14508" width="1.7109375" style="597" customWidth="1"/>
    <col min="14509" max="14509" width="0.85546875" style="597" customWidth="1"/>
    <col min="14510" max="14510" width="2" style="597" customWidth="1"/>
    <col min="14511" max="14511" width="2.140625" style="597" customWidth="1"/>
    <col min="14512" max="14756" width="11.42578125" style="597"/>
    <col min="14757" max="14757" width="2.28515625" style="597" customWidth="1"/>
    <col min="14758" max="14758" width="2.140625" style="597" customWidth="1"/>
    <col min="14759" max="14759" width="1.140625" style="597" customWidth="1"/>
    <col min="14760" max="14761" width="2" style="597" customWidth="1"/>
    <col min="14762" max="14763" width="2.140625" style="597" customWidth="1"/>
    <col min="14764" max="14764" width="1.7109375" style="597" customWidth="1"/>
    <col min="14765" max="14765" width="0.85546875" style="597" customWidth="1"/>
    <col min="14766" max="14766" width="2" style="597" customWidth="1"/>
    <col min="14767" max="14767" width="2.140625" style="597" customWidth="1"/>
    <col min="14768" max="15012" width="11.42578125" style="597"/>
    <col min="15013" max="15013" width="2.28515625" style="597" customWidth="1"/>
    <col min="15014" max="15014" width="2.140625" style="597" customWidth="1"/>
    <col min="15015" max="15015" width="1.140625" style="597" customWidth="1"/>
    <col min="15016" max="15017" width="2" style="597" customWidth="1"/>
    <col min="15018" max="15019" width="2.140625" style="597" customWidth="1"/>
    <col min="15020" max="15020" width="1.7109375" style="597" customWidth="1"/>
    <col min="15021" max="15021" width="0.85546875" style="597" customWidth="1"/>
    <col min="15022" max="15022" width="2" style="597" customWidth="1"/>
    <col min="15023" max="15023" width="2.140625" style="597" customWidth="1"/>
    <col min="15024" max="15268" width="11.42578125" style="597"/>
    <col min="15269" max="15269" width="2.28515625" style="597" customWidth="1"/>
    <col min="15270" max="15270" width="2.140625" style="597" customWidth="1"/>
    <col min="15271" max="15271" width="1.140625" style="597" customWidth="1"/>
    <col min="15272" max="15273" width="2" style="597" customWidth="1"/>
    <col min="15274" max="15275" width="2.140625" style="597" customWidth="1"/>
    <col min="15276" max="15276" width="1.7109375" style="597" customWidth="1"/>
    <col min="15277" max="15277" width="0.85546875" style="597" customWidth="1"/>
    <col min="15278" max="15278" width="2" style="597" customWidth="1"/>
    <col min="15279" max="15279" width="2.140625" style="597" customWidth="1"/>
    <col min="15280" max="15524" width="11.42578125" style="597"/>
    <col min="15525" max="15525" width="2.28515625" style="597" customWidth="1"/>
    <col min="15526" max="15526" width="2.140625" style="597" customWidth="1"/>
    <col min="15527" max="15527" width="1.140625" style="597" customWidth="1"/>
    <col min="15528" max="15529" width="2" style="597" customWidth="1"/>
    <col min="15530" max="15531" width="2.140625" style="597" customWidth="1"/>
    <col min="15532" max="15532" width="1.7109375" style="597" customWidth="1"/>
    <col min="15533" max="15533" width="0.85546875" style="597" customWidth="1"/>
    <col min="15534" max="15534" width="2" style="597" customWidth="1"/>
    <col min="15535" max="15535" width="2.140625" style="597" customWidth="1"/>
    <col min="15536" max="15780" width="11.42578125" style="597"/>
    <col min="15781" max="15781" width="2.28515625" style="597" customWidth="1"/>
    <col min="15782" max="15782" width="2.140625" style="597" customWidth="1"/>
    <col min="15783" max="15783" width="1.140625" style="597" customWidth="1"/>
    <col min="15784" max="15785" width="2" style="597" customWidth="1"/>
    <col min="15786" max="15787" width="2.140625" style="597" customWidth="1"/>
    <col min="15788" max="15788" width="1.7109375" style="597" customWidth="1"/>
    <col min="15789" max="15789" width="0.85546875" style="597" customWidth="1"/>
    <col min="15790" max="15790" width="2" style="597" customWidth="1"/>
    <col min="15791" max="15791" width="2.140625" style="597" customWidth="1"/>
    <col min="15792" max="16036" width="11.42578125" style="597"/>
    <col min="16037" max="16037" width="2.28515625" style="597" customWidth="1"/>
    <col min="16038" max="16038" width="2.140625" style="597" customWidth="1"/>
    <col min="16039" max="16039" width="1.140625" style="597" customWidth="1"/>
    <col min="16040" max="16041" width="2" style="597" customWidth="1"/>
    <col min="16042" max="16043" width="2.140625" style="597" customWidth="1"/>
    <col min="16044" max="16044" width="1.7109375" style="597" customWidth="1"/>
    <col min="16045" max="16045" width="0.85546875" style="597" customWidth="1"/>
    <col min="16046" max="16046" width="2" style="597" customWidth="1"/>
    <col min="16047" max="16047" width="2.140625" style="597" customWidth="1"/>
    <col min="16048" max="16384" width="11.42578125" style="597"/>
  </cols>
  <sheetData>
    <row r="1" spans="2:16" ht="8.25" customHeight="1"/>
    <row r="2" spans="2:16" ht="51.75" customHeight="1"/>
    <row r="3" spans="2:16" ht="27.75" customHeight="1"/>
    <row r="4" spans="2:16" s="594" customFormat="1" ht="15.75">
      <c r="B4" s="599"/>
      <c r="C4" s="600"/>
      <c r="D4" s="974" t="s">
        <v>19</v>
      </c>
      <c r="E4" s="975"/>
      <c r="F4" s="599"/>
      <c r="G4" s="976" t="s">
        <v>20</v>
      </c>
      <c r="H4" s="977"/>
      <c r="I4" s="977"/>
      <c r="J4" s="977"/>
      <c r="K4" s="977"/>
      <c r="L4" s="978"/>
      <c r="M4" s="631"/>
    </row>
    <row r="5" spans="2:16" s="595" customFormat="1" ht="38.25">
      <c r="B5" s="601" t="s">
        <v>21</v>
      </c>
      <c r="C5" s="602" t="s">
        <v>39</v>
      </c>
      <c r="D5" s="603" t="s">
        <v>22</v>
      </c>
      <c r="E5" s="604" t="s">
        <v>23</v>
      </c>
      <c r="F5" s="605" t="s">
        <v>24</v>
      </c>
      <c r="G5" s="605" t="s">
        <v>25</v>
      </c>
      <c r="H5" s="605" t="s">
        <v>26</v>
      </c>
      <c r="I5" s="605" t="s">
        <v>27</v>
      </c>
      <c r="J5" s="604" t="s">
        <v>28</v>
      </c>
      <c r="K5" s="605" t="s">
        <v>29</v>
      </c>
      <c r="L5" s="605" t="s">
        <v>30</v>
      </c>
      <c r="M5" s="605" t="s">
        <v>31</v>
      </c>
    </row>
    <row r="6" spans="2:16" s="596" customFormat="1" ht="12">
      <c r="B6" s="606" t="s">
        <v>67</v>
      </c>
      <c r="C6" s="607">
        <f>+VLOOKUP($B6,RESUMEN!$B$45:$I$87,2,FALSE)</f>
        <v>8</v>
      </c>
      <c r="D6" s="608">
        <f>+VLOOKUP($B6,RESUMEN!$B$45:$I$87,3,FALSE)</f>
        <v>44810559000</v>
      </c>
      <c r="E6" s="609">
        <f>D6/D$11</f>
        <v>0.57422211391331957</v>
      </c>
      <c r="F6" s="610">
        <f>+VLOOKUP($B6,RESUMEN!$B$45:$I$87,4,FALSE)</f>
        <v>1842940626</v>
      </c>
      <c r="G6" s="608">
        <f>+VLOOKUP($B6,RESUMEN!$B$45:$I$87,5,FALSE)</f>
        <v>6883977228</v>
      </c>
      <c r="H6" s="611">
        <f>G6/G$11</f>
        <v>0.47752412092972024</v>
      </c>
      <c r="I6" s="632">
        <f>+VLOOKUP($B6,RESUMEN!$B$45:$I$87,6,FALSE)</f>
        <v>4424667622</v>
      </c>
      <c r="J6" s="633">
        <f>+G6-I6</f>
        <v>2459309606</v>
      </c>
      <c r="K6" s="634">
        <f>+VLOOKUP($B6,RESUMEN!$B$45:$I$87,7,FALSE)</f>
        <v>2459309606</v>
      </c>
      <c r="L6" s="635">
        <f t="shared" ref="L6:L11" si="0">I6/G6</f>
        <v>0.6427487301967002</v>
      </c>
      <c r="M6" s="636">
        <f>+VLOOKUP($B6,RESUMEN!$B$45:$I$87,8,FALSE)</f>
        <v>36083641146</v>
      </c>
      <c r="O6" s="596">
        <v>6883977228</v>
      </c>
      <c r="P6" s="938">
        <f>+O6-G6</f>
        <v>0</v>
      </c>
    </row>
    <row r="7" spans="2:16" s="596" customFormat="1" ht="12">
      <c r="B7" s="612" t="s">
        <v>68</v>
      </c>
      <c r="C7" s="613">
        <f>+VLOOKUP($B7,RESUMEN!$B$45:$I$87,2,FALSE)</f>
        <v>8</v>
      </c>
      <c r="D7" s="614">
        <f>+VLOOKUP($B7,RESUMEN!$B$45:$I$87,3,FALSE)</f>
        <v>16836339152</v>
      </c>
      <c r="E7" s="615">
        <f>D7/D$11</f>
        <v>0.2157482181470449</v>
      </c>
      <c r="F7" s="616">
        <f>+VLOOKUP($B7,RESUMEN!$B$45:$I$87,4,FALSE)</f>
        <v>7407000</v>
      </c>
      <c r="G7" s="608">
        <f>+VLOOKUP($B7,RESUMEN!$B$45:$I$87,5,FALSE)</f>
        <v>2508600617</v>
      </c>
      <c r="H7" s="617">
        <f>G7/G$11</f>
        <v>0.17401529155620252</v>
      </c>
      <c r="I7" s="632">
        <f>+VLOOKUP($B7,RESUMEN!$B$45:$I$87,6,FALSE)</f>
        <v>416235609</v>
      </c>
      <c r="J7" s="637">
        <f>+G7-I7</f>
        <v>2092365008</v>
      </c>
      <c r="K7" s="634">
        <f>+VLOOKUP($B7,RESUMEN!$B$45:$I$87,7,FALSE)</f>
        <v>2092365008</v>
      </c>
      <c r="L7" s="638">
        <f t="shared" si="0"/>
        <v>0.16592342606443677</v>
      </c>
      <c r="M7" s="639">
        <f>+VLOOKUP($B7,RESUMEN!$B$45:$I$87,8,FALSE)</f>
        <v>14320331535</v>
      </c>
      <c r="O7" s="596">
        <v>2508600617</v>
      </c>
      <c r="P7" s="938">
        <f t="shared" ref="P7:P10" si="1">+O7-G7</f>
        <v>0</v>
      </c>
    </row>
    <row r="8" spans="2:16" s="596" customFormat="1" ht="12">
      <c r="B8" s="612" t="s">
        <v>69</v>
      </c>
      <c r="C8" s="613">
        <f>+VLOOKUP($B8,RESUMEN!$B$45:$I$87,2,FALSE)</f>
        <v>8</v>
      </c>
      <c r="D8" s="614">
        <f>+VLOOKUP($B8,RESUMEN!$B$45:$I$87,3,FALSE)</f>
        <v>9378244885</v>
      </c>
      <c r="E8" s="615">
        <f>D8/D$11</f>
        <v>0.1201769342502841</v>
      </c>
      <c r="F8" s="616">
        <f>+VLOOKUP($B8,RESUMEN!$B$45:$I$87,4,FALSE)</f>
        <v>7535059128</v>
      </c>
      <c r="G8" s="608">
        <f>+VLOOKUP($B8,RESUMEN!$B$45:$I$87,5,FALSE)</f>
        <v>1496428303</v>
      </c>
      <c r="H8" s="617">
        <f>G8/G$11</f>
        <v>0.10380345347714565</v>
      </c>
      <c r="I8" s="632">
        <f>+VLOOKUP($B8,RESUMEN!$B$45:$I$87,6,FALSE)</f>
        <v>447254372</v>
      </c>
      <c r="J8" s="637">
        <f>+G8-I8</f>
        <v>1049173931</v>
      </c>
      <c r="K8" s="634">
        <f>+VLOOKUP($B8,RESUMEN!$B$45:$I$87,7,FALSE)</f>
        <v>1049173931</v>
      </c>
      <c r="L8" s="638">
        <f t="shared" si="0"/>
        <v>0.29888125685898631</v>
      </c>
      <c r="M8" s="639">
        <f>+VLOOKUP($B8,RESUMEN!$B$45:$I$87,8,FALSE)</f>
        <v>346757454</v>
      </c>
      <c r="O8" s="596">
        <v>1496428303</v>
      </c>
      <c r="P8" s="938">
        <f t="shared" si="1"/>
        <v>0</v>
      </c>
    </row>
    <row r="9" spans="2:16" s="596" customFormat="1" ht="12">
      <c r="B9" s="612" t="s">
        <v>70</v>
      </c>
      <c r="C9" s="613">
        <f>+VLOOKUP($B9,RESUMEN!$B$45:$I$87,2,FALSE)</f>
        <v>13</v>
      </c>
      <c r="D9" s="614">
        <f>+VLOOKUP($B9,RESUMEN!$B$45:$I$87,3,FALSE)</f>
        <v>3248075885</v>
      </c>
      <c r="E9" s="615">
        <f>D9/D$11</f>
        <v>4.1622265877905608E-2</v>
      </c>
      <c r="F9" s="616">
        <f>+VLOOKUP($B9,RESUMEN!$B$45:$I$87,4,FALSE)</f>
        <v>444757438</v>
      </c>
      <c r="G9" s="608">
        <f>+VLOOKUP($B9,RESUMEN!$B$45:$I$87,5,FALSE)</f>
        <v>2374095836</v>
      </c>
      <c r="H9" s="617">
        <f>G9/G$11</f>
        <v>0.16468503447071678</v>
      </c>
      <c r="I9" s="632">
        <f>+VLOOKUP($B9,RESUMEN!$B$45:$I$87,6,FALSE)</f>
        <v>714326674</v>
      </c>
      <c r="J9" s="637">
        <f>+G9-I9</f>
        <v>1659769162</v>
      </c>
      <c r="K9" s="634">
        <f>+VLOOKUP($B9,RESUMEN!$B$45:$I$87,7,FALSE)</f>
        <v>1659769162</v>
      </c>
      <c r="L9" s="638">
        <f t="shared" si="0"/>
        <v>0.30088367249888898</v>
      </c>
      <c r="M9" s="639">
        <f>+VLOOKUP($B9,RESUMEN!$B$45:$I$87,8,FALSE)</f>
        <v>429222611</v>
      </c>
      <c r="O9" s="596">
        <v>2643981836</v>
      </c>
      <c r="P9" s="938">
        <f t="shared" si="1"/>
        <v>269886000</v>
      </c>
    </row>
    <row r="10" spans="2:16" s="596" customFormat="1" ht="12">
      <c r="B10" s="618" t="s">
        <v>35</v>
      </c>
      <c r="C10" s="619">
        <f>+VLOOKUP($B10,RESUMEN!$B$45:$I$87,2,FALSE)</f>
        <v>7</v>
      </c>
      <c r="D10" s="620">
        <f>+VLOOKUP($B10,RESUMEN!$B$45:$I$87,3,FALSE)</f>
        <v>3763760000</v>
      </c>
      <c r="E10" s="621">
        <f>D10/D$11</f>
        <v>4.8230467811445861E-2</v>
      </c>
      <c r="F10" s="622">
        <f>+VLOOKUP($B10,RESUMEN!$B$45:$I$87,4,FALSE)</f>
        <v>657416086</v>
      </c>
      <c r="G10" s="608">
        <f>+VLOOKUP($B10,RESUMEN!$B$45:$I$87,5,FALSE)</f>
        <v>1152876029</v>
      </c>
      <c r="H10" s="623">
        <f>G10/G$11</f>
        <v>7.9972099566214844E-2</v>
      </c>
      <c r="I10" s="632">
        <f>+VLOOKUP($B10,RESUMEN!$B$45:$I$87,6,FALSE)</f>
        <v>62992534</v>
      </c>
      <c r="J10" s="640">
        <f>+G10-I10</f>
        <v>1089883495</v>
      </c>
      <c r="K10" s="634">
        <f>+VLOOKUP($B10,RESUMEN!$B$45:$I$87,7,FALSE)</f>
        <v>1089883495</v>
      </c>
      <c r="L10" s="641">
        <f t="shared" si="0"/>
        <v>5.4639468958895321E-2</v>
      </c>
      <c r="M10" s="642">
        <f>+VLOOKUP($B10,RESUMEN!$B$45:$I$87,8,FALSE)</f>
        <v>1953467885</v>
      </c>
      <c r="O10" s="596">
        <v>1152876029</v>
      </c>
      <c r="P10" s="938">
        <f t="shared" si="1"/>
        <v>0</v>
      </c>
    </row>
    <row r="11" spans="2:16">
      <c r="B11" s="624" t="s">
        <v>38</v>
      </c>
      <c r="C11" s="625">
        <f t="shared" ref="C11:K11" si="2">SUM(C6:C10)</f>
        <v>44</v>
      </c>
      <c r="D11" s="626">
        <f t="shared" si="2"/>
        <v>78036978922</v>
      </c>
      <c r="E11" s="627">
        <f t="shared" si="2"/>
        <v>1</v>
      </c>
      <c r="F11" s="628">
        <f t="shared" si="2"/>
        <v>10487580278</v>
      </c>
      <c r="G11" s="626">
        <f t="shared" si="2"/>
        <v>14415978013</v>
      </c>
      <c r="H11" s="629">
        <f t="shared" si="2"/>
        <v>1</v>
      </c>
      <c r="I11" s="643">
        <f t="shared" si="2"/>
        <v>6065476811</v>
      </c>
      <c r="J11" s="643">
        <f t="shared" si="2"/>
        <v>8350501202</v>
      </c>
      <c r="K11" s="644">
        <f t="shared" si="2"/>
        <v>8350501202</v>
      </c>
      <c r="L11" s="645">
        <f t="shared" si="0"/>
        <v>0.42074681339901404</v>
      </c>
      <c r="M11" s="646">
        <f>SUM(M6:M10)</f>
        <v>53133420631</v>
      </c>
      <c r="O11" s="597">
        <f>SUM(O6:O10)</f>
        <v>14685864013</v>
      </c>
    </row>
    <row r="12" spans="2:16" ht="18">
      <c r="B12" s="479"/>
      <c r="C12" s="630"/>
      <c r="D12" s="547"/>
      <c r="E12" s="547"/>
      <c r="F12" s="547"/>
      <c r="G12" s="547"/>
      <c r="H12" s="479"/>
      <c r="I12" s="547"/>
      <c r="J12" s="547"/>
      <c r="K12" s="547"/>
      <c r="L12" s="547"/>
      <c r="M12" s="511"/>
    </row>
    <row r="15" spans="2:16" ht="66.75" customHeight="1"/>
    <row r="19" ht="46.5" customHeight="1"/>
    <row r="24" ht="2.25" customHeight="1"/>
  </sheetData>
  <mergeCells count="2">
    <mergeCell ref="D4:E4"/>
    <mergeCell ref="G4:L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5:T36"/>
  <sheetViews>
    <sheetView view="pageBreakPreview" topLeftCell="A7" zoomScale="110" zoomScaleNormal="100" zoomScaleSheetLayoutView="110" workbookViewId="0">
      <selection activeCell="B17" sqref="B17"/>
    </sheetView>
  </sheetViews>
  <sheetFormatPr baseColWidth="10" defaultColWidth="11.42578125" defaultRowHeight="12.75"/>
  <cols>
    <col min="1" max="1" width="4.28515625" style="479" customWidth="1"/>
    <col min="2" max="2" width="17.42578125" style="479" customWidth="1"/>
    <col min="3" max="3" width="2.7109375" style="546" customWidth="1"/>
    <col min="4" max="4" width="14.42578125" style="479" customWidth="1"/>
    <col min="5" max="5" width="14.7109375" style="479" customWidth="1"/>
    <col min="6" max="6" width="15.42578125" style="479" customWidth="1"/>
    <col min="7" max="7" width="15.28515625" style="479" customWidth="1"/>
    <col min="8" max="8" width="2.7109375" style="546" customWidth="1"/>
    <col min="9" max="9" width="14.7109375" style="479" customWidth="1"/>
    <col min="10" max="11" width="16.42578125" style="479" customWidth="1"/>
    <col min="12" max="12" width="15.42578125" style="479" hidden="1" customWidth="1"/>
    <col min="13" max="13" width="13.7109375" style="479" hidden="1" customWidth="1"/>
    <col min="14" max="14" width="14.7109375" style="479" hidden="1" customWidth="1"/>
    <col min="15" max="15" width="14.28515625" style="511" hidden="1" customWidth="1"/>
    <col min="16" max="16" width="15.42578125" style="479" customWidth="1"/>
    <col min="17" max="17" width="3.85546875" style="479" customWidth="1"/>
    <col min="18" max="18" width="10.28515625" style="479" customWidth="1"/>
    <col min="19" max="19" width="11.42578125" style="479"/>
    <col min="20" max="20" width="12.140625" style="479" customWidth="1"/>
    <col min="21" max="16384" width="11.42578125" style="479"/>
  </cols>
  <sheetData>
    <row r="5" spans="2:20" ht="18">
      <c r="D5" s="979" t="s">
        <v>71</v>
      </c>
      <c r="E5" s="980"/>
      <c r="F5" s="980"/>
      <c r="G5" s="981"/>
      <c r="H5" s="547"/>
      <c r="I5" s="982" t="s">
        <v>72</v>
      </c>
      <c r="J5" s="983"/>
      <c r="K5" s="983"/>
      <c r="L5" s="983"/>
      <c r="M5" s="983"/>
      <c r="N5" s="983"/>
      <c r="O5" s="983"/>
      <c r="P5" s="984"/>
    </row>
    <row r="6" spans="2:20" ht="39" customHeight="1">
      <c r="B6" s="548" t="s">
        <v>73</v>
      </c>
      <c r="C6" s="549"/>
      <c r="D6" s="550" t="s">
        <v>74</v>
      </c>
      <c r="E6" s="551" t="s">
        <v>75</v>
      </c>
      <c r="F6" s="551" t="s">
        <v>26</v>
      </c>
      <c r="G6" s="552" t="s">
        <v>76</v>
      </c>
      <c r="H6" s="553"/>
      <c r="I6" s="550" t="s">
        <v>75</v>
      </c>
      <c r="J6" s="569" t="s">
        <v>77</v>
      </c>
      <c r="K6" s="570" t="s">
        <v>78</v>
      </c>
      <c r="L6" s="571" t="s">
        <v>79</v>
      </c>
      <c r="M6" s="572"/>
      <c r="N6" s="572"/>
      <c r="O6" s="573"/>
      <c r="P6" s="574" t="s">
        <v>29</v>
      </c>
    </row>
    <row r="7" spans="2:20" s="545" customFormat="1" ht="15">
      <c r="B7" s="554" t="s">
        <v>80</v>
      </c>
      <c r="C7" s="555"/>
      <c r="D7" s="556">
        <f>+SUBTITULO!F16-PROVISION!D8-PROVISION!D9-PROVISION!D10-PROVISION!D11-PROVISION!D12-PROVISION!D13-PROVISION!D14-PROVISION!D15-PROVISION!D16-PROVISION!D17</f>
        <v>30371244000</v>
      </c>
      <c r="E7" s="557">
        <f>+VLOOKUP(B7,RESUMEN!$A$18:$G$28,4,FALSE)</f>
        <v>56734217145</v>
      </c>
      <c r="F7" s="558">
        <f t="shared" ref="F7:F17" si="0">+E7/$E$18</f>
        <v>0.51438351619503431</v>
      </c>
      <c r="G7" s="559">
        <f>+E7-D7</f>
        <v>26362973145</v>
      </c>
      <c r="H7" s="560"/>
      <c r="I7" s="575">
        <f>+VLOOKUP(B7,RESUMEN!$A$18:$G$28,4,FALSE)</f>
        <v>56734217145</v>
      </c>
      <c r="J7" s="576">
        <f>+VLOOKUP(B7,RESUMEN!$A$18:$G$28,5,FALSE)</f>
        <v>14294856261</v>
      </c>
      <c r="K7" s="577">
        <f t="shared" ref="K7:K17" si="1">+J7/$J$18</f>
        <v>0.35656746928246608</v>
      </c>
      <c r="L7" s="578">
        <f>+VLOOKUP(B7,RESUMEN!$A$18:$G$28,7,FALSE)</f>
        <v>125034775011.00002</v>
      </c>
      <c r="M7" s="579">
        <v>236893000</v>
      </c>
      <c r="N7" s="580"/>
      <c r="O7" s="580">
        <v>767149000</v>
      </c>
      <c r="P7" s="581">
        <f>+VLOOKUP(B7,RESUMEN!$A$18:$G$28,6,FALSE)</f>
        <v>42439360884</v>
      </c>
    </row>
    <row r="8" spans="2:20" s="545" customFormat="1" ht="15">
      <c r="B8" s="554" t="s">
        <v>81</v>
      </c>
      <c r="C8" s="555"/>
      <c r="D8" s="556">
        <v>24039227000</v>
      </c>
      <c r="E8" s="557">
        <f>+VLOOKUP(B8,RESUMEN!$A$18:$G$28,4,FALSE)</f>
        <v>21211301762</v>
      </c>
      <c r="F8" s="558">
        <f t="shared" si="0"/>
        <v>0.19231329050555257</v>
      </c>
      <c r="G8" s="559">
        <f t="shared" ref="G8:G17" si="2">+E8-D8</f>
        <v>-2827925238</v>
      </c>
      <c r="H8" s="560"/>
      <c r="I8" s="575">
        <f>+VLOOKUP(B8,RESUMEN!$A$18:$G$28,4,FALSE)</f>
        <v>21211301762</v>
      </c>
      <c r="J8" s="576">
        <f>+VLOOKUP(B8,RESUMEN!$A$18:$G$28,5,FALSE)</f>
        <v>12007782243</v>
      </c>
      <c r="K8" s="577">
        <f t="shared" si="1"/>
        <v>0.29951924299950428</v>
      </c>
      <c r="L8" s="578">
        <f>+VLOOKUP(B8,RESUMEN!$A$18:$G$28,7,FALSE)</f>
        <v>30766766064</v>
      </c>
      <c r="M8" s="582">
        <v>6481346000</v>
      </c>
      <c r="N8" s="580"/>
      <c r="O8" s="580">
        <v>6481346000</v>
      </c>
      <c r="P8" s="581">
        <f>+VLOOKUP(B8,RESUMEN!$A$18:$G$28,6,FALSE)</f>
        <v>9203519519</v>
      </c>
      <c r="R8" s="591"/>
      <c r="T8" s="591"/>
    </row>
    <row r="9" spans="2:20" s="545" customFormat="1" ht="15">
      <c r="B9" s="554" t="s">
        <v>82</v>
      </c>
      <c r="C9" s="555"/>
      <c r="D9" s="561">
        <v>7214983000</v>
      </c>
      <c r="E9" s="557">
        <f>+VLOOKUP(B9,RESUMEN!$A$18:$G$28,4,FALSE)</f>
        <v>11310044588</v>
      </c>
      <c r="F9" s="558">
        <f t="shared" si="0"/>
        <v>0.10254306477216939</v>
      </c>
      <c r="G9" s="559">
        <f t="shared" si="2"/>
        <v>4095061588</v>
      </c>
      <c r="H9" s="560"/>
      <c r="I9" s="575">
        <f>+VLOOKUP(B9,RESUMEN!$A$18:$G$28,4,FALSE)</f>
        <v>11310044588</v>
      </c>
      <c r="J9" s="576">
        <f>+VLOOKUP(B9,RESUMEN!$A$18:$G$28,5,FALSE)</f>
        <v>6985910645</v>
      </c>
      <c r="K9" s="577">
        <f t="shared" si="1"/>
        <v>0.17425488118527155</v>
      </c>
      <c r="L9" s="578">
        <f>+VLOOKUP(B9,RESUMEN!$A$18:$G$28,7,FALSE)</f>
        <v>53152892835</v>
      </c>
      <c r="M9" s="579">
        <v>200000000</v>
      </c>
      <c r="N9" s="580"/>
      <c r="O9" s="580">
        <v>200000000</v>
      </c>
      <c r="P9" s="581">
        <f>+VLOOKUP(B9,RESUMEN!$A$18:$G$28,6,FALSE)</f>
        <v>4324133943</v>
      </c>
      <c r="R9" s="592"/>
    </row>
    <row r="10" spans="2:20" s="545" customFormat="1" ht="15">
      <c r="B10" s="554" t="s">
        <v>83</v>
      </c>
      <c r="C10" s="555"/>
      <c r="D10" s="561">
        <v>7740827000</v>
      </c>
      <c r="E10" s="557">
        <f>+VLOOKUP(B10,RESUMEN!$A$18:$G$28,4,FALSE)</f>
        <v>10740827000</v>
      </c>
      <c r="F10" s="558">
        <f t="shared" si="0"/>
        <v>9.7382226055611892E-2</v>
      </c>
      <c r="G10" s="559">
        <f t="shared" si="2"/>
        <v>3000000000</v>
      </c>
      <c r="H10" s="560"/>
      <c r="I10" s="575">
        <f>+VLOOKUP(B10,RESUMEN!$A$18:$G$28,4,FALSE)</f>
        <v>10740827000</v>
      </c>
      <c r="J10" s="576">
        <f>+VLOOKUP(B10,RESUMEN!$A$18:$G$28,5,FALSE)</f>
        <v>2956884840</v>
      </c>
      <c r="K10" s="577">
        <f t="shared" si="1"/>
        <v>7.3755826928807028E-2</v>
      </c>
      <c r="L10" s="578">
        <f>+VLOOKUP(B10,RESUMEN!$A$18:$G$28,7,FALSE)</f>
        <v>0</v>
      </c>
      <c r="M10" s="582">
        <v>1990433000</v>
      </c>
      <c r="N10" s="580"/>
      <c r="O10" s="580">
        <v>1990433000</v>
      </c>
      <c r="P10" s="581">
        <f>+VLOOKUP(B10,RESUMEN!$A$18:$G$28,6,FALSE)</f>
        <v>7783942160</v>
      </c>
    </row>
    <row r="11" spans="2:20" s="545" customFormat="1" ht="15">
      <c r="B11" s="554" t="s">
        <v>84</v>
      </c>
      <c r="C11" s="555"/>
      <c r="D11" s="561">
        <v>342409000</v>
      </c>
      <c r="E11" s="557">
        <f>+VLOOKUP(B11,RESUMEN!$A$18:$G$28,4,FALSE)</f>
        <v>4873607682</v>
      </c>
      <c r="F11" s="558">
        <f t="shared" si="0"/>
        <v>4.4186799116575533E-2</v>
      </c>
      <c r="G11" s="559">
        <f t="shared" si="2"/>
        <v>4531198682</v>
      </c>
      <c r="H11" s="560"/>
      <c r="I11" s="575">
        <f>+VLOOKUP(B11,RESUMEN!$A$18:$G$28,4,FALSE)</f>
        <v>4873607682</v>
      </c>
      <c r="J11" s="576">
        <f>+VLOOKUP(B11,RESUMEN!$A$18:$G$28,5,FALSE)</f>
        <v>1154940020</v>
      </c>
      <c r="K11" s="577">
        <f t="shared" si="1"/>
        <v>2.8808547115508541E-2</v>
      </c>
      <c r="L11" s="578">
        <f>+VLOOKUP(B11,RESUMEN!$A$18:$G$28,7,FALSE)</f>
        <v>798791005</v>
      </c>
      <c r="M11" s="579">
        <v>32593247000</v>
      </c>
      <c r="N11" s="580"/>
      <c r="O11" s="580">
        <v>31808080114</v>
      </c>
      <c r="P11" s="581">
        <f>+VLOOKUP(B11,RESUMEN!$A$18:$G$28,6,FALSE)</f>
        <v>3718667662</v>
      </c>
      <c r="R11" s="592"/>
    </row>
    <row r="12" spans="2:20" s="545" customFormat="1" ht="15">
      <c r="B12" s="554" t="s">
        <v>85</v>
      </c>
      <c r="C12" s="555"/>
      <c r="D12" s="561">
        <v>0</v>
      </c>
      <c r="E12" s="557">
        <f>+VLOOKUP(B12,RESUMEN!$A$18:$G$28,4,FALSE)</f>
        <v>2680196866.3333359</v>
      </c>
      <c r="F12" s="558">
        <f t="shared" si="0"/>
        <v>2.4300134161998468E-2</v>
      </c>
      <c r="G12" s="559">
        <f t="shared" si="2"/>
        <v>2680196866.3333359</v>
      </c>
      <c r="H12" s="560"/>
      <c r="I12" s="575">
        <f>+VLOOKUP(B12,RESUMEN!$A$18:$G$28,4,FALSE)</f>
        <v>2680196866.3333359</v>
      </c>
      <c r="J12" s="576">
        <f>+VLOOKUP(B12,RESUMEN!$A$18:$G$28,5,FALSE)</f>
        <v>2004348338</v>
      </c>
      <c r="K12" s="577">
        <f t="shared" si="1"/>
        <v>4.9995984666947671E-2</v>
      </c>
      <c r="L12" s="578">
        <f>+VLOOKUP(B12,RESUMEN!$A$18:$G$28,7,FALSE)</f>
        <v>2515358616.6666641</v>
      </c>
      <c r="M12" s="579"/>
      <c r="N12" s="580"/>
      <c r="O12" s="583">
        <v>813429886</v>
      </c>
      <c r="P12" s="581">
        <f>+VLOOKUP(B12,RESUMEN!$A$18:$G$28,6,FALSE)</f>
        <v>675848528.33333588</v>
      </c>
    </row>
    <row r="13" spans="2:20" s="545" customFormat="1" ht="15">
      <c r="B13" s="554" t="s">
        <v>86</v>
      </c>
      <c r="C13" s="555"/>
      <c r="D13" s="561">
        <v>388423000</v>
      </c>
      <c r="E13" s="557">
        <f>+VLOOKUP(B13,RESUMEN!$A$18:$G$28,4,FALSE)</f>
        <v>388423000</v>
      </c>
      <c r="F13" s="558">
        <f t="shared" si="0"/>
        <v>3.5216558642271155E-3</v>
      </c>
      <c r="G13" s="559">
        <f t="shared" si="2"/>
        <v>0</v>
      </c>
      <c r="H13" s="560"/>
      <c r="I13" s="575">
        <f>+VLOOKUP(B13,RESUMEN!$A$18:$G$28,4,FALSE)</f>
        <v>388423000</v>
      </c>
      <c r="J13" s="576">
        <f>+VLOOKUP(B13,RESUMEN!$A$18:$G$28,5,FALSE)</f>
        <v>0</v>
      </c>
      <c r="K13" s="577">
        <f t="shared" si="1"/>
        <v>0</v>
      </c>
      <c r="L13" s="578">
        <f>+VLOOKUP(B13,RESUMEN!$A$18:$G$28,7,FALSE)</f>
        <v>1165268000</v>
      </c>
      <c r="M13" s="582">
        <v>18928756000</v>
      </c>
      <c r="N13" s="580"/>
      <c r="O13" s="580">
        <v>18928756000</v>
      </c>
      <c r="P13" s="581">
        <f>+VLOOKUP(B13,RESUMEN!$A$18:$G$28,6,FALSE)</f>
        <v>388423000</v>
      </c>
      <c r="R13" s="592"/>
    </row>
    <row r="14" spans="2:20" s="545" customFormat="1" ht="15">
      <c r="B14" s="554" t="s">
        <v>87</v>
      </c>
      <c r="C14" s="555"/>
      <c r="D14" s="561">
        <v>1542573000</v>
      </c>
      <c r="E14" s="557">
        <f>+VLOOKUP(B14,RESUMEN!$A$18:$G$28,4,FALSE)</f>
        <v>1542573000</v>
      </c>
      <c r="F14" s="558">
        <f t="shared" si="0"/>
        <v>1.3985812507108009E-2</v>
      </c>
      <c r="G14" s="559">
        <f t="shared" si="2"/>
        <v>0</v>
      </c>
      <c r="H14" s="560"/>
      <c r="I14" s="575">
        <f>+VLOOKUP(B14,RESUMEN!$A$18:$G$28,4,FALSE)</f>
        <v>1542573000</v>
      </c>
      <c r="J14" s="576">
        <f>+VLOOKUP(B14,RESUMEN!$A$18:$G$28,5,FALSE)</f>
        <v>214072797</v>
      </c>
      <c r="K14" s="577">
        <f t="shared" si="1"/>
        <v>5.3397805528664554E-3</v>
      </c>
      <c r="L14" s="578">
        <f>+VLOOKUP(B14,RESUMEN!$A$18:$G$28,7,FALSE)</f>
        <v>0</v>
      </c>
      <c r="M14" s="582">
        <v>2565000000</v>
      </c>
      <c r="N14" s="580"/>
      <c r="O14" s="580">
        <v>2565000000</v>
      </c>
      <c r="P14" s="581">
        <f>+VLOOKUP(B14,RESUMEN!$A$18:$G$28,6,FALSE)</f>
        <v>1328500203</v>
      </c>
    </row>
    <row r="15" spans="2:20" s="545" customFormat="1" ht="15">
      <c r="B15" s="554" t="s">
        <v>88</v>
      </c>
      <c r="C15" s="555"/>
      <c r="D15" s="561">
        <v>354500000</v>
      </c>
      <c r="E15" s="557">
        <f>+VLOOKUP(B15,RESUMEN!$A$18:$G$28,4,FALSE)</f>
        <v>680923743</v>
      </c>
      <c r="F15" s="558">
        <f t="shared" si="0"/>
        <v>6.1736279587651282E-3</v>
      </c>
      <c r="G15" s="559">
        <f t="shared" si="2"/>
        <v>326423743</v>
      </c>
      <c r="H15" s="560"/>
      <c r="I15" s="575">
        <f>+VLOOKUP(B15,RESUMEN!$A$18:$G$28,4,FALSE)</f>
        <v>680923743</v>
      </c>
      <c r="J15" s="576">
        <f>+VLOOKUP(B15,RESUMEN!$A$18:$G$28,5,FALSE)</f>
        <v>392779775</v>
      </c>
      <c r="K15" s="577">
        <f t="shared" si="1"/>
        <v>9.7974045908516896E-3</v>
      </c>
      <c r="L15" s="578">
        <f>+VLOOKUP(B15,RESUMEN!$A$18:$G$28,7,FALSE)</f>
        <v>339076257</v>
      </c>
      <c r="M15" s="579">
        <v>911004000</v>
      </c>
      <c r="N15" s="580"/>
      <c r="O15" s="580">
        <v>748049000</v>
      </c>
      <c r="P15" s="581">
        <v>0</v>
      </c>
      <c r="R15" s="593"/>
    </row>
    <row r="16" spans="2:20" s="545" customFormat="1" ht="15">
      <c r="B16" s="554" t="s">
        <v>1712</v>
      </c>
      <c r="C16" s="555"/>
      <c r="D16" s="561">
        <v>1854762000</v>
      </c>
      <c r="E16" s="557">
        <f>+VLOOKUP(B16,RESUMEN!$A$18:$G$28,4,FALSE)</f>
        <v>133443603</v>
      </c>
      <c r="F16" s="558">
        <f t="shared" si="0"/>
        <v>1.2098728629575104E-3</v>
      </c>
      <c r="G16" s="559">
        <f t="shared" si="2"/>
        <v>-1721318397</v>
      </c>
      <c r="H16" s="560"/>
      <c r="I16" s="575">
        <f>+VLOOKUP(B16,RESUMEN!$A$18:$G$28,4,FALSE)</f>
        <v>133443603</v>
      </c>
      <c r="J16" s="576">
        <f>+VLOOKUP(B16,RESUMEN!$A$18:$G$28,5,FALSE)</f>
        <v>78611350</v>
      </c>
      <c r="K16" s="577">
        <f t="shared" si="1"/>
        <v>1.9608626777767491E-3</v>
      </c>
      <c r="L16" s="578">
        <f>+VLOOKUP(B16,RESUMEN!$A$18:$G$28,7,FALSE)</f>
        <v>42680684</v>
      </c>
      <c r="M16" s="582">
        <v>7007484000</v>
      </c>
      <c r="N16" s="580"/>
      <c r="O16" s="580">
        <v>7007484000</v>
      </c>
      <c r="P16" s="581">
        <f>+VLOOKUP(B16,RESUMEN!$A$18:$G$28,6,FALSE)</f>
        <v>54832253</v>
      </c>
    </row>
    <row r="17" spans="2:18" s="545" customFormat="1" ht="15">
      <c r="B17" s="554" t="s">
        <v>89</v>
      </c>
      <c r="C17" s="555"/>
      <c r="D17" s="556">
        <v>0</v>
      </c>
      <c r="E17" s="557">
        <v>0</v>
      </c>
      <c r="F17" s="558">
        <f t="shared" si="0"/>
        <v>0</v>
      </c>
      <c r="G17" s="559">
        <f t="shared" si="2"/>
        <v>0</v>
      </c>
      <c r="H17" s="560"/>
      <c r="I17" s="575">
        <v>0</v>
      </c>
      <c r="J17" s="576">
        <v>0</v>
      </c>
      <c r="K17" s="577">
        <f t="shared" si="1"/>
        <v>0</v>
      </c>
      <c r="L17" s="578" t="e">
        <f>+VLOOKUP(B17,RESUMEN!$A$18:$G$28,7,FALSE)</f>
        <v>#N/A</v>
      </c>
      <c r="M17" s="579">
        <v>12613412000</v>
      </c>
      <c r="N17" s="580">
        <v>-12262659000</v>
      </c>
      <c r="O17" s="580">
        <v>11394278000</v>
      </c>
      <c r="P17" s="581">
        <v>0</v>
      </c>
      <c r="R17" s="592"/>
    </row>
    <row r="18" spans="2:18" ht="13.5" customHeight="1">
      <c r="B18" s="562" t="s">
        <v>38</v>
      </c>
      <c r="C18" s="555"/>
      <c r="D18" s="563">
        <f t="shared" ref="D18:K18" si="3">SUM(D7:D17)</f>
        <v>73848948000</v>
      </c>
      <c r="E18" s="564">
        <f t="shared" si="3"/>
        <v>110295558389.33334</v>
      </c>
      <c r="F18" s="565">
        <v>1</v>
      </c>
      <c r="G18" s="566">
        <f>SUM(G7:G17)</f>
        <v>36446610389.333336</v>
      </c>
      <c r="H18" s="567"/>
      <c r="I18" s="563">
        <f>SUM(I7:I17)</f>
        <v>110295558389.33334</v>
      </c>
      <c r="J18" s="584">
        <f t="shared" si="3"/>
        <v>40090186269</v>
      </c>
      <c r="K18" s="585">
        <f t="shared" si="3"/>
        <v>0.99999999999999989</v>
      </c>
      <c r="L18" s="586" t="e">
        <f t="shared" ref="L18" si="4">SUM(L7:L17)</f>
        <v>#N/A</v>
      </c>
      <c r="M18" s="587">
        <v>83527575000</v>
      </c>
      <c r="N18" s="588"/>
      <c r="O18" s="588"/>
      <c r="P18" s="566">
        <f>SUM(P7:P17)</f>
        <v>69917228152.333344</v>
      </c>
    </row>
    <row r="19" spans="2:18">
      <c r="D19" s="511"/>
      <c r="E19" s="511"/>
      <c r="G19" s="511"/>
      <c r="H19" s="568"/>
      <c r="I19" s="511"/>
      <c r="M19" s="589"/>
    </row>
    <row r="20" spans="2:18" s="511" customFormat="1">
      <c r="B20" s="479"/>
      <c r="C20" s="546"/>
      <c r="F20" s="479"/>
      <c r="H20" s="568"/>
      <c r="J20" s="479"/>
      <c r="K20" s="479"/>
      <c r="L20" s="479"/>
      <c r="M20" s="590">
        <v>88503509000</v>
      </c>
    </row>
    <row r="21" spans="2:18" s="511" customFormat="1">
      <c r="C21" s="568"/>
      <c r="F21" s="479"/>
      <c r="H21" s="568"/>
      <c r="J21" s="479"/>
      <c r="K21" s="479"/>
      <c r="M21" s="511">
        <v>-4975934000</v>
      </c>
      <c r="O21" s="511">
        <v>88503509</v>
      </c>
    </row>
    <row r="22" spans="2:18" s="511" customFormat="1">
      <c r="C22" s="568"/>
      <c r="F22" s="479"/>
      <c r="H22" s="568"/>
      <c r="J22" s="479"/>
      <c r="K22" s="479"/>
      <c r="L22" s="479"/>
      <c r="M22" s="511">
        <v>3282065000</v>
      </c>
      <c r="O22" s="511">
        <v>3471737</v>
      </c>
    </row>
    <row r="23" spans="2:18" s="511" customFormat="1">
      <c r="C23" s="568"/>
      <c r="E23" s="479"/>
      <c r="H23" s="568"/>
      <c r="I23" s="479"/>
      <c r="J23" s="479"/>
      <c r="K23" s="479"/>
      <c r="L23" s="479"/>
      <c r="M23" s="511">
        <v>1585864000</v>
      </c>
      <c r="O23" s="511">
        <v>1586864</v>
      </c>
    </row>
    <row r="24" spans="2:18" s="511" customFormat="1">
      <c r="C24" s="568"/>
      <c r="H24" s="568"/>
      <c r="J24" s="479"/>
      <c r="K24" s="479"/>
      <c r="L24" s="479"/>
      <c r="M24" s="511">
        <v>139672000</v>
      </c>
      <c r="O24" s="511">
        <v>662179</v>
      </c>
    </row>
    <row r="25" spans="2:18" s="511" customFormat="1">
      <c r="C25" s="568"/>
      <c r="E25" s="479"/>
      <c r="H25" s="568"/>
      <c r="I25" s="479"/>
      <c r="J25" s="479"/>
      <c r="K25" s="479"/>
      <c r="L25" s="479"/>
      <c r="M25" s="511">
        <v>50000000</v>
      </c>
      <c r="O25" s="511">
        <v>82782729</v>
      </c>
    </row>
    <row r="26" spans="2:18" s="511" customFormat="1">
      <c r="B26" s="479"/>
      <c r="C26" s="546"/>
      <c r="D26" s="479"/>
      <c r="E26" s="479"/>
      <c r="H26" s="568"/>
      <c r="I26" s="479"/>
      <c r="J26" s="479"/>
      <c r="K26" s="479"/>
      <c r="L26" s="479"/>
      <c r="M26" s="511">
        <v>81667000</v>
      </c>
    </row>
    <row r="27" spans="2:18" s="511" customFormat="1">
      <c r="B27" s="479"/>
      <c r="C27" s="546"/>
      <c r="E27" s="479"/>
      <c r="H27" s="568"/>
      <c r="I27" s="479"/>
      <c r="J27" s="479"/>
      <c r="K27" s="479"/>
      <c r="L27" s="479"/>
    </row>
    <row r="28" spans="2:18" s="511" customFormat="1">
      <c r="B28" s="479"/>
      <c r="C28" s="546"/>
      <c r="E28" s="479"/>
      <c r="H28" s="568"/>
      <c r="I28" s="479"/>
      <c r="J28" s="479"/>
      <c r="K28" s="479"/>
      <c r="L28" s="479"/>
    </row>
    <row r="29" spans="2:18" s="511" customFormat="1">
      <c r="B29" s="479"/>
      <c r="C29" s="546"/>
      <c r="E29" s="479"/>
      <c r="H29" s="568"/>
      <c r="I29" s="479"/>
      <c r="J29" s="479"/>
      <c r="K29" s="479"/>
      <c r="L29" s="479" t="s">
        <v>90</v>
      </c>
    </row>
    <row r="30" spans="2:18" s="511" customFormat="1">
      <c r="B30" s="479"/>
      <c r="C30" s="546"/>
      <c r="E30" s="479"/>
      <c r="H30" s="568"/>
      <c r="I30" s="479"/>
      <c r="J30" s="479"/>
      <c r="K30" s="479"/>
      <c r="L30" s="479"/>
    </row>
    <row r="31" spans="2:18" s="511" customFormat="1">
      <c r="B31" s="479"/>
      <c r="C31" s="546"/>
      <c r="D31" s="479"/>
      <c r="E31" s="479"/>
      <c r="H31" s="568"/>
      <c r="I31" s="479"/>
      <c r="J31" s="479"/>
      <c r="K31" s="479"/>
      <c r="L31" s="479"/>
    </row>
    <row r="32" spans="2:18" s="511" customFormat="1">
      <c r="B32" s="479"/>
      <c r="C32" s="546"/>
      <c r="D32" s="479"/>
      <c r="E32" s="479"/>
      <c r="F32" s="479"/>
      <c r="H32" s="568"/>
      <c r="I32" s="479"/>
      <c r="J32" s="479"/>
      <c r="K32" s="479"/>
      <c r="L32" s="479"/>
    </row>
    <row r="33" spans="2:12">
      <c r="G33" s="511"/>
      <c r="H33" s="568"/>
    </row>
    <row r="34" spans="2:12">
      <c r="G34" s="511"/>
      <c r="H34" s="568"/>
    </row>
    <row r="35" spans="2:12" s="511" customFormat="1">
      <c r="B35" s="479"/>
      <c r="C35" s="546"/>
      <c r="D35" s="479"/>
      <c r="E35" s="479"/>
      <c r="H35" s="568"/>
      <c r="I35" s="479"/>
      <c r="J35" s="479"/>
      <c r="K35" s="479"/>
      <c r="L35" s="479"/>
    </row>
    <row r="36" spans="2:12">
      <c r="F36" s="511"/>
    </row>
  </sheetData>
  <mergeCells count="2">
    <mergeCell ref="D5:G5"/>
    <mergeCell ref="I5:P5"/>
  </mergeCells>
  <printOptions horizontalCentered="1" verticalCentered="1"/>
  <pageMargins left="0.23622047244094491" right="0.23622047244094491" top="0.70866141732283472" bottom="0.15748031496062992" header="0.31496062992125984" footer="0.31496062992125984"/>
  <pageSetup paperSize="5" scale="9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20</vt:i4>
      </vt:variant>
    </vt:vector>
  </HeadingPairs>
  <TitlesOfParts>
    <vt:vector size="40" baseType="lpstr">
      <vt:lpstr>PORTADA</vt:lpstr>
      <vt:lpstr>GASTO</vt:lpstr>
      <vt:lpstr>EFICIENCIA</vt:lpstr>
      <vt:lpstr>PROVINCIA</vt:lpstr>
      <vt:lpstr>OSORNO</vt:lpstr>
      <vt:lpstr>LLANQUIHUE</vt:lpstr>
      <vt:lpstr>CHILOE</vt:lpstr>
      <vt:lpstr>PALENA</vt:lpstr>
      <vt:lpstr>PROVISION</vt:lpstr>
      <vt:lpstr>SECTOR</vt:lpstr>
      <vt:lpstr>SUBTITULO</vt:lpstr>
      <vt:lpstr>ESTADO SITUACION</vt:lpstr>
      <vt:lpstr>PORTADA FRIL</vt:lpstr>
      <vt:lpstr>FRIL</vt:lpstr>
      <vt:lpstr>RESUMEN</vt:lpstr>
      <vt:lpstr>VALIDACION</vt:lpstr>
      <vt:lpstr>RS</vt:lpstr>
      <vt:lpstr>AC. SOCIAL</vt:lpstr>
      <vt:lpstr>FRIL AC.SOCIAL</vt:lpstr>
      <vt:lpstr>AC. SOC. COMPLEMENTARIO</vt:lpstr>
      <vt:lpstr>'AC. SOCIAL'!Área_de_impresión</vt:lpstr>
      <vt:lpstr>CHILOE!Área_de_impresión</vt:lpstr>
      <vt:lpstr>EFICIENCIA!Área_de_impresión</vt:lpstr>
      <vt:lpstr>'ESTADO SITUACION'!Área_de_impresión</vt:lpstr>
      <vt:lpstr>FRIL!Área_de_impresión</vt:lpstr>
      <vt:lpstr>'FRIL AC.SOCIAL'!Área_de_impresión</vt:lpstr>
      <vt:lpstr>GASTO!Área_de_impresión</vt:lpstr>
      <vt:lpstr>LLANQUIHUE!Área_de_impresión</vt:lpstr>
      <vt:lpstr>OSORNO!Área_de_impresión</vt:lpstr>
      <vt:lpstr>PALENA!Área_de_impresión</vt:lpstr>
      <vt:lpstr>PORTADA!Área_de_impresión</vt:lpstr>
      <vt:lpstr>PROVINCIA!Área_de_impresión</vt:lpstr>
      <vt:lpstr>PROVISION!Área_de_impresión</vt:lpstr>
      <vt:lpstr>SECTOR!Área_de_impresión</vt:lpstr>
      <vt:lpstr>SUBTITULO!Área_de_impresión</vt:lpstr>
      <vt:lpstr>'AC. SOC. COMPLEMENTARIO'!Títulos_a_imprimir</vt:lpstr>
      <vt:lpstr>'AC. SOCIAL'!Títulos_a_imprimir</vt:lpstr>
      <vt:lpstr>'ESTADO SITUACION'!Títulos_a_imprimir</vt:lpstr>
      <vt:lpstr>FRIL!Títulos_a_imprimir</vt:lpstr>
      <vt:lpstr>'FRIL AC.SOCIAL'!Títulos_a_imprimir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jcduhalde</cp:lastModifiedBy>
  <cp:lastPrinted>2020-08-31T17:07:02Z</cp:lastPrinted>
  <dcterms:created xsi:type="dcterms:W3CDTF">2019-02-11T12:12:00Z</dcterms:created>
  <dcterms:modified xsi:type="dcterms:W3CDTF">2020-10-30T15:41:25Z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3082-10.2.0.7636</vt:lpwstr>
  </property>
</Properties>
</file>